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010" yWindow="0" windowWidth="25545" windowHeight="14355" tabRatio="846" activeTab="4"/>
  </bookViews>
  <sheets>
    <sheet name="IEAData" sheetId="113" r:id="rId1"/>
    <sheet name="AuxData" sheetId="114" r:id="rId2"/>
    <sheet name="CalibData" sheetId="115" state="veryHidden" r:id="rId3"/>
    <sheet name="OtherData" sheetId="116" state="veryHidden" r:id="rId4"/>
    <sheet name="COMM" sheetId="117" r:id="rId5"/>
    <sheet name="Processes" sheetId="118" r:id="rId6"/>
    <sheet name="ELC_FUELS" sheetId="119" r:id="rId7"/>
    <sheet name="ELC_New" sheetId="120" r:id="rId8"/>
    <sheet name="ELC_EMI" sheetId="121" r:id="rId9"/>
    <sheet name="General" sheetId="122" r:id="rId10"/>
    <sheet name="IEAData2" sheetId="89" r:id="rId11"/>
    <sheet name="AuxData2" sheetId="112" r:id="rId12"/>
    <sheet name="CalibData2" sheetId="111" state="veryHidden" r:id="rId13"/>
    <sheet name="OtherData2" sheetId="109" state="veryHidden" r:id="rId14"/>
    <sheet name="COMM2" sheetId="106" r:id="rId15"/>
    <sheet name="ELC_FUELS2" sheetId="82" r:id="rId16"/>
    <sheet name="ELC_New2" sheetId="107" r:id="rId17"/>
    <sheet name="General2" sheetId="110" r:id="rId18"/>
  </sheets>
  <definedNames>
    <definedName name="AuxYear">AuxData2!$B$6</definedName>
    <definedName name="BaseYear">IEAData2!$B$6</definedName>
    <definedName name="CalIndex" localSheetId="1" hidden="1">1</definedName>
    <definedName name="CalIndex" localSheetId="2" hidden="1">1</definedName>
    <definedName name="CalIndex" localSheetId="4" hidden="1">1</definedName>
    <definedName name="CalIndex" localSheetId="8" hidden="1">1</definedName>
    <definedName name="CalIndex" localSheetId="6" hidden="1">1</definedName>
    <definedName name="CalIndex" localSheetId="7" hidden="1">1</definedName>
    <definedName name="CalIndex" localSheetId="9" hidden="1">1</definedName>
    <definedName name="CalIndex" localSheetId="0" hidden="1">1</definedName>
    <definedName name="CalIndex" localSheetId="3" hidden="1">1</definedName>
    <definedName name="CalIndex" localSheetId="5" hidden="1">1</definedName>
    <definedName name="CalIndex">CalibData2!$B$1</definedName>
    <definedName name="ECAP">ELC_New2!$AD$1</definedName>
    <definedName name="RegIndex" localSheetId="1" hidden="1">3</definedName>
    <definedName name="RegIndex" localSheetId="2" hidden="1">3</definedName>
    <definedName name="RegIndex" localSheetId="4" hidden="1">3</definedName>
    <definedName name="RegIndex" localSheetId="8" hidden="1">3</definedName>
    <definedName name="RegIndex" localSheetId="6" hidden="1">3</definedName>
    <definedName name="RegIndex" localSheetId="7" hidden="1">3</definedName>
    <definedName name="RegIndex" localSheetId="9" hidden="1">3</definedName>
    <definedName name="RegIndex" localSheetId="0" hidden="1">3</definedName>
    <definedName name="RegIndex" localSheetId="3" hidden="1">3</definedName>
    <definedName name="RegIndex" localSheetId="5" hidden="1">3</definedName>
    <definedName name="RegIndex">4</definedName>
    <definedName name="Region" localSheetId="1" hidden="1">"FIN"</definedName>
    <definedName name="Region" localSheetId="11">"FIM"</definedName>
    <definedName name="Region" localSheetId="2" hidden="1">"FIN"</definedName>
    <definedName name="Region" localSheetId="4" hidden="1">"FIN"</definedName>
    <definedName name="Region" localSheetId="8" hidden="1">"FIN"</definedName>
    <definedName name="Region" localSheetId="6" hidden="1">"FIN"</definedName>
    <definedName name="Region" localSheetId="7" hidden="1">"FIN"</definedName>
    <definedName name="Region" localSheetId="9" hidden="1">"FIN"</definedName>
    <definedName name="Region" localSheetId="0" hidden="1">"FIN"</definedName>
    <definedName name="Region" localSheetId="3" hidden="1">"FIN"</definedName>
    <definedName name="Region" localSheetId="5" hidden="1">"FIN"</definedName>
    <definedName name="Region">"FIM"</definedName>
    <definedName name="SCAP">OtherData2!$C$15</definedName>
    <definedName name="SHCAP">OtherData2!$C$16</definedName>
    <definedName name="Tiny" localSheetId="1">AuxData!$H$1</definedName>
    <definedName name="Tiny" localSheetId="11">AuxData2!$H$1</definedName>
    <definedName name="Tiny">IEAData2!$H$1</definedName>
    <definedName name="ToeTJ" localSheetId="1">AuxData!$F$6</definedName>
    <definedName name="ToeTJ" localSheetId="11">AuxData2!$F$6</definedName>
    <definedName name="ToeTJ" localSheetId="0">IEAData!$F$6</definedName>
    <definedName name="ToeTJ" localSheetId="10">IEAData2!$F$6</definedName>
  </definedNames>
  <calcPr calcId="114210" calcMode="manual"/>
</workbook>
</file>

<file path=xl/calcChain.xml><?xml version="1.0" encoding="utf-8"?>
<calcChain xmlns="http://schemas.openxmlformats.org/spreadsheetml/2006/main">
  <c r="F1" i="113"/>
  <c r="J5"/>
  <c r="M5"/>
  <c r="J6"/>
  <c r="M6"/>
  <c r="F7"/>
  <c r="J7"/>
  <c r="F8"/>
  <c r="J8"/>
  <c r="F9"/>
  <c r="C17"/>
  <c r="D17"/>
  <c r="E17"/>
  <c r="F17"/>
  <c r="G17"/>
  <c r="H17"/>
  <c r="I17"/>
  <c r="J17"/>
  <c r="K17"/>
  <c r="M19"/>
  <c r="N19"/>
  <c r="O19"/>
  <c r="P19"/>
  <c r="Q19"/>
  <c r="R19"/>
  <c r="M20"/>
  <c r="N20"/>
  <c r="O20"/>
  <c r="P20"/>
  <c r="Q20"/>
  <c r="R20"/>
  <c r="M21"/>
  <c r="N21"/>
  <c r="O21"/>
  <c r="P21"/>
  <c r="Q21"/>
  <c r="R21"/>
  <c r="M22"/>
  <c r="N22"/>
  <c r="O22"/>
  <c r="P22"/>
  <c r="Q22"/>
  <c r="R22"/>
  <c r="M23"/>
  <c r="N23"/>
  <c r="O23"/>
  <c r="P23"/>
  <c r="Q23"/>
  <c r="R23"/>
  <c r="M24"/>
  <c r="N24"/>
  <c r="O24"/>
  <c r="P24"/>
  <c r="Q24"/>
  <c r="R24"/>
  <c r="M25"/>
  <c r="N25"/>
  <c r="O25"/>
  <c r="P25"/>
  <c r="Q25"/>
  <c r="R25"/>
  <c r="C26"/>
  <c r="D26"/>
  <c r="E26"/>
  <c r="F26"/>
  <c r="G26"/>
  <c r="H26"/>
  <c r="I26"/>
  <c r="J26"/>
  <c r="K26"/>
  <c r="M26"/>
  <c r="N26"/>
  <c r="O26"/>
  <c r="P26"/>
  <c r="Q26"/>
  <c r="R26"/>
  <c r="M27"/>
  <c r="N27"/>
  <c r="O27"/>
  <c r="P27"/>
  <c r="Q27"/>
  <c r="R27"/>
  <c r="M28"/>
  <c r="N28"/>
  <c r="O28"/>
  <c r="P28"/>
  <c r="Q28"/>
  <c r="R28"/>
  <c r="M29"/>
  <c r="N29"/>
  <c r="O29"/>
  <c r="P29"/>
  <c r="Q29"/>
  <c r="R29"/>
  <c r="M30"/>
  <c r="N30"/>
  <c r="O30"/>
  <c r="P30"/>
  <c r="Q30"/>
  <c r="R30"/>
  <c r="M31"/>
  <c r="N31"/>
  <c r="O31"/>
  <c r="P31"/>
  <c r="Q31"/>
  <c r="R31"/>
  <c r="M32"/>
  <c r="N32"/>
  <c r="O32"/>
  <c r="P32"/>
  <c r="Q32"/>
  <c r="R32"/>
  <c r="M33"/>
  <c r="N33"/>
  <c r="O33"/>
  <c r="P33"/>
  <c r="Q33"/>
  <c r="R33"/>
  <c r="M34"/>
  <c r="N34"/>
  <c r="O34"/>
  <c r="P34"/>
  <c r="Q34"/>
  <c r="R34"/>
  <c r="M35"/>
  <c r="N35"/>
  <c r="O35"/>
  <c r="P35"/>
  <c r="Q35"/>
  <c r="R35"/>
  <c r="C36"/>
  <c r="D36"/>
  <c r="E36"/>
  <c r="F36"/>
  <c r="G36"/>
  <c r="H36"/>
  <c r="I36"/>
  <c r="J36"/>
  <c r="K36"/>
  <c r="M36"/>
  <c r="N36"/>
  <c r="O36"/>
  <c r="P36"/>
  <c r="Q36"/>
  <c r="R36"/>
  <c r="M37"/>
  <c r="N37"/>
  <c r="O37"/>
  <c r="P37"/>
  <c r="Q37"/>
  <c r="R37"/>
  <c r="M38"/>
  <c r="N38"/>
  <c r="O38"/>
  <c r="P38"/>
  <c r="Q38"/>
  <c r="R38"/>
  <c r="M39"/>
  <c r="N39"/>
  <c r="O39"/>
  <c r="P39"/>
  <c r="Q39"/>
  <c r="R39"/>
  <c r="M40"/>
  <c r="N40"/>
  <c r="O40"/>
  <c r="P40"/>
  <c r="Q40"/>
  <c r="R40"/>
  <c r="M41"/>
  <c r="N41"/>
  <c r="O41"/>
  <c r="P41"/>
  <c r="Q41"/>
  <c r="R41"/>
  <c r="C42"/>
  <c r="D42"/>
  <c r="E42"/>
  <c r="F42"/>
  <c r="G42"/>
  <c r="H42"/>
  <c r="I42"/>
  <c r="J42"/>
  <c r="K42"/>
  <c r="M42"/>
  <c r="N42"/>
  <c r="O42"/>
  <c r="P42"/>
  <c r="Q42"/>
  <c r="R42"/>
  <c r="M43"/>
  <c r="N43"/>
  <c r="O43"/>
  <c r="P43"/>
  <c r="Q43"/>
  <c r="R43"/>
  <c r="M44"/>
  <c r="N44"/>
  <c r="O44"/>
  <c r="P44"/>
  <c r="Q44"/>
  <c r="R44"/>
  <c r="M45"/>
  <c r="N45"/>
  <c r="O45"/>
  <c r="P45"/>
  <c r="Q45"/>
  <c r="R45"/>
  <c r="M46"/>
  <c r="N46"/>
  <c r="O46"/>
  <c r="P46"/>
  <c r="Q46"/>
  <c r="R46"/>
  <c r="C47"/>
  <c r="D47"/>
  <c r="E47"/>
  <c r="F47"/>
  <c r="G47"/>
  <c r="H47"/>
  <c r="I47"/>
  <c r="J47"/>
  <c r="K47"/>
  <c r="M47"/>
  <c r="N47"/>
  <c r="O47"/>
  <c r="P47"/>
  <c r="Q47"/>
  <c r="R47"/>
  <c r="M48"/>
  <c r="N48"/>
  <c r="O48"/>
  <c r="P48"/>
  <c r="Q48"/>
  <c r="R48"/>
  <c r="M49"/>
  <c r="N49"/>
  <c r="O49"/>
  <c r="P49"/>
  <c r="Q49"/>
  <c r="R49"/>
  <c r="M50"/>
  <c r="N50"/>
  <c r="O50"/>
  <c r="P50"/>
  <c r="Q50"/>
  <c r="R50"/>
  <c r="M51"/>
  <c r="N51"/>
  <c r="O51"/>
  <c r="P51"/>
  <c r="Q51"/>
  <c r="R51"/>
  <c r="M52"/>
  <c r="N52"/>
  <c r="O52"/>
  <c r="P52"/>
  <c r="Q52"/>
  <c r="R52"/>
  <c r="M53"/>
  <c r="N53"/>
  <c r="O53"/>
  <c r="P53"/>
  <c r="Q53"/>
  <c r="R53"/>
  <c r="M54"/>
  <c r="N54"/>
  <c r="O54"/>
  <c r="P54"/>
  <c r="Q54"/>
  <c r="R54"/>
  <c r="C55"/>
  <c r="D55"/>
  <c r="E55"/>
  <c r="F55"/>
  <c r="G55"/>
  <c r="H55"/>
  <c r="I55"/>
  <c r="J55"/>
  <c r="K55"/>
  <c r="M55"/>
  <c r="N55"/>
  <c r="O55"/>
  <c r="P55"/>
  <c r="Q55"/>
  <c r="R55"/>
  <c r="O62"/>
  <c r="P62"/>
  <c r="C63"/>
  <c r="D63"/>
  <c r="E63"/>
  <c r="O63"/>
  <c r="Q63"/>
  <c r="R63"/>
  <c r="O64"/>
  <c r="Q64"/>
  <c r="R64"/>
  <c r="C65"/>
  <c r="D65"/>
  <c r="E65"/>
  <c r="E66"/>
  <c r="O66"/>
  <c r="P66"/>
  <c r="Q66"/>
  <c r="R66"/>
  <c r="F70"/>
  <c r="F71"/>
  <c r="C76"/>
  <c r="D76"/>
  <c r="F76"/>
  <c r="H76"/>
  <c r="I76"/>
  <c r="O76"/>
  <c r="C77"/>
  <c r="D77"/>
  <c r="F77"/>
  <c r="H77"/>
  <c r="I77"/>
  <c r="C78"/>
  <c r="D78"/>
  <c r="F78"/>
  <c r="H78"/>
  <c r="I78"/>
  <c r="P78"/>
  <c r="C79"/>
  <c r="D79"/>
  <c r="F79"/>
  <c r="H79"/>
  <c r="I79"/>
  <c r="P79"/>
  <c r="C80"/>
  <c r="D80"/>
  <c r="F80"/>
  <c r="H80"/>
  <c r="I80"/>
  <c r="P80"/>
  <c r="C81"/>
  <c r="D81"/>
  <c r="F81"/>
  <c r="H81"/>
  <c r="I81"/>
  <c r="C82"/>
  <c r="D82"/>
  <c r="F82"/>
  <c r="H82"/>
  <c r="I82"/>
  <c r="C83"/>
  <c r="D83"/>
  <c r="F83"/>
  <c r="H83"/>
  <c r="I83"/>
  <c r="C84"/>
  <c r="D84"/>
  <c r="F84"/>
  <c r="H84"/>
  <c r="I84"/>
  <c r="C85"/>
  <c r="D85"/>
  <c r="F85"/>
  <c r="H85"/>
  <c r="I85"/>
  <c r="C86"/>
  <c r="D86"/>
  <c r="F86"/>
  <c r="H86"/>
  <c r="I86"/>
  <c r="C90"/>
  <c r="D90"/>
  <c r="E90"/>
  <c r="F90"/>
  <c r="G90"/>
  <c r="H90"/>
  <c r="I90"/>
  <c r="C91"/>
  <c r="D91"/>
  <c r="E91"/>
  <c r="F91"/>
  <c r="G91"/>
  <c r="H91"/>
  <c r="I91"/>
  <c r="C92"/>
  <c r="D92"/>
  <c r="E92"/>
  <c r="F92"/>
  <c r="G92"/>
  <c r="H92"/>
  <c r="I92"/>
  <c r="C93"/>
  <c r="D93"/>
  <c r="E93"/>
  <c r="F93"/>
  <c r="G93"/>
  <c r="H93"/>
  <c r="I93"/>
  <c r="C94"/>
  <c r="D94"/>
  <c r="E94"/>
  <c r="F94"/>
  <c r="G94"/>
  <c r="H94"/>
  <c r="I94"/>
  <c r="C95"/>
  <c r="D95"/>
  <c r="E95"/>
  <c r="F95"/>
  <c r="G95"/>
  <c r="H95"/>
  <c r="I95"/>
  <c r="C96"/>
  <c r="D96"/>
  <c r="E96"/>
  <c r="F96"/>
  <c r="G96"/>
  <c r="H96"/>
  <c r="I96"/>
  <c r="C97"/>
  <c r="D97"/>
  <c r="E97"/>
  <c r="F97"/>
  <c r="G97"/>
  <c r="H97"/>
  <c r="I97"/>
  <c r="C101"/>
  <c r="E101"/>
  <c r="G101"/>
  <c r="H101"/>
  <c r="I101"/>
  <c r="M101"/>
  <c r="C102"/>
  <c r="E102"/>
  <c r="G102"/>
  <c r="H102"/>
  <c r="I102"/>
  <c r="M102"/>
  <c r="C103"/>
  <c r="E103"/>
  <c r="G103"/>
  <c r="H103"/>
  <c r="I103"/>
  <c r="M103"/>
  <c r="C104"/>
  <c r="E104"/>
  <c r="G104"/>
  <c r="H104"/>
  <c r="I104"/>
  <c r="M104"/>
  <c r="C105"/>
  <c r="E105"/>
  <c r="G105"/>
  <c r="H105"/>
  <c r="I105"/>
  <c r="M105"/>
  <c r="C106"/>
  <c r="E106"/>
  <c r="G106"/>
  <c r="H106"/>
  <c r="I106"/>
  <c r="M106"/>
  <c r="C107"/>
  <c r="E107"/>
  <c r="G107"/>
  <c r="H107"/>
  <c r="I107"/>
  <c r="M107"/>
  <c r="C108"/>
  <c r="E108"/>
  <c r="G108"/>
  <c r="H108"/>
  <c r="I108"/>
  <c r="M108"/>
  <c r="F1" i="114"/>
  <c r="J5"/>
  <c r="M5"/>
  <c r="J6"/>
  <c r="M6"/>
  <c r="F7"/>
  <c r="J7"/>
  <c r="F8"/>
  <c r="J8"/>
  <c r="F9"/>
  <c r="C17"/>
  <c r="D17"/>
  <c r="E17"/>
  <c r="F17"/>
  <c r="G17"/>
  <c r="H17"/>
  <c r="I17"/>
  <c r="J17"/>
  <c r="K17"/>
  <c r="M19"/>
  <c r="N19"/>
  <c r="O19"/>
  <c r="P19"/>
  <c r="Q19"/>
  <c r="R19"/>
  <c r="M20"/>
  <c r="N20"/>
  <c r="O20"/>
  <c r="P20"/>
  <c r="Q20"/>
  <c r="R20"/>
  <c r="M21"/>
  <c r="N21"/>
  <c r="O21"/>
  <c r="P21"/>
  <c r="Q21"/>
  <c r="R21"/>
  <c r="M22"/>
  <c r="N22"/>
  <c r="O22"/>
  <c r="P22"/>
  <c r="Q22"/>
  <c r="R22"/>
  <c r="M23"/>
  <c r="N23"/>
  <c r="O23"/>
  <c r="P23"/>
  <c r="Q23"/>
  <c r="R23"/>
  <c r="M24"/>
  <c r="N24"/>
  <c r="O24"/>
  <c r="P24"/>
  <c r="Q24"/>
  <c r="R24"/>
  <c r="M25"/>
  <c r="N25"/>
  <c r="O25"/>
  <c r="P25"/>
  <c r="Q25"/>
  <c r="R25"/>
  <c r="C26"/>
  <c r="D26"/>
  <c r="E26"/>
  <c r="F26"/>
  <c r="G26"/>
  <c r="H26"/>
  <c r="I26"/>
  <c r="J26"/>
  <c r="K26"/>
  <c r="M26"/>
  <c r="N26"/>
  <c r="O26"/>
  <c r="P26"/>
  <c r="Q26"/>
  <c r="R26"/>
  <c r="M27"/>
  <c r="N27"/>
  <c r="O27"/>
  <c r="P27"/>
  <c r="Q27"/>
  <c r="R27"/>
  <c r="M28"/>
  <c r="N28"/>
  <c r="O28"/>
  <c r="P28"/>
  <c r="Q28"/>
  <c r="R28"/>
  <c r="M29"/>
  <c r="N29"/>
  <c r="O29"/>
  <c r="P29"/>
  <c r="Q29"/>
  <c r="R29"/>
  <c r="M30"/>
  <c r="N30"/>
  <c r="O30"/>
  <c r="P30"/>
  <c r="Q30"/>
  <c r="R30"/>
  <c r="M31"/>
  <c r="N31"/>
  <c r="O31"/>
  <c r="P31"/>
  <c r="Q31"/>
  <c r="R31"/>
  <c r="M32"/>
  <c r="N32"/>
  <c r="O32"/>
  <c r="P32"/>
  <c r="Q32"/>
  <c r="R32"/>
  <c r="M33"/>
  <c r="N33"/>
  <c r="O33"/>
  <c r="P33"/>
  <c r="Q33"/>
  <c r="R33"/>
  <c r="M34"/>
  <c r="N34"/>
  <c r="O34"/>
  <c r="P34"/>
  <c r="Q34"/>
  <c r="R34"/>
  <c r="M35"/>
  <c r="N35"/>
  <c r="O35"/>
  <c r="P35"/>
  <c r="Q35"/>
  <c r="R35"/>
  <c r="C36"/>
  <c r="D36"/>
  <c r="E36"/>
  <c r="F36"/>
  <c r="G36"/>
  <c r="H36"/>
  <c r="I36"/>
  <c r="J36"/>
  <c r="K36"/>
  <c r="M36"/>
  <c r="N36"/>
  <c r="O36"/>
  <c r="P36"/>
  <c r="Q36"/>
  <c r="R36"/>
  <c r="M37"/>
  <c r="N37"/>
  <c r="O37"/>
  <c r="P37"/>
  <c r="Q37"/>
  <c r="R37"/>
  <c r="M38"/>
  <c r="N38"/>
  <c r="O38"/>
  <c r="P38"/>
  <c r="Q38"/>
  <c r="R38"/>
  <c r="M39"/>
  <c r="N39"/>
  <c r="O39"/>
  <c r="P39"/>
  <c r="Q39"/>
  <c r="R39"/>
  <c r="M40"/>
  <c r="N40"/>
  <c r="O40"/>
  <c r="P40"/>
  <c r="Q40"/>
  <c r="R40"/>
  <c r="M41"/>
  <c r="N41"/>
  <c r="O41"/>
  <c r="P41"/>
  <c r="Q41"/>
  <c r="R41"/>
  <c r="C42"/>
  <c r="D42"/>
  <c r="E42"/>
  <c r="F42"/>
  <c r="G42"/>
  <c r="H42"/>
  <c r="I42"/>
  <c r="J42"/>
  <c r="K42"/>
  <c r="M42"/>
  <c r="N42"/>
  <c r="O42"/>
  <c r="P42"/>
  <c r="Q42"/>
  <c r="R42"/>
  <c r="M43"/>
  <c r="N43"/>
  <c r="O43"/>
  <c r="P43"/>
  <c r="Q43"/>
  <c r="R43"/>
  <c r="M44"/>
  <c r="N44"/>
  <c r="O44"/>
  <c r="P44"/>
  <c r="Q44"/>
  <c r="R44"/>
  <c r="M45"/>
  <c r="N45"/>
  <c r="O45"/>
  <c r="P45"/>
  <c r="Q45"/>
  <c r="R45"/>
  <c r="M46"/>
  <c r="N46"/>
  <c r="O46"/>
  <c r="P46"/>
  <c r="Q46"/>
  <c r="R46"/>
  <c r="C47"/>
  <c r="D47"/>
  <c r="E47"/>
  <c r="F47"/>
  <c r="G47"/>
  <c r="H47"/>
  <c r="I47"/>
  <c r="J47"/>
  <c r="K47"/>
  <c r="M47"/>
  <c r="N47"/>
  <c r="O47"/>
  <c r="P47"/>
  <c r="Q47"/>
  <c r="R47"/>
  <c r="M48"/>
  <c r="N48"/>
  <c r="O48"/>
  <c r="P48"/>
  <c r="Q48"/>
  <c r="R48"/>
  <c r="M49"/>
  <c r="N49"/>
  <c r="O49"/>
  <c r="P49"/>
  <c r="Q49"/>
  <c r="R49"/>
  <c r="M50"/>
  <c r="N50"/>
  <c r="O50"/>
  <c r="P50"/>
  <c r="Q50"/>
  <c r="R50"/>
  <c r="M51"/>
  <c r="N51"/>
  <c r="O51"/>
  <c r="P51"/>
  <c r="Q51"/>
  <c r="R51"/>
  <c r="M52"/>
  <c r="N52"/>
  <c r="O52"/>
  <c r="P52"/>
  <c r="Q52"/>
  <c r="R52"/>
  <c r="M53"/>
  <c r="N53"/>
  <c r="O53"/>
  <c r="P53"/>
  <c r="Q53"/>
  <c r="R53"/>
  <c r="M54"/>
  <c r="N54"/>
  <c r="O54"/>
  <c r="P54"/>
  <c r="Q54"/>
  <c r="R54"/>
  <c r="C55"/>
  <c r="D55"/>
  <c r="E55"/>
  <c r="F55"/>
  <c r="G55"/>
  <c r="H55"/>
  <c r="I55"/>
  <c r="J55"/>
  <c r="K55"/>
  <c r="M55"/>
  <c r="N55"/>
  <c r="O55"/>
  <c r="P55"/>
  <c r="Q55"/>
  <c r="R55"/>
  <c r="O62"/>
  <c r="P62"/>
  <c r="C63"/>
  <c r="D63"/>
  <c r="E63"/>
  <c r="O63"/>
  <c r="Q63"/>
  <c r="R63"/>
  <c r="O64"/>
  <c r="Q64"/>
  <c r="R64"/>
  <c r="C65"/>
  <c r="D65"/>
  <c r="E65"/>
  <c r="E66"/>
  <c r="O66"/>
  <c r="P66"/>
  <c r="Q66"/>
  <c r="R66"/>
  <c r="F70"/>
  <c r="F71"/>
  <c r="S75"/>
  <c r="C76"/>
  <c r="D76"/>
  <c r="F76"/>
  <c r="H76"/>
  <c r="I76"/>
  <c r="O76"/>
  <c r="S76"/>
  <c r="T76"/>
  <c r="C77"/>
  <c r="D77"/>
  <c r="F77"/>
  <c r="H77"/>
  <c r="I77"/>
  <c r="S77"/>
  <c r="C78"/>
  <c r="D78"/>
  <c r="F78"/>
  <c r="H78"/>
  <c r="I78"/>
  <c r="P78"/>
  <c r="S78"/>
  <c r="C79"/>
  <c r="D79"/>
  <c r="F79"/>
  <c r="H79"/>
  <c r="I79"/>
  <c r="P79"/>
  <c r="S79"/>
  <c r="C80"/>
  <c r="D80"/>
  <c r="F80"/>
  <c r="H80"/>
  <c r="I80"/>
  <c r="P80"/>
  <c r="C81"/>
  <c r="D81"/>
  <c r="F81"/>
  <c r="H81"/>
  <c r="I81"/>
  <c r="C82"/>
  <c r="D82"/>
  <c r="F82"/>
  <c r="H82"/>
  <c r="I82"/>
  <c r="C83"/>
  <c r="D83"/>
  <c r="F83"/>
  <c r="H83"/>
  <c r="I83"/>
  <c r="C84"/>
  <c r="D84"/>
  <c r="F84"/>
  <c r="H84"/>
  <c r="I84"/>
  <c r="C85"/>
  <c r="D85"/>
  <c r="F85"/>
  <c r="H85"/>
  <c r="I85"/>
  <c r="C86"/>
  <c r="D86"/>
  <c r="F86"/>
  <c r="H86"/>
  <c r="I86"/>
  <c r="C90"/>
  <c r="D90"/>
  <c r="E90"/>
  <c r="F90"/>
  <c r="G90"/>
  <c r="H90"/>
  <c r="I90"/>
  <c r="C91"/>
  <c r="D91"/>
  <c r="E91"/>
  <c r="F91"/>
  <c r="G91"/>
  <c r="H91"/>
  <c r="I91"/>
  <c r="C92"/>
  <c r="D92"/>
  <c r="E92"/>
  <c r="F92"/>
  <c r="G92"/>
  <c r="H92"/>
  <c r="I92"/>
  <c r="C93"/>
  <c r="D93"/>
  <c r="E93"/>
  <c r="F93"/>
  <c r="G93"/>
  <c r="H93"/>
  <c r="I93"/>
  <c r="C94"/>
  <c r="D94"/>
  <c r="E94"/>
  <c r="F94"/>
  <c r="G94"/>
  <c r="H94"/>
  <c r="I94"/>
  <c r="C95"/>
  <c r="D95"/>
  <c r="E95"/>
  <c r="F95"/>
  <c r="G95"/>
  <c r="H95"/>
  <c r="I95"/>
  <c r="C96"/>
  <c r="D96"/>
  <c r="E96"/>
  <c r="F96"/>
  <c r="G96"/>
  <c r="H96"/>
  <c r="I96"/>
  <c r="C97"/>
  <c r="D97"/>
  <c r="E97"/>
  <c r="F97"/>
  <c r="G97"/>
  <c r="H97"/>
  <c r="I97"/>
  <c r="C101"/>
  <c r="E101"/>
  <c r="G101"/>
  <c r="H101"/>
  <c r="I101"/>
  <c r="M101"/>
  <c r="C102"/>
  <c r="E102"/>
  <c r="G102"/>
  <c r="H102"/>
  <c r="I102"/>
  <c r="M102"/>
  <c r="C103"/>
  <c r="E103"/>
  <c r="G103"/>
  <c r="H103"/>
  <c r="I103"/>
  <c r="M103"/>
  <c r="C104"/>
  <c r="E104"/>
  <c r="G104"/>
  <c r="H104"/>
  <c r="I104"/>
  <c r="M104"/>
  <c r="C105"/>
  <c r="E105"/>
  <c r="G105"/>
  <c r="H105"/>
  <c r="I105"/>
  <c r="M105"/>
  <c r="C106"/>
  <c r="E106"/>
  <c r="G106"/>
  <c r="H106"/>
  <c r="I106"/>
  <c r="M106"/>
  <c r="C107"/>
  <c r="E107"/>
  <c r="G107"/>
  <c r="H107"/>
  <c r="I107"/>
  <c r="M107"/>
  <c r="C108"/>
  <c r="E108"/>
  <c r="G108"/>
  <c r="H108"/>
  <c r="I108"/>
  <c r="M108"/>
  <c r="B1" i="115"/>
  <c r="B2"/>
  <c r="A5"/>
  <c r="J5"/>
  <c r="T5"/>
  <c r="AD5"/>
  <c r="A17"/>
  <c r="J17"/>
  <c r="T17"/>
  <c r="AD17"/>
  <c r="F34"/>
  <c r="N34"/>
  <c r="O34"/>
  <c r="P34"/>
  <c r="Q34"/>
  <c r="F35"/>
  <c r="N35"/>
  <c r="O35"/>
  <c r="P35"/>
  <c r="Q35"/>
  <c r="F36"/>
  <c r="N36"/>
  <c r="O36"/>
  <c r="P36"/>
  <c r="Q36"/>
  <c r="F37"/>
  <c r="N37"/>
  <c r="O37"/>
  <c r="P37"/>
  <c r="Q37"/>
  <c r="F38"/>
  <c r="N38"/>
  <c r="O38"/>
  <c r="P38"/>
  <c r="Q38"/>
  <c r="E40"/>
  <c r="G40"/>
  <c r="F40"/>
  <c r="H40"/>
  <c r="I40"/>
  <c r="J40"/>
  <c r="K40"/>
  <c r="N40"/>
  <c r="O40"/>
  <c r="P40"/>
  <c r="Q40"/>
  <c r="R40"/>
  <c r="S40"/>
  <c r="T40"/>
  <c r="U40"/>
  <c r="E41"/>
  <c r="P44"/>
  <c r="Q44"/>
  <c r="R44"/>
  <c r="S44"/>
  <c r="T44"/>
  <c r="Y44"/>
  <c r="Z44"/>
  <c r="AA44"/>
  <c r="C45"/>
  <c r="D45"/>
  <c r="E45"/>
  <c r="F45"/>
  <c r="G45"/>
  <c r="H45"/>
  <c r="I45"/>
  <c r="J45"/>
  <c r="K45"/>
  <c r="M45"/>
  <c r="N45"/>
  <c r="O45"/>
  <c r="P45"/>
  <c r="Q45"/>
  <c r="R45"/>
  <c r="S45"/>
  <c r="T45"/>
  <c r="U45"/>
  <c r="W45"/>
  <c r="X45"/>
  <c r="Y45"/>
  <c r="Z45"/>
  <c r="AA45"/>
  <c r="AB45"/>
  <c r="AC45"/>
  <c r="AD45"/>
  <c r="AE45"/>
  <c r="C46"/>
  <c r="D46"/>
  <c r="E46"/>
  <c r="F46"/>
  <c r="G46"/>
  <c r="H46"/>
  <c r="C47"/>
  <c r="D47"/>
  <c r="E47"/>
  <c r="F47"/>
  <c r="G47"/>
  <c r="H47"/>
  <c r="I47"/>
  <c r="Y51"/>
  <c r="Y51" a="1"/>
  <c r="Z51"/>
  <c r="AA51"/>
  <c r="D52" a="1"/>
  <c r="D52"/>
  <c r="E52"/>
  <c r="F52"/>
  <c r="G52"/>
  <c r="N52" a="1"/>
  <c r="N52"/>
  <c r="O52"/>
  <c r="P52"/>
  <c r="Q52"/>
  <c r="X52" a="1"/>
  <c r="X52"/>
  <c r="Y52"/>
  <c r="Z52"/>
  <c r="AA52"/>
  <c r="D53"/>
  <c r="E53"/>
  <c r="F53"/>
  <c r="G53"/>
  <c r="N53"/>
  <c r="O53"/>
  <c r="P53"/>
  <c r="Q53"/>
  <c r="X53"/>
  <c r="Y53"/>
  <c r="Z53"/>
  <c r="AA53"/>
  <c r="D54"/>
  <c r="E54"/>
  <c r="F54"/>
  <c r="G54"/>
  <c r="N54"/>
  <c r="O54"/>
  <c r="P54"/>
  <c r="Q54"/>
  <c r="X54"/>
  <c r="Y54"/>
  <c r="Z54"/>
  <c r="AA54"/>
  <c r="D55"/>
  <c r="E55"/>
  <c r="F55"/>
  <c r="G55"/>
  <c r="N55"/>
  <c r="O55"/>
  <c r="P55"/>
  <c r="Q55"/>
  <c r="X55"/>
  <c r="Y55"/>
  <c r="Z55"/>
  <c r="AA55"/>
  <c r="D56"/>
  <c r="E56"/>
  <c r="F56"/>
  <c r="G56"/>
  <c r="N56"/>
  <c r="O56"/>
  <c r="P56"/>
  <c r="Q56"/>
  <c r="X56"/>
  <c r="Y56"/>
  <c r="Z56"/>
  <c r="AA56"/>
  <c r="D57" a="1"/>
  <c r="D57"/>
  <c r="E57"/>
  <c r="F57"/>
  <c r="G57"/>
  <c r="H57"/>
  <c r="N57" a="1"/>
  <c r="N57"/>
  <c r="O57"/>
  <c r="P57"/>
  <c r="Q57"/>
  <c r="R57"/>
  <c r="X57" a="1"/>
  <c r="X57"/>
  <c r="Y57"/>
  <c r="Z57"/>
  <c r="AA57"/>
  <c r="AB57"/>
  <c r="D58" a="1"/>
  <c r="D58"/>
  <c r="E58" a="1"/>
  <c r="E58"/>
  <c r="F58" a="1"/>
  <c r="F58"/>
  <c r="G58" a="1"/>
  <c r="G58"/>
  <c r="H58"/>
  <c r="D61" a="1"/>
  <c r="D61"/>
  <c r="E61"/>
  <c r="F61"/>
  <c r="G61"/>
  <c r="N61" a="1"/>
  <c r="N61"/>
  <c r="O61"/>
  <c r="P61"/>
  <c r="Q61"/>
  <c r="R61"/>
  <c r="S61"/>
  <c r="X61" a="1"/>
  <c r="X61"/>
  <c r="Y61"/>
  <c r="Z61"/>
  <c r="AA61"/>
  <c r="AB61"/>
  <c r="AC61"/>
  <c r="D62"/>
  <c r="E62"/>
  <c r="F62"/>
  <c r="G62"/>
  <c r="N62"/>
  <c r="O62"/>
  <c r="P62"/>
  <c r="Q62"/>
  <c r="R62"/>
  <c r="S62"/>
  <c r="X62"/>
  <c r="Y62"/>
  <c r="Z62"/>
  <c r="AA62"/>
  <c r="AB62"/>
  <c r="AC62"/>
  <c r="D63"/>
  <c r="E63"/>
  <c r="F63"/>
  <c r="G63"/>
  <c r="N63"/>
  <c r="O63"/>
  <c r="P63"/>
  <c r="Q63"/>
  <c r="R63"/>
  <c r="S63"/>
  <c r="X63"/>
  <c r="Y63"/>
  <c r="Z63"/>
  <c r="AA63"/>
  <c r="AB63"/>
  <c r="AC63"/>
  <c r="D64"/>
  <c r="E64"/>
  <c r="F64"/>
  <c r="G64"/>
  <c r="N64"/>
  <c r="O64"/>
  <c r="P64"/>
  <c r="Q64"/>
  <c r="R64"/>
  <c r="S64"/>
  <c r="X64"/>
  <c r="Y64"/>
  <c r="Z64"/>
  <c r="AA64"/>
  <c r="AB64"/>
  <c r="AC64"/>
  <c r="D65"/>
  <c r="E65"/>
  <c r="F65"/>
  <c r="G65"/>
  <c r="N65"/>
  <c r="O65"/>
  <c r="P65"/>
  <c r="Q65"/>
  <c r="R65"/>
  <c r="S65"/>
  <c r="X65"/>
  <c r="Y65"/>
  <c r="Z65"/>
  <c r="AA65"/>
  <c r="AB65"/>
  <c r="AC65"/>
  <c r="D66"/>
  <c r="E66"/>
  <c r="F66"/>
  <c r="G66"/>
  <c r="K66"/>
  <c r="N66"/>
  <c r="O66"/>
  <c r="P66"/>
  <c r="Q66"/>
  <c r="R66"/>
  <c r="S66"/>
  <c r="U66"/>
  <c r="X66"/>
  <c r="Y66"/>
  <c r="Z66"/>
  <c r="AA66"/>
  <c r="AB66"/>
  <c r="AC66"/>
  <c r="AE66"/>
  <c r="D69" a="1"/>
  <c r="D69"/>
  <c r="E69"/>
  <c r="F69"/>
  <c r="G69"/>
  <c r="H69"/>
  <c r="N69" a="1"/>
  <c r="N69"/>
  <c r="O69"/>
  <c r="P69"/>
  <c r="Q69"/>
  <c r="R69"/>
  <c r="X69" a="1"/>
  <c r="X69"/>
  <c r="Y69"/>
  <c r="Z69"/>
  <c r="AA69"/>
  <c r="AB69"/>
  <c r="D70"/>
  <c r="E70"/>
  <c r="F70"/>
  <c r="G70"/>
  <c r="H70"/>
  <c r="N70"/>
  <c r="O70"/>
  <c r="P70"/>
  <c r="Q70"/>
  <c r="R70"/>
  <c r="X70"/>
  <c r="Y70"/>
  <c r="Z70"/>
  <c r="AA70"/>
  <c r="AB70"/>
  <c r="D71"/>
  <c r="E71"/>
  <c r="F71"/>
  <c r="G71"/>
  <c r="H71"/>
  <c r="N71"/>
  <c r="O71"/>
  <c r="P71"/>
  <c r="Q71"/>
  <c r="R71"/>
  <c r="X71"/>
  <c r="Y71"/>
  <c r="Z71"/>
  <c r="AA71"/>
  <c r="AB71"/>
  <c r="D72"/>
  <c r="E72"/>
  <c r="F72"/>
  <c r="G72"/>
  <c r="H72"/>
  <c r="N72"/>
  <c r="O72"/>
  <c r="P72"/>
  <c r="Q72"/>
  <c r="R72"/>
  <c r="X72"/>
  <c r="Y72"/>
  <c r="Z72"/>
  <c r="AA72"/>
  <c r="AB72"/>
  <c r="D73"/>
  <c r="E73"/>
  <c r="F73"/>
  <c r="G73"/>
  <c r="H73"/>
  <c r="N73"/>
  <c r="O73"/>
  <c r="P73"/>
  <c r="Q73"/>
  <c r="R73"/>
  <c r="X73"/>
  <c r="Y73"/>
  <c r="Z73"/>
  <c r="AA73"/>
  <c r="AB73"/>
  <c r="D74"/>
  <c r="E74"/>
  <c r="F74"/>
  <c r="G74"/>
  <c r="H74"/>
  <c r="N74"/>
  <c r="O74"/>
  <c r="P74"/>
  <c r="Q74"/>
  <c r="R74"/>
  <c r="X74"/>
  <c r="Y74"/>
  <c r="Z74"/>
  <c r="AA74"/>
  <c r="AB74"/>
  <c r="D97"/>
  <c r="F97"/>
  <c r="D98" a="1"/>
  <c r="D98"/>
  <c r="E98"/>
  <c r="F98"/>
  <c r="G98"/>
  <c r="H98"/>
  <c r="N98" a="1"/>
  <c r="N98"/>
  <c r="O98"/>
  <c r="P98"/>
  <c r="Q98"/>
  <c r="R98"/>
  <c r="X98" a="1"/>
  <c r="X98"/>
  <c r="Y98"/>
  <c r="Z98"/>
  <c r="AA98"/>
  <c r="AB98"/>
  <c r="D99" a="1"/>
  <c r="D99"/>
  <c r="E99"/>
  <c r="F99"/>
  <c r="G99"/>
  <c r="N99" a="1"/>
  <c r="N99"/>
  <c r="O99"/>
  <c r="P99"/>
  <c r="Q99"/>
  <c r="X99" a="1"/>
  <c r="X99"/>
  <c r="Y99"/>
  <c r="Z99"/>
  <c r="AA99"/>
  <c r="D102" a="1"/>
  <c r="D102"/>
  <c r="E102"/>
  <c r="F102"/>
  <c r="G102"/>
  <c r="H102"/>
  <c r="N102" a="1"/>
  <c r="N102"/>
  <c r="O102"/>
  <c r="P102"/>
  <c r="Q102"/>
  <c r="R102"/>
  <c r="X102" a="1"/>
  <c r="X102"/>
  <c r="Y102"/>
  <c r="Z102"/>
  <c r="AA102"/>
  <c r="AB102"/>
  <c r="D103"/>
  <c r="E103"/>
  <c r="F103"/>
  <c r="G103"/>
  <c r="H103"/>
  <c r="N103"/>
  <c r="O103"/>
  <c r="P103"/>
  <c r="Q103"/>
  <c r="R103"/>
  <c r="X103"/>
  <c r="Y103"/>
  <c r="Z103"/>
  <c r="AA103"/>
  <c r="AB103"/>
  <c r="D104"/>
  <c r="E104"/>
  <c r="F104"/>
  <c r="G104"/>
  <c r="H104"/>
  <c r="N104"/>
  <c r="O104"/>
  <c r="P104"/>
  <c r="Q104"/>
  <c r="R104"/>
  <c r="X104"/>
  <c r="Y104"/>
  <c r="Z104"/>
  <c r="AA104"/>
  <c r="AB104"/>
  <c r="D105"/>
  <c r="E105"/>
  <c r="F105"/>
  <c r="G105"/>
  <c r="H105"/>
  <c r="N105"/>
  <c r="O105"/>
  <c r="P105"/>
  <c r="Q105"/>
  <c r="R105"/>
  <c r="X105"/>
  <c r="Y105"/>
  <c r="Z105"/>
  <c r="AA105"/>
  <c r="AB105"/>
  <c r="D106"/>
  <c r="E106"/>
  <c r="F106"/>
  <c r="G106"/>
  <c r="H106"/>
  <c r="N106"/>
  <c r="O106"/>
  <c r="P106"/>
  <c r="Q106"/>
  <c r="R106"/>
  <c r="X106"/>
  <c r="Y106"/>
  <c r="Z106"/>
  <c r="AA106"/>
  <c r="AB106"/>
  <c r="D107"/>
  <c r="E107"/>
  <c r="F107"/>
  <c r="G107"/>
  <c r="H107"/>
  <c r="N107"/>
  <c r="O107"/>
  <c r="P107"/>
  <c r="Q107"/>
  <c r="R107"/>
  <c r="X107"/>
  <c r="Y107"/>
  <c r="Z107"/>
  <c r="AA107"/>
  <c r="AB107"/>
  <c r="C1" i="116"/>
  <c r="N18" a="1"/>
  <c r="V5"/>
  <c r="S6" a="1"/>
  <c r="S6"/>
  <c r="S7"/>
  <c r="T6" a="1"/>
  <c r="T6"/>
  <c r="T7"/>
  <c r="U6"/>
  <c r="V6"/>
  <c r="U7"/>
  <c r="V7"/>
  <c r="K8"/>
  <c r="O8"/>
  <c r="K9"/>
  <c r="O9"/>
  <c r="N24" a="1"/>
  <c r="N24"/>
  <c r="O24"/>
  <c r="P24"/>
  <c r="Q24"/>
  <c r="R24"/>
  <c r="S24"/>
  <c r="T24"/>
  <c r="U24"/>
  <c r="V24"/>
  <c r="K11"/>
  <c r="E24"/>
  <c r="S9"/>
  <c r="W24"/>
  <c r="F24"/>
  <c r="T9"/>
  <c r="U9"/>
  <c r="V9"/>
  <c r="S10"/>
  <c r="T10"/>
  <c r="U10"/>
  <c r="V10"/>
  <c r="C11"/>
  <c r="G11"/>
  <c r="H11"/>
  <c r="I11"/>
  <c r="J11"/>
  <c r="L11"/>
  <c r="M11"/>
  <c r="N11"/>
  <c r="O11"/>
  <c r="S11"/>
  <c r="T11"/>
  <c r="U11"/>
  <c r="V11"/>
  <c r="C14"/>
  <c r="N15" a="1"/>
  <c r="N15"/>
  <c r="O15"/>
  <c r="P15"/>
  <c r="N18"/>
  <c r="O18"/>
  <c r="P18"/>
  <c r="Q18"/>
  <c r="R18"/>
  <c r="S18"/>
  <c r="T18"/>
  <c r="U18"/>
  <c r="V18"/>
  <c r="W18"/>
  <c r="C19"/>
  <c r="D19"/>
  <c r="N19" a="1"/>
  <c r="N19"/>
  <c r="O19"/>
  <c r="P19"/>
  <c r="Q19"/>
  <c r="R19"/>
  <c r="S19"/>
  <c r="T19"/>
  <c r="U19"/>
  <c r="V19"/>
  <c r="E19"/>
  <c r="W19"/>
  <c r="F19"/>
  <c r="G19"/>
  <c r="H19"/>
  <c r="I19"/>
  <c r="C20"/>
  <c r="D20"/>
  <c r="N20" a="1"/>
  <c r="N20"/>
  <c r="O20"/>
  <c r="P20"/>
  <c r="Q20"/>
  <c r="R20"/>
  <c r="S20"/>
  <c r="T20"/>
  <c r="U20"/>
  <c r="V20"/>
  <c r="E20"/>
  <c r="W20"/>
  <c r="F20"/>
  <c r="G20"/>
  <c r="H20"/>
  <c r="I20"/>
  <c r="C21"/>
  <c r="D21"/>
  <c r="N21" a="1"/>
  <c r="N21"/>
  <c r="O21"/>
  <c r="P21"/>
  <c r="Q21"/>
  <c r="R21"/>
  <c r="S21"/>
  <c r="T21"/>
  <c r="U21"/>
  <c r="V21"/>
  <c r="E21"/>
  <c r="W21"/>
  <c r="F21"/>
  <c r="G21"/>
  <c r="H21"/>
  <c r="I21"/>
  <c r="C22"/>
  <c r="D22"/>
  <c r="N22" a="1"/>
  <c r="N22"/>
  <c r="O22"/>
  <c r="P22"/>
  <c r="Q22"/>
  <c r="R22"/>
  <c r="S22"/>
  <c r="T22"/>
  <c r="U22"/>
  <c r="V22"/>
  <c r="E22"/>
  <c r="W22"/>
  <c r="F22"/>
  <c r="G22"/>
  <c r="H22"/>
  <c r="I22"/>
  <c r="C23"/>
  <c r="D23"/>
  <c r="N23" a="1"/>
  <c r="N23"/>
  <c r="O23"/>
  <c r="P23"/>
  <c r="Q23"/>
  <c r="R23"/>
  <c r="S23"/>
  <c r="T23"/>
  <c r="U23"/>
  <c r="V23"/>
  <c r="E23"/>
  <c r="W23"/>
  <c r="F23"/>
  <c r="G23"/>
  <c r="H23"/>
  <c r="I23"/>
  <c r="C24"/>
  <c r="D24"/>
  <c r="G24"/>
  <c r="H24"/>
  <c r="I24"/>
  <c r="C25"/>
  <c r="D25"/>
  <c r="N25" a="1"/>
  <c r="N25"/>
  <c r="O25"/>
  <c r="P25"/>
  <c r="Q25"/>
  <c r="R25"/>
  <c r="S25"/>
  <c r="T25"/>
  <c r="U25"/>
  <c r="V25"/>
  <c r="E25"/>
  <c r="W25"/>
  <c r="F25"/>
  <c r="G25"/>
  <c r="H25"/>
  <c r="I25"/>
  <c r="C26"/>
  <c r="D26"/>
  <c r="N26" a="1"/>
  <c r="N26"/>
  <c r="O26"/>
  <c r="P26"/>
  <c r="Q26"/>
  <c r="R26"/>
  <c r="S26"/>
  <c r="T26"/>
  <c r="U26"/>
  <c r="V26"/>
  <c r="E26"/>
  <c r="W26"/>
  <c r="F26"/>
  <c r="G26"/>
  <c r="H26"/>
  <c r="I26"/>
  <c r="C27"/>
  <c r="D27"/>
  <c r="N27" a="1"/>
  <c r="N27"/>
  <c r="O27"/>
  <c r="P27"/>
  <c r="Q27"/>
  <c r="R27"/>
  <c r="S27"/>
  <c r="T27"/>
  <c r="U27"/>
  <c r="V27"/>
  <c r="E27"/>
  <c r="W27"/>
  <c r="F27"/>
  <c r="G27"/>
  <c r="H27"/>
  <c r="I27"/>
  <c r="C28"/>
  <c r="D28"/>
  <c r="N28" a="1"/>
  <c r="N28"/>
  <c r="O28"/>
  <c r="P28"/>
  <c r="Q28"/>
  <c r="R28"/>
  <c r="S28"/>
  <c r="T28"/>
  <c r="U28"/>
  <c r="V28"/>
  <c r="E28"/>
  <c r="W28"/>
  <c r="F28"/>
  <c r="G28"/>
  <c r="H28"/>
  <c r="I28"/>
  <c r="N29" a="1"/>
  <c r="N29"/>
  <c r="O29"/>
  <c r="P29"/>
  <c r="Q29"/>
  <c r="R29"/>
  <c r="S29"/>
  <c r="T29"/>
  <c r="U29"/>
  <c r="V29"/>
  <c r="W29"/>
  <c r="C31"/>
  <c r="D31"/>
  <c r="E31"/>
  <c r="F31"/>
  <c r="G31"/>
  <c r="H31"/>
  <c r="I31"/>
  <c r="J31"/>
  <c r="O31"/>
  <c r="P31"/>
  <c r="Q31"/>
  <c r="R31"/>
  <c r="S31"/>
  <c r="C33"/>
  <c r="D33"/>
  <c r="E33"/>
  <c r="F33"/>
  <c r="I33"/>
  <c r="J33"/>
  <c r="O33"/>
  <c r="P33"/>
  <c r="Q33"/>
  <c r="R33"/>
  <c r="C34"/>
  <c r="D34"/>
  <c r="E34"/>
  <c r="F34"/>
  <c r="I34"/>
  <c r="J34"/>
  <c r="O34"/>
  <c r="P34"/>
  <c r="Q34"/>
  <c r="R34"/>
  <c r="C35"/>
  <c r="D35"/>
  <c r="E35"/>
  <c r="F35"/>
  <c r="I35"/>
  <c r="J35"/>
  <c r="O35"/>
  <c r="P35"/>
  <c r="Q35"/>
  <c r="R35"/>
  <c r="C36"/>
  <c r="D36"/>
  <c r="E36"/>
  <c r="F36"/>
  <c r="I36"/>
  <c r="J36"/>
  <c r="O36"/>
  <c r="P36"/>
  <c r="Q36"/>
  <c r="R36"/>
  <c r="C37"/>
  <c r="D37"/>
  <c r="E37"/>
  <c r="F37"/>
  <c r="I37"/>
  <c r="J37"/>
  <c r="O37"/>
  <c r="P37"/>
  <c r="Q37"/>
  <c r="R37"/>
  <c r="C38"/>
  <c r="D38"/>
  <c r="I38"/>
  <c r="E38"/>
  <c r="J38"/>
  <c r="F38"/>
  <c r="G38"/>
  <c r="H38"/>
  <c r="O38"/>
  <c r="P38"/>
  <c r="Q38"/>
  <c r="R38"/>
  <c r="C39"/>
  <c r="D39"/>
  <c r="E39"/>
  <c r="F39"/>
  <c r="I39"/>
  <c r="J39"/>
  <c r="O39"/>
  <c r="P39"/>
  <c r="K102"/>
  <c r="K99"/>
  <c r="P120" a="1"/>
  <c r="P120"/>
  <c r="Q120"/>
  <c r="R120"/>
  <c r="S120"/>
  <c r="T120"/>
  <c r="U120"/>
  <c r="V120"/>
  <c r="J101"/>
  <c r="K100"/>
  <c r="J100"/>
  <c r="K101"/>
  <c r="X120"/>
  <c r="R39"/>
  <c r="S39"/>
  <c r="Q39"/>
  <c r="D42"/>
  <c r="P42"/>
  <c r="C45" a="1"/>
  <c r="C45"/>
  <c r="D45"/>
  <c r="E45"/>
  <c r="F45"/>
  <c r="G45"/>
  <c r="H45"/>
  <c r="C46"/>
  <c r="D46"/>
  <c r="E46"/>
  <c r="F46"/>
  <c r="G46"/>
  <c r="H46"/>
  <c r="C47"/>
  <c r="D47"/>
  <c r="E47"/>
  <c r="F47"/>
  <c r="G47"/>
  <c r="H47"/>
  <c r="C48"/>
  <c r="D48"/>
  <c r="E48"/>
  <c r="F48"/>
  <c r="G48"/>
  <c r="H48"/>
  <c r="O45" a="1"/>
  <c r="O45"/>
  <c r="P45"/>
  <c r="Q45"/>
  <c r="R45"/>
  <c r="S45"/>
  <c r="T45"/>
  <c r="U45"/>
  <c r="O46"/>
  <c r="P46"/>
  <c r="Q46"/>
  <c r="R46"/>
  <c r="S46"/>
  <c r="T46"/>
  <c r="U46"/>
  <c r="O47"/>
  <c r="P47"/>
  <c r="Q47"/>
  <c r="R47"/>
  <c r="S47"/>
  <c r="T47"/>
  <c r="U47"/>
  <c r="O48"/>
  <c r="P48"/>
  <c r="Q48"/>
  <c r="R48"/>
  <c r="S48"/>
  <c r="T48"/>
  <c r="U48"/>
  <c r="D51" a="1"/>
  <c r="D51"/>
  <c r="E51"/>
  <c r="F51"/>
  <c r="G51"/>
  <c r="D52"/>
  <c r="E52"/>
  <c r="F52"/>
  <c r="G52"/>
  <c r="P51" a="1"/>
  <c r="P51"/>
  <c r="Q51"/>
  <c r="R51"/>
  <c r="S51"/>
  <c r="D53" a="1"/>
  <c r="D53"/>
  <c r="E53"/>
  <c r="F53"/>
  <c r="G53"/>
  <c r="D54"/>
  <c r="E54"/>
  <c r="F54"/>
  <c r="G54"/>
  <c r="D55"/>
  <c r="E55"/>
  <c r="F55"/>
  <c r="G55"/>
  <c r="D56"/>
  <c r="E56"/>
  <c r="F56"/>
  <c r="G56"/>
  <c r="D57"/>
  <c r="E57"/>
  <c r="F57"/>
  <c r="G57"/>
  <c r="L53" a="1"/>
  <c r="L53"/>
  <c r="L54"/>
  <c r="L55"/>
  <c r="L56"/>
  <c r="L57"/>
  <c r="P53" a="1"/>
  <c r="P53"/>
  <c r="Q53"/>
  <c r="R53"/>
  <c r="S53"/>
  <c r="T53"/>
  <c r="D59" a="1"/>
  <c r="D59"/>
  <c r="E59"/>
  <c r="F59"/>
  <c r="G59"/>
  <c r="H59"/>
  <c r="P60"/>
  <c r="P60" a="1"/>
  <c r="Q60"/>
  <c r="R60"/>
  <c r="S60"/>
  <c r="T60"/>
  <c r="K62" a="1"/>
  <c r="K62"/>
  <c r="K63"/>
  <c r="K64"/>
  <c r="K65"/>
  <c r="K66"/>
  <c r="V62" a="1"/>
  <c r="V62"/>
  <c r="V63"/>
  <c r="V64"/>
  <c r="V65"/>
  <c r="V66"/>
  <c r="K67"/>
  <c r="D69" a="1"/>
  <c r="D69"/>
  <c r="E69"/>
  <c r="F69"/>
  <c r="G69"/>
  <c r="H69"/>
  <c r="P69" a="1"/>
  <c r="P69"/>
  <c r="Q69"/>
  <c r="R69"/>
  <c r="S69"/>
  <c r="T69"/>
  <c r="D70" a="1"/>
  <c r="D70"/>
  <c r="E70"/>
  <c r="F70"/>
  <c r="G70"/>
  <c r="H70"/>
  <c r="P70"/>
  <c r="P70" a="1"/>
  <c r="Q70"/>
  <c r="R70"/>
  <c r="S70"/>
  <c r="T70"/>
  <c r="V70"/>
  <c r="D72"/>
  <c r="P72"/>
  <c r="C75" a="1"/>
  <c r="C75"/>
  <c r="D75"/>
  <c r="E75"/>
  <c r="F75"/>
  <c r="G75"/>
  <c r="H75"/>
  <c r="C76"/>
  <c r="D76"/>
  <c r="E76"/>
  <c r="F76"/>
  <c r="G76"/>
  <c r="H76"/>
  <c r="C77"/>
  <c r="D77"/>
  <c r="E77"/>
  <c r="F77"/>
  <c r="G77"/>
  <c r="H77"/>
  <c r="C78"/>
  <c r="D78"/>
  <c r="E78"/>
  <c r="F78"/>
  <c r="G78"/>
  <c r="H78"/>
  <c r="O75" a="1"/>
  <c r="O75"/>
  <c r="P75"/>
  <c r="Q75"/>
  <c r="R75"/>
  <c r="S75"/>
  <c r="T75"/>
  <c r="U75"/>
  <c r="O76"/>
  <c r="P76"/>
  <c r="Q76"/>
  <c r="R76"/>
  <c r="S76"/>
  <c r="T76"/>
  <c r="U76"/>
  <c r="O77"/>
  <c r="P77"/>
  <c r="Q77"/>
  <c r="R77"/>
  <c r="S77"/>
  <c r="T77"/>
  <c r="U77"/>
  <c r="O78"/>
  <c r="P78"/>
  <c r="Q78"/>
  <c r="R78"/>
  <c r="S78"/>
  <c r="T78"/>
  <c r="U78"/>
  <c r="D81" a="1"/>
  <c r="D81"/>
  <c r="E81"/>
  <c r="F81"/>
  <c r="G81"/>
  <c r="D82"/>
  <c r="E82"/>
  <c r="F82"/>
  <c r="G82"/>
  <c r="P81" a="1"/>
  <c r="P81"/>
  <c r="Q81"/>
  <c r="R81"/>
  <c r="S81"/>
  <c r="D83" a="1"/>
  <c r="D83"/>
  <c r="E83"/>
  <c r="F83"/>
  <c r="G83"/>
  <c r="D84"/>
  <c r="E84"/>
  <c r="F84"/>
  <c r="G84"/>
  <c r="D85"/>
  <c r="E85"/>
  <c r="F85"/>
  <c r="G85"/>
  <c r="D86"/>
  <c r="E86"/>
  <c r="F86"/>
  <c r="G86"/>
  <c r="D87"/>
  <c r="E87"/>
  <c r="F87"/>
  <c r="G87"/>
  <c r="L83" a="1"/>
  <c r="L83"/>
  <c r="L84"/>
  <c r="L85"/>
  <c r="L86"/>
  <c r="L87"/>
  <c r="O83"/>
  <c r="O83" a="1"/>
  <c r="O84"/>
  <c r="O85"/>
  <c r="O86"/>
  <c r="O87"/>
  <c r="P83" a="1"/>
  <c r="P83"/>
  <c r="Q83"/>
  <c r="R83"/>
  <c r="S83"/>
  <c r="T83"/>
  <c r="D89" a="1"/>
  <c r="D89"/>
  <c r="E89"/>
  <c r="F89"/>
  <c r="G89"/>
  <c r="H89"/>
  <c r="P90"/>
  <c r="P90" a="1"/>
  <c r="Q90"/>
  <c r="R90"/>
  <c r="S90"/>
  <c r="T90"/>
  <c r="K92" a="1"/>
  <c r="K92"/>
  <c r="K93"/>
  <c r="K94"/>
  <c r="K95"/>
  <c r="K96"/>
  <c r="V92" a="1"/>
  <c r="V92"/>
  <c r="V93"/>
  <c r="V94"/>
  <c r="V95"/>
  <c r="V96"/>
  <c r="K97"/>
  <c r="D99" a="1"/>
  <c r="D99"/>
  <c r="E99"/>
  <c r="F99"/>
  <c r="G99"/>
  <c r="H99"/>
  <c r="P99" a="1"/>
  <c r="P99"/>
  <c r="Q99"/>
  <c r="R99"/>
  <c r="S99"/>
  <c r="T99"/>
  <c r="D100" a="1"/>
  <c r="D100"/>
  <c r="E100"/>
  <c r="F100"/>
  <c r="G100"/>
  <c r="H100"/>
  <c r="P100"/>
  <c r="P100" a="1"/>
  <c r="Q100"/>
  <c r="R100"/>
  <c r="S100"/>
  <c r="T100"/>
  <c r="V100"/>
  <c r="W102"/>
  <c r="X102"/>
  <c r="C103" a="1"/>
  <c r="C103"/>
  <c r="D103"/>
  <c r="E103"/>
  <c r="F103"/>
  <c r="G103"/>
  <c r="H103"/>
  <c r="I103"/>
  <c r="J103"/>
  <c r="C104"/>
  <c r="D104"/>
  <c r="E104"/>
  <c r="F104"/>
  <c r="G104"/>
  <c r="H104"/>
  <c r="I104"/>
  <c r="J104"/>
  <c r="C105"/>
  <c r="D105"/>
  <c r="E105"/>
  <c r="F105"/>
  <c r="G105"/>
  <c r="H105"/>
  <c r="I105"/>
  <c r="J105"/>
  <c r="C106"/>
  <c r="D106"/>
  <c r="E106"/>
  <c r="F106"/>
  <c r="G106"/>
  <c r="H106"/>
  <c r="I106"/>
  <c r="J106"/>
  <c r="C107"/>
  <c r="D107"/>
  <c r="E107"/>
  <c r="F107"/>
  <c r="G107"/>
  <c r="H107"/>
  <c r="I107"/>
  <c r="J107"/>
  <c r="C108"/>
  <c r="D108"/>
  <c r="E108"/>
  <c r="F108"/>
  <c r="G108"/>
  <c r="H108"/>
  <c r="I108"/>
  <c r="J108"/>
  <c r="C109"/>
  <c r="D109"/>
  <c r="E109"/>
  <c r="F109"/>
  <c r="G109"/>
  <c r="H109"/>
  <c r="I109"/>
  <c r="J109"/>
  <c r="C110"/>
  <c r="D110"/>
  <c r="E110"/>
  <c r="F110"/>
  <c r="G110"/>
  <c r="H110"/>
  <c r="I110"/>
  <c r="J110"/>
  <c r="C111"/>
  <c r="D111"/>
  <c r="E111"/>
  <c r="F111"/>
  <c r="G111"/>
  <c r="H111"/>
  <c r="I111"/>
  <c r="J111"/>
  <c r="C112"/>
  <c r="D112"/>
  <c r="E112"/>
  <c r="F112"/>
  <c r="G112"/>
  <c r="H112"/>
  <c r="I112"/>
  <c r="J112"/>
  <c r="C113"/>
  <c r="D113"/>
  <c r="E113"/>
  <c r="F113"/>
  <c r="G113"/>
  <c r="H113"/>
  <c r="I113"/>
  <c r="J113"/>
  <c r="C114"/>
  <c r="D114"/>
  <c r="E114"/>
  <c r="F114"/>
  <c r="G114"/>
  <c r="H114"/>
  <c r="I114"/>
  <c r="J114"/>
  <c r="C115"/>
  <c r="D115"/>
  <c r="E115"/>
  <c r="F115"/>
  <c r="G115"/>
  <c r="H115"/>
  <c r="I115"/>
  <c r="J115"/>
  <c r="C116"/>
  <c r="D116"/>
  <c r="E116"/>
  <c r="F116"/>
  <c r="G116"/>
  <c r="H116"/>
  <c r="I116"/>
  <c r="J116"/>
  <c r="C117"/>
  <c r="D117"/>
  <c r="E117"/>
  <c r="F117"/>
  <c r="G117"/>
  <c r="H117"/>
  <c r="I117"/>
  <c r="J117"/>
  <c r="C118"/>
  <c r="D118"/>
  <c r="E118"/>
  <c r="F118"/>
  <c r="G118"/>
  <c r="H118"/>
  <c r="I118"/>
  <c r="J118"/>
  <c r="O103" a="1"/>
  <c r="O103"/>
  <c r="P103"/>
  <c r="Q103"/>
  <c r="R103"/>
  <c r="S103"/>
  <c r="T103"/>
  <c r="U103"/>
  <c r="V103"/>
  <c r="O104"/>
  <c r="P104"/>
  <c r="Q104"/>
  <c r="R104"/>
  <c r="S104"/>
  <c r="T104"/>
  <c r="U104"/>
  <c r="V104"/>
  <c r="O105"/>
  <c r="P105"/>
  <c r="Q105"/>
  <c r="R105"/>
  <c r="S105"/>
  <c r="T105"/>
  <c r="U105"/>
  <c r="V105"/>
  <c r="O106"/>
  <c r="P106"/>
  <c r="Q106"/>
  <c r="R106"/>
  <c r="S106"/>
  <c r="T106"/>
  <c r="U106"/>
  <c r="V106"/>
  <c r="O107"/>
  <c r="P107"/>
  <c r="Q107"/>
  <c r="R107"/>
  <c r="S107"/>
  <c r="T107"/>
  <c r="U107"/>
  <c r="V107"/>
  <c r="O108"/>
  <c r="P108"/>
  <c r="Q108"/>
  <c r="R108"/>
  <c r="S108"/>
  <c r="T108"/>
  <c r="U108"/>
  <c r="V108"/>
  <c r="O109"/>
  <c r="P109"/>
  <c r="Q109"/>
  <c r="R109"/>
  <c r="S109"/>
  <c r="T109"/>
  <c r="U109"/>
  <c r="V109"/>
  <c r="O110"/>
  <c r="P110"/>
  <c r="Q110"/>
  <c r="R110"/>
  <c r="S110"/>
  <c r="T110"/>
  <c r="U110"/>
  <c r="V110"/>
  <c r="O111"/>
  <c r="P111"/>
  <c r="Q111"/>
  <c r="R111"/>
  <c r="S111"/>
  <c r="T111"/>
  <c r="U111"/>
  <c r="V111"/>
  <c r="O112"/>
  <c r="P112"/>
  <c r="Q112"/>
  <c r="R112"/>
  <c r="S112"/>
  <c r="T112"/>
  <c r="U112"/>
  <c r="V112"/>
  <c r="O113"/>
  <c r="P113"/>
  <c r="Q113"/>
  <c r="R113"/>
  <c r="S113"/>
  <c r="T113"/>
  <c r="U113"/>
  <c r="V113"/>
  <c r="O114"/>
  <c r="P114"/>
  <c r="Q114"/>
  <c r="R114"/>
  <c r="S114"/>
  <c r="T114"/>
  <c r="U114"/>
  <c r="V114"/>
  <c r="O115"/>
  <c r="P115"/>
  <c r="Q115"/>
  <c r="R115"/>
  <c r="S115"/>
  <c r="T115"/>
  <c r="U115"/>
  <c r="V115"/>
  <c r="O116"/>
  <c r="P116"/>
  <c r="Q116"/>
  <c r="R116"/>
  <c r="S116"/>
  <c r="T116"/>
  <c r="U116"/>
  <c r="V116"/>
  <c r="O117"/>
  <c r="P117"/>
  <c r="Q117"/>
  <c r="R117"/>
  <c r="S117"/>
  <c r="T117"/>
  <c r="U117"/>
  <c r="V117"/>
  <c r="O118"/>
  <c r="P118"/>
  <c r="Q118"/>
  <c r="R118"/>
  <c r="S118"/>
  <c r="T118"/>
  <c r="U118"/>
  <c r="V118"/>
  <c r="W103"/>
  <c r="W104"/>
  <c r="W105"/>
  <c r="W106"/>
  <c r="W107"/>
  <c r="W108"/>
  <c r="W109"/>
  <c r="W110"/>
  <c r="W111"/>
  <c r="W112"/>
  <c r="W113"/>
  <c r="W114"/>
  <c r="W115"/>
  <c r="W116"/>
  <c r="W117"/>
  <c r="W118"/>
  <c r="D119"/>
  <c r="E119"/>
  <c r="F119"/>
  <c r="G119"/>
  <c r="H119"/>
  <c r="I119"/>
  <c r="J119"/>
  <c r="K119"/>
  <c r="P119"/>
  <c r="X119"/>
  <c r="Q119"/>
  <c r="R119"/>
  <c r="S119"/>
  <c r="T119"/>
  <c r="U119"/>
  <c r="W119"/>
  <c r="D120"/>
  <c r="H120"/>
  <c r="W120"/>
  <c r="P121"/>
  <c r="W121"/>
  <c r="C123"/>
  <c r="D123"/>
  <c r="O123"/>
  <c r="P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C145" a="1"/>
  <c r="C145"/>
  <c r="C146"/>
  <c r="C147"/>
  <c r="C148"/>
  <c r="D145" a="1"/>
  <c r="D145"/>
  <c r="D146"/>
  <c r="D147"/>
  <c r="D148"/>
  <c r="E145"/>
  <c r="F145"/>
  <c r="G145"/>
  <c r="H145"/>
  <c r="I145"/>
  <c r="J145"/>
  <c r="O145" a="1"/>
  <c r="O145"/>
  <c r="O146"/>
  <c r="O147"/>
  <c r="O148"/>
  <c r="P145" a="1"/>
  <c r="P145"/>
  <c r="P146"/>
  <c r="P147"/>
  <c r="P148"/>
  <c r="Q145"/>
  <c r="R145"/>
  <c r="S145"/>
  <c r="T145"/>
  <c r="U145"/>
  <c r="V145"/>
  <c r="E146"/>
  <c r="F146"/>
  <c r="G146"/>
  <c r="H146"/>
  <c r="I146"/>
  <c r="J146"/>
  <c r="Q146"/>
  <c r="R146"/>
  <c r="S146"/>
  <c r="T146"/>
  <c r="U146"/>
  <c r="V146"/>
  <c r="E147"/>
  <c r="F147"/>
  <c r="G147"/>
  <c r="H147"/>
  <c r="I147"/>
  <c r="J147"/>
  <c r="Q147"/>
  <c r="R147"/>
  <c r="S147"/>
  <c r="T147"/>
  <c r="U147"/>
  <c r="V147"/>
  <c r="E148"/>
  <c r="F148"/>
  <c r="G148"/>
  <c r="H148"/>
  <c r="I148"/>
  <c r="J148"/>
  <c r="Q148"/>
  <c r="R148"/>
  <c r="S148"/>
  <c r="T148"/>
  <c r="U148"/>
  <c r="V148"/>
  <c r="O149" a="1"/>
  <c r="O149"/>
  <c r="O150"/>
  <c r="O151"/>
  <c r="O152"/>
  <c r="P149" a="1"/>
  <c r="P149"/>
  <c r="P150"/>
  <c r="P151"/>
  <c r="P152"/>
  <c r="Q149"/>
  <c r="R149"/>
  <c r="S149"/>
  <c r="T149"/>
  <c r="U149"/>
  <c r="V149"/>
  <c r="Q150"/>
  <c r="R150"/>
  <c r="S150"/>
  <c r="T150"/>
  <c r="U150"/>
  <c r="V150"/>
  <c r="Q151"/>
  <c r="R151"/>
  <c r="S151"/>
  <c r="T151"/>
  <c r="U151"/>
  <c r="V151"/>
  <c r="Q152"/>
  <c r="R152"/>
  <c r="S152"/>
  <c r="T152"/>
  <c r="U152"/>
  <c r="V152"/>
  <c r="F4" i="119"/>
  <c r="H5"/>
  <c r="I5"/>
  <c r="N5"/>
  <c r="R5"/>
  <c r="B6"/>
  <c r="D6"/>
  <c r="G6"/>
  <c r="H6"/>
  <c r="N6"/>
  <c r="O6"/>
  <c r="P6"/>
  <c r="D7"/>
  <c r="G7"/>
  <c r="H7"/>
  <c r="B11"/>
  <c r="D11"/>
  <c r="G11"/>
  <c r="H11"/>
  <c r="D12"/>
  <c r="G12"/>
  <c r="H12"/>
  <c r="D13"/>
  <c r="G13"/>
  <c r="H13"/>
  <c r="D14"/>
  <c r="G14"/>
  <c r="H14"/>
  <c r="D15"/>
  <c r="G15"/>
  <c r="H15"/>
  <c r="D16"/>
  <c r="G16"/>
  <c r="H16"/>
  <c r="D17"/>
  <c r="G17"/>
  <c r="H17"/>
  <c r="D18"/>
  <c r="G18"/>
  <c r="H18"/>
  <c r="D19"/>
  <c r="G19"/>
  <c r="H19"/>
  <c r="D20"/>
  <c r="G20"/>
  <c r="H20"/>
  <c r="B22"/>
  <c r="D22"/>
  <c r="Q22"/>
  <c r="G22"/>
  <c r="R22"/>
  <c r="H22"/>
  <c r="D23"/>
  <c r="G23"/>
  <c r="H23"/>
  <c r="D24"/>
  <c r="G24"/>
  <c r="H24"/>
  <c r="D25"/>
  <c r="G25"/>
  <c r="H25"/>
  <c r="D26"/>
  <c r="G26"/>
  <c r="H26"/>
  <c r="B28"/>
  <c r="D28"/>
  <c r="G28"/>
  <c r="H28"/>
  <c r="I28"/>
  <c r="Q28"/>
  <c r="R28"/>
  <c r="B32"/>
  <c r="D32"/>
  <c r="G32"/>
  <c r="H32"/>
  <c r="I32"/>
  <c r="D33"/>
  <c r="B35"/>
  <c r="B37"/>
  <c r="F41"/>
  <c r="H42"/>
  <c r="B43"/>
  <c r="I43"/>
  <c r="G44"/>
  <c r="H44"/>
  <c r="B45"/>
  <c r="I45"/>
  <c r="B46"/>
  <c r="B47"/>
  <c r="B48"/>
  <c r="B49"/>
  <c r="I49"/>
  <c r="D50"/>
  <c r="E50"/>
  <c r="D51"/>
  <c r="E51"/>
  <c r="D52"/>
  <c r="E52"/>
  <c r="B53"/>
  <c r="F57"/>
  <c r="H58"/>
  <c r="N58"/>
  <c r="B59"/>
  <c r="B62"/>
  <c r="B64"/>
  <c r="U64" a="1"/>
  <c r="U64"/>
  <c r="U65"/>
  <c r="U66"/>
  <c r="G64"/>
  <c r="V64" a="1"/>
  <c r="V64"/>
  <c r="V65"/>
  <c r="V66"/>
  <c r="H64"/>
  <c r="Q64"/>
  <c r="R64"/>
  <c r="G65"/>
  <c r="H65"/>
  <c r="Q65"/>
  <c r="R65"/>
  <c r="G66"/>
  <c r="H66"/>
  <c r="B67"/>
  <c r="N67"/>
  <c r="N68"/>
  <c r="O68"/>
  <c r="P68"/>
  <c r="G79"/>
  <c r="L91"/>
  <c r="L81"/>
  <c r="D83"/>
  <c r="L85"/>
  <c r="L88"/>
  <c r="D91"/>
  <c r="E94"/>
  <c r="D95"/>
  <c r="L95"/>
  <c r="E96"/>
  <c r="L97"/>
  <c r="D99"/>
  <c r="L99"/>
  <c r="M99"/>
  <c r="E100"/>
  <c r="D101"/>
  <c r="L101"/>
  <c r="L103"/>
  <c r="M105"/>
  <c r="L107"/>
  <c r="E108"/>
  <c r="L109"/>
  <c r="E110"/>
  <c r="D113"/>
  <c r="P113"/>
  <c r="D115"/>
  <c r="P115"/>
  <c r="D117"/>
  <c r="P117"/>
  <c r="D119"/>
  <c r="L1" i="120"/>
  <c r="N1"/>
  <c r="O1"/>
  <c r="P1"/>
  <c r="Q1"/>
  <c r="R1"/>
  <c r="S1"/>
  <c r="T1"/>
  <c r="U1"/>
  <c r="V1"/>
  <c r="E3"/>
  <c r="H4"/>
  <c r="J4"/>
  <c r="K4"/>
  <c r="L4"/>
  <c r="M4"/>
  <c r="N4"/>
  <c r="O4"/>
  <c r="P4"/>
  <c r="Q4"/>
  <c r="R4"/>
  <c r="S4"/>
  <c r="T4"/>
  <c r="U4"/>
  <c r="X4"/>
  <c r="Y4"/>
  <c r="Z4"/>
  <c r="AA4"/>
  <c r="C5"/>
  <c r="G5"/>
  <c r="H5"/>
  <c r="I5"/>
  <c r="J5"/>
  <c r="K5"/>
  <c r="L5"/>
  <c r="M5"/>
  <c r="N5"/>
  <c r="O5"/>
  <c r="P5"/>
  <c r="Q5"/>
  <c r="R5"/>
  <c r="S5"/>
  <c r="T5"/>
  <c r="U5"/>
  <c r="V5"/>
  <c r="C6"/>
  <c r="G6"/>
  <c r="H6"/>
  <c r="I6"/>
  <c r="J6"/>
  <c r="K6"/>
  <c r="L6"/>
  <c r="M6"/>
  <c r="N6"/>
  <c r="O6"/>
  <c r="P6"/>
  <c r="Q6"/>
  <c r="R6"/>
  <c r="S6"/>
  <c r="T6"/>
  <c r="U6"/>
  <c r="V6"/>
  <c r="C7"/>
  <c r="G7"/>
  <c r="H7"/>
  <c r="I7"/>
  <c r="J7"/>
  <c r="K7"/>
  <c r="L7"/>
  <c r="M7"/>
  <c r="N7"/>
  <c r="O7"/>
  <c r="P7"/>
  <c r="Q7"/>
  <c r="R7"/>
  <c r="S7"/>
  <c r="T7"/>
  <c r="U7"/>
  <c r="V7"/>
  <c r="C8"/>
  <c r="G8"/>
  <c r="H8"/>
  <c r="I8"/>
  <c r="J8"/>
  <c r="K8"/>
  <c r="L8"/>
  <c r="M8"/>
  <c r="N8"/>
  <c r="O8"/>
  <c r="P8"/>
  <c r="Q8"/>
  <c r="R8"/>
  <c r="S8"/>
  <c r="T8"/>
  <c r="U8"/>
  <c r="V8"/>
  <c r="C9"/>
  <c r="G9"/>
  <c r="H9"/>
  <c r="I9"/>
  <c r="J9"/>
  <c r="K9"/>
  <c r="L9"/>
  <c r="M9"/>
  <c r="N9"/>
  <c r="O9"/>
  <c r="P9"/>
  <c r="Q9"/>
  <c r="R9"/>
  <c r="S9"/>
  <c r="T9"/>
  <c r="U9"/>
  <c r="V9"/>
  <c r="C10"/>
  <c r="I10"/>
  <c r="J10"/>
  <c r="L10"/>
  <c r="M10"/>
  <c r="N10"/>
  <c r="O10"/>
  <c r="P10"/>
  <c r="Q10"/>
  <c r="R10"/>
  <c r="S10"/>
  <c r="T10"/>
  <c r="U10"/>
  <c r="V10"/>
  <c r="C11"/>
  <c r="I11"/>
  <c r="J11"/>
  <c r="L11"/>
  <c r="M11"/>
  <c r="N11"/>
  <c r="O11"/>
  <c r="P11"/>
  <c r="Q11"/>
  <c r="R11"/>
  <c r="S11"/>
  <c r="T11"/>
  <c r="U11"/>
  <c r="V11"/>
  <c r="C12"/>
  <c r="G12"/>
  <c r="H12"/>
  <c r="I12"/>
  <c r="J12"/>
  <c r="K12"/>
  <c r="L13"/>
  <c r="L12"/>
  <c r="M13"/>
  <c r="M12"/>
  <c r="N12"/>
  <c r="O12" a="1"/>
  <c r="O12"/>
  <c r="P12"/>
  <c r="Q12"/>
  <c r="R12"/>
  <c r="S12"/>
  <c r="T12"/>
  <c r="U12"/>
  <c r="V12"/>
  <c r="C13"/>
  <c r="G13"/>
  <c r="H13"/>
  <c r="I13"/>
  <c r="J13"/>
  <c r="K13"/>
  <c r="O13" a="1"/>
  <c r="O13"/>
  <c r="P13"/>
  <c r="Q13"/>
  <c r="R13"/>
  <c r="S13"/>
  <c r="T13"/>
  <c r="V13"/>
  <c r="C14"/>
  <c r="K14"/>
  <c r="O14" a="1"/>
  <c r="O14"/>
  <c r="P14"/>
  <c r="Q14"/>
  <c r="R14"/>
  <c r="S14"/>
  <c r="T14"/>
  <c r="V14"/>
  <c r="C15"/>
  <c r="G15"/>
  <c r="H15"/>
  <c r="I15"/>
  <c r="J15"/>
  <c r="K15"/>
  <c r="L15"/>
  <c r="M15"/>
  <c r="N15"/>
  <c r="O15"/>
  <c r="P15"/>
  <c r="Q15"/>
  <c r="R15"/>
  <c r="S15"/>
  <c r="T15"/>
  <c r="U15"/>
  <c r="V15"/>
  <c r="C16"/>
  <c r="L16"/>
  <c r="M16"/>
  <c r="N16"/>
  <c r="O16"/>
  <c r="P16"/>
  <c r="Q16"/>
  <c r="R16"/>
  <c r="S16"/>
  <c r="T16"/>
  <c r="U16"/>
  <c r="V16"/>
  <c r="L17"/>
  <c r="M17"/>
  <c r="N17"/>
  <c r="O17"/>
  <c r="P17"/>
  <c r="Q17"/>
  <c r="R17"/>
  <c r="S17"/>
  <c r="V17"/>
  <c r="C19"/>
  <c r="AD19"/>
  <c r="G19"/>
  <c r="AE19"/>
  <c r="H19"/>
  <c r="I19"/>
  <c r="J19"/>
  <c r="L19"/>
  <c r="M19"/>
  <c r="N19"/>
  <c r="O19"/>
  <c r="P19"/>
  <c r="Q19"/>
  <c r="R19"/>
  <c r="V19"/>
  <c r="X19"/>
  <c r="Y19"/>
  <c r="C20"/>
  <c r="AD20"/>
  <c r="G20"/>
  <c r="AE20"/>
  <c r="H20"/>
  <c r="I20"/>
  <c r="J20"/>
  <c r="L20"/>
  <c r="M20"/>
  <c r="N20"/>
  <c r="O20"/>
  <c r="P20"/>
  <c r="Q20"/>
  <c r="R20"/>
  <c r="S20"/>
  <c r="V20"/>
  <c r="X20"/>
  <c r="Y20"/>
  <c r="AF20"/>
  <c r="AG20"/>
  <c r="C21"/>
  <c r="F21"/>
  <c r="G21"/>
  <c r="H21"/>
  <c r="I21"/>
  <c r="J21"/>
  <c r="K21"/>
  <c r="AD21"/>
  <c r="L21"/>
  <c r="AE21"/>
  <c r="M21"/>
  <c r="N21"/>
  <c r="O21"/>
  <c r="P21"/>
  <c r="Q21"/>
  <c r="R21"/>
  <c r="S21"/>
  <c r="V21"/>
  <c r="X21"/>
  <c r="Y21"/>
  <c r="AF21"/>
  <c r="AG21"/>
  <c r="C22"/>
  <c r="F22"/>
  <c r="G22"/>
  <c r="H22"/>
  <c r="I22"/>
  <c r="J22"/>
  <c r="K22"/>
  <c r="AD22"/>
  <c r="L22"/>
  <c r="AE22"/>
  <c r="M22"/>
  <c r="N22"/>
  <c r="O22"/>
  <c r="P22"/>
  <c r="Q22"/>
  <c r="R22"/>
  <c r="S22"/>
  <c r="V22"/>
  <c r="X22"/>
  <c r="Y22"/>
  <c r="AF22"/>
  <c r="AG22"/>
  <c r="C23"/>
  <c r="F23"/>
  <c r="G23"/>
  <c r="H23"/>
  <c r="I23"/>
  <c r="J23"/>
  <c r="K23"/>
  <c r="AD23"/>
  <c r="L23"/>
  <c r="AE23"/>
  <c r="M23"/>
  <c r="N23"/>
  <c r="O23"/>
  <c r="P23"/>
  <c r="Q23"/>
  <c r="R23"/>
  <c r="S23"/>
  <c r="V23"/>
  <c r="X23"/>
  <c r="Y23"/>
  <c r="AF23"/>
  <c r="AG23"/>
  <c r="C25"/>
  <c r="AF25"/>
  <c r="AG25"/>
  <c r="AD25"/>
  <c r="G25"/>
  <c r="AE25"/>
  <c r="H25"/>
  <c r="V25"/>
  <c r="X25"/>
  <c r="Y25"/>
  <c r="Z25"/>
  <c r="AA25"/>
  <c r="C26"/>
  <c r="AF26"/>
  <c r="AG26"/>
  <c r="AD26"/>
  <c r="G26"/>
  <c r="AE26"/>
  <c r="H26"/>
  <c r="V26"/>
  <c r="X26"/>
  <c r="Y26"/>
  <c r="C27"/>
  <c r="AF27"/>
  <c r="AG27"/>
  <c r="AD27"/>
  <c r="G27"/>
  <c r="AE27"/>
  <c r="H27"/>
  <c r="V27"/>
  <c r="X27"/>
  <c r="Y27"/>
  <c r="C28"/>
  <c r="AF28"/>
  <c r="AG28"/>
  <c r="AD28"/>
  <c r="G28"/>
  <c r="AE28"/>
  <c r="H28"/>
  <c r="V28"/>
  <c r="X28"/>
  <c r="Y28"/>
  <c r="Z28"/>
  <c r="AA28"/>
  <c r="C29"/>
  <c r="AF29"/>
  <c r="AG29"/>
  <c r="AD29"/>
  <c r="G29"/>
  <c r="AE29"/>
  <c r="H29"/>
  <c r="V29"/>
  <c r="X29"/>
  <c r="Y29"/>
  <c r="Z29"/>
  <c r="AA29"/>
  <c r="C31"/>
  <c r="AF31"/>
  <c r="AG31"/>
  <c r="AD31"/>
  <c r="G31"/>
  <c r="AE31"/>
  <c r="H31"/>
  <c r="V31"/>
  <c r="X31"/>
  <c r="Y31"/>
  <c r="C32"/>
  <c r="AF32"/>
  <c r="AG32"/>
  <c r="AD32"/>
  <c r="G32"/>
  <c r="AE32"/>
  <c r="H32"/>
  <c r="V32"/>
  <c r="X32"/>
  <c r="Y32"/>
  <c r="C33"/>
  <c r="AF33"/>
  <c r="AG33"/>
  <c r="AD33"/>
  <c r="G33"/>
  <c r="AE33"/>
  <c r="H33"/>
  <c r="V33"/>
  <c r="X33"/>
  <c r="Y33"/>
  <c r="C34"/>
  <c r="AF34"/>
  <c r="AG34"/>
  <c r="AD34"/>
  <c r="G34"/>
  <c r="AE34"/>
  <c r="H34"/>
  <c r="V34"/>
  <c r="X34"/>
  <c r="Y34"/>
  <c r="C35"/>
  <c r="AF35"/>
  <c r="AG35"/>
  <c r="AD35"/>
  <c r="G35"/>
  <c r="AE35"/>
  <c r="H35"/>
  <c r="V35"/>
  <c r="X35"/>
  <c r="Y35"/>
  <c r="C37"/>
  <c r="AF37"/>
  <c r="AG37"/>
  <c r="AD37"/>
  <c r="G37"/>
  <c r="AE37"/>
  <c r="H37"/>
  <c r="V37"/>
  <c r="X37"/>
  <c r="Y37"/>
  <c r="Z37"/>
  <c r="AA37"/>
  <c r="C38"/>
  <c r="AF38"/>
  <c r="AG38"/>
  <c r="AD38"/>
  <c r="G38"/>
  <c r="AE38"/>
  <c r="H38"/>
  <c r="V38"/>
  <c r="X38"/>
  <c r="Y38"/>
  <c r="Z38"/>
  <c r="AA38"/>
  <c r="C39"/>
  <c r="AF39"/>
  <c r="AG39"/>
  <c r="AD39"/>
  <c r="G39"/>
  <c r="AE39"/>
  <c r="H39"/>
  <c r="V39"/>
  <c r="X39"/>
  <c r="Y39"/>
  <c r="C40"/>
  <c r="AF40"/>
  <c r="AG40"/>
  <c r="AD40"/>
  <c r="G40"/>
  <c r="AE40"/>
  <c r="H40"/>
  <c r="V40"/>
  <c r="X40"/>
  <c r="Y40"/>
  <c r="C41"/>
  <c r="AF41"/>
  <c r="AG41"/>
  <c r="AD41"/>
  <c r="G41"/>
  <c r="AE41"/>
  <c r="H41"/>
  <c r="V41"/>
  <c r="X41"/>
  <c r="Y41"/>
  <c r="Z41"/>
  <c r="AA41"/>
  <c r="C43"/>
  <c r="AF43"/>
  <c r="AG43"/>
  <c r="AD43"/>
  <c r="G43"/>
  <c r="AE43"/>
  <c r="H43"/>
  <c r="V43"/>
  <c r="X43"/>
  <c r="Y43"/>
  <c r="C44"/>
  <c r="AF44"/>
  <c r="AG44"/>
  <c r="AD44"/>
  <c r="G44"/>
  <c r="AE44"/>
  <c r="H44"/>
  <c r="V44"/>
  <c r="X44"/>
  <c r="Y44"/>
  <c r="C45"/>
  <c r="AF45"/>
  <c r="AG45"/>
  <c r="AD45"/>
  <c r="G45"/>
  <c r="AE45"/>
  <c r="H45"/>
  <c r="V45"/>
  <c r="X45"/>
  <c r="Y45"/>
  <c r="C46"/>
  <c r="AF46"/>
  <c r="AG46"/>
  <c r="AD46"/>
  <c r="G46"/>
  <c r="AE46"/>
  <c r="H46"/>
  <c r="V46"/>
  <c r="X46"/>
  <c r="Y46"/>
  <c r="C47"/>
  <c r="AF47"/>
  <c r="AG47"/>
  <c r="AD47"/>
  <c r="G47"/>
  <c r="AE47"/>
  <c r="H47"/>
  <c r="V47"/>
  <c r="X47"/>
  <c r="Y47"/>
  <c r="C49"/>
  <c r="G49"/>
  <c r="H49"/>
  <c r="V49"/>
  <c r="C50"/>
  <c r="G50"/>
  <c r="H50"/>
  <c r="V50"/>
  <c r="C51"/>
  <c r="G51"/>
  <c r="H51"/>
  <c r="V51"/>
  <c r="C52"/>
  <c r="G52"/>
  <c r="H52"/>
  <c r="V52"/>
  <c r="C53"/>
  <c r="G53"/>
  <c r="H53"/>
  <c r="V53"/>
  <c r="C55"/>
  <c r="G55"/>
  <c r="H55"/>
  <c r="V55"/>
  <c r="C56"/>
  <c r="G56"/>
  <c r="H56"/>
  <c r="V56"/>
  <c r="C57"/>
  <c r="G57"/>
  <c r="H57"/>
  <c r="V57"/>
  <c r="C58"/>
  <c r="G58"/>
  <c r="H58"/>
  <c r="V58"/>
  <c r="C59"/>
  <c r="G59"/>
  <c r="H59"/>
  <c r="V59"/>
  <c r="C61"/>
  <c r="G61"/>
  <c r="H61"/>
  <c r="V61"/>
  <c r="C62"/>
  <c r="G62"/>
  <c r="H62"/>
  <c r="V62"/>
  <c r="C63"/>
  <c r="G63"/>
  <c r="H63"/>
  <c r="V63"/>
  <c r="C64"/>
  <c r="G64"/>
  <c r="H64"/>
  <c r="V64"/>
  <c r="C65"/>
  <c r="G65"/>
  <c r="H65"/>
  <c r="V65"/>
  <c r="C67"/>
  <c r="G67"/>
  <c r="H67"/>
  <c r="V67"/>
  <c r="C68"/>
  <c r="G68"/>
  <c r="H68"/>
  <c r="V68"/>
  <c r="C69"/>
  <c r="G69"/>
  <c r="H69"/>
  <c r="V69"/>
  <c r="C70"/>
  <c r="G70"/>
  <c r="H70"/>
  <c r="V70"/>
  <c r="C71"/>
  <c r="G71"/>
  <c r="H71"/>
  <c r="V71"/>
  <c r="C73"/>
  <c r="G73"/>
  <c r="H73"/>
  <c r="I73"/>
  <c r="L73"/>
  <c r="M73"/>
  <c r="N73"/>
  <c r="O73"/>
  <c r="P73"/>
  <c r="Q73"/>
  <c r="R73"/>
  <c r="S73"/>
  <c r="V73"/>
  <c r="C74"/>
  <c r="G74"/>
  <c r="H74"/>
  <c r="I74"/>
  <c r="L74"/>
  <c r="M74"/>
  <c r="N74"/>
  <c r="O74"/>
  <c r="P74"/>
  <c r="Q74"/>
  <c r="R74"/>
  <c r="S74"/>
  <c r="V74"/>
  <c r="C75"/>
  <c r="G75"/>
  <c r="H75"/>
  <c r="I75"/>
  <c r="L75"/>
  <c r="M75"/>
  <c r="N75"/>
  <c r="O75"/>
  <c r="P75"/>
  <c r="Q75"/>
  <c r="R75"/>
  <c r="S75"/>
  <c r="V75"/>
  <c r="C76"/>
  <c r="G76"/>
  <c r="H76"/>
  <c r="I76"/>
  <c r="L76"/>
  <c r="M76"/>
  <c r="N76"/>
  <c r="O76"/>
  <c r="P76"/>
  <c r="Q76"/>
  <c r="R76"/>
  <c r="S76"/>
  <c r="V76"/>
  <c r="C77"/>
  <c r="G77"/>
  <c r="H77"/>
  <c r="I77"/>
  <c r="J77"/>
  <c r="K77"/>
  <c r="L77"/>
  <c r="M77"/>
  <c r="N77"/>
  <c r="O77"/>
  <c r="P77"/>
  <c r="Q77"/>
  <c r="R77"/>
  <c r="S77"/>
  <c r="V77"/>
  <c r="C78"/>
  <c r="F78"/>
  <c r="G78"/>
  <c r="H78"/>
  <c r="I78"/>
  <c r="J78"/>
  <c r="K78"/>
  <c r="L78"/>
  <c r="M78"/>
  <c r="N78"/>
  <c r="O78"/>
  <c r="P78"/>
  <c r="Q78"/>
  <c r="R78"/>
  <c r="S78"/>
  <c r="V78"/>
  <c r="C79"/>
  <c r="F79"/>
  <c r="G79"/>
  <c r="H79"/>
  <c r="I79"/>
  <c r="J79"/>
  <c r="K79"/>
  <c r="L79"/>
  <c r="M79"/>
  <c r="N79"/>
  <c r="O79"/>
  <c r="P79"/>
  <c r="Q79"/>
  <c r="R79"/>
  <c r="S79"/>
  <c r="V79"/>
  <c r="C80"/>
  <c r="F80"/>
  <c r="G80"/>
  <c r="H80"/>
  <c r="I80"/>
  <c r="J80"/>
  <c r="K80"/>
  <c r="L80"/>
  <c r="M80"/>
  <c r="N80"/>
  <c r="O80"/>
  <c r="P80"/>
  <c r="Q80"/>
  <c r="R80"/>
  <c r="S80"/>
  <c r="V80"/>
  <c r="H84"/>
  <c r="J85"/>
  <c r="K85"/>
  <c r="L85"/>
  <c r="M85"/>
  <c r="O85"/>
  <c r="R85"/>
  <c r="S85"/>
  <c r="T85"/>
  <c r="U85"/>
  <c r="X85"/>
  <c r="Q86"/>
  <c r="R86"/>
  <c r="S86"/>
  <c r="Q87"/>
  <c r="R87"/>
  <c r="S87"/>
  <c r="N88"/>
  <c r="O88"/>
  <c r="N89"/>
  <c r="O89"/>
  <c r="N90"/>
  <c r="O90"/>
  <c r="N91"/>
  <c r="O91"/>
  <c r="N92"/>
  <c r="O92"/>
  <c r="L93"/>
  <c r="M93"/>
  <c r="N93"/>
  <c r="O93"/>
  <c r="L94"/>
  <c r="M94"/>
  <c r="N94"/>
  <c r="O94"/>
  <c r="L95"/>
  <c r="M95"/>
  <c r="N95"/>
  <c r="O95"/>
  <c r="L96"/>
  <c r="M96"/>
  <c r="N96"/>
  <c r="O96"/>
  <c r="L97"/>
  <c r="M97"/>
  <c r="C98"/>
  <c r="C99"/>
  <c r="L101"/>
  <c r="M101"/>
  <c r="T101"/>
  <c r="U101"/>
  <c r="L102"/>
  <c r="M102"/>
  <c r="L103"/>
  <c r="M103"/>
  <c r="L104"/>
  <c r="M104"/>
  <c r="T104"/>
  <c r="U104"/>
  <c r="L105"/>
  <c r="M105"/>
  <c r="T105"/>
  <c r="U105"/>
  <c r="L107"/>
  <c r="M107"/>
  <c r="L108"/>
  <c r="M108"/>
  <c r="L109"/>
  <c r="M109"/>
  <c r="L110"/>
  <c r="M110"/>
  <c r="L111"/>
  <c r="M111"/>
  <c r="L113"/>
  <c r="M113"/>
  <c r="T113"/>
  <c r="U113"/>
  <c r="L114"/>
  <c r="M114"/>
  <c r="T114"/>
  <c r="U114"/>
  <c r="L115"/>
  <c r="M115"/>
  <c r="L116"/>
  <c r="M116"/>
  <c r="L117"/>
  <c r="M117"/>
  <c r="T117"/>
  <c r="U117"/>
  <c r="L119"/>
  <c r="M119"/>
  <c r="L120"/>
  <c r="M120"/>
  <c r="L121"/>
  <c r="M121"/>
  <c r="L122"/>
  <c r="M122"/>
  <c r="L123"/>
  <c r="M123"/>
  <c r="I127"/>
  <c r="J127"/>
  <c r="I128"/>
  <c r="J128"/>
  <c r="I129"/>
  <c r="J129"/>
  <c r="I130"/>
  <c r="J130"/>
  <c r="W132"/>
  <c r="X132"/>
  <c r="I133"/>
  <c r="J133"/>
  <c r="W133"/>
  <c r="X133"/>
  <c r="I134"/>
  <c r="J134"/>
  <c r="W134"/>
  <c r="X134"/>
  <c r="I135"/>
  <c r="J135"/>
  <c r="W135"/>
  <c r="X135"/>
  <c r="W136"/>
  <c r="X136"/>
  <c r="W138"/>
  <c r="X138"/>
  <c r="W139"/>
  <c r="X139"/>
  <c r="W140"/>
  <c r="X140"/>
  <c r="W141"/>
  <c r="X141"/>
  <c r="W142"/>
  <c r="X142"/>
  <c r="W144"/>
  <c r="X144"/>
  <c r="I145"/>
  <c r="J145"/>
  <c r="W145"/>
  <c r="X145"/>
  <c r="I146"/>
  <c r="J146"/>
  <c r="W146"/>
  <c r="X146"/>
  <c r="I147"/>
  <c r="J147"/>
  <c r="W147"/>
  <c r="X147"/>
  <c r="W148"/>
  <c r="X148"/>
  <c r="W150"/>
  <c r="X150"/>
  <c r="W151"/>
  <c r="X151"/>
  <c r="W152"/>
  <c r="X152"/>
  <c r="W153"/>
  <c r="X153"/>
  <c r="W154"/>
  <c r="X154"/>
  <c r="F4" i="121"/>
  <c r="V4"/>
  <c r="N5"/>
  <c r="O5"/>
  <c r="P5"/>
  <c r="F6"/>
  <c r="H6"/>
  <c r="N6"/>
  <c r="O6"/>
  <c r="P6"/>
  <c r="D7"/>
  <c r="F7"/>
  <c r="G7"/>
  <c r="H7"/>
  <c r="N7"/>
  <c r="O7"/>
  <c r="P7"/>
  <c r="B8"/>
  <c r="C8"/>
  <c r="D8"/>
  <c r="F8"/>
  <c r="G8"/>
  <c r="H8"/>
  <c r="N8"/>
  <c r="O8"/>
  <c r="P8"/>
  <c r="B9"/>
  <c r="C9"/>
  <c r="D9"/>
  <c r="F9"/>
  <c r="G9"/>
  <c r="H9"/>
  <c r="N9"/>
  <c r="O9"/>
  <c r="P9"/>
  <c r="C10"/>
  <c r="D10"/>
  <c r="F10"/>
  <c r="G10"/>
  <c r="H10"/>
  <c r="N10"/>
  <c r="O10"/>
  <c r="P10"/>
  <c r="C11"/>
  <c r="D11"/>
  <c r="F11"/>
  <c r="G11"/>
  <c r="H11"/>
  <c r="N11"/>
  <c r="O11"/>
  <c r="P11"/>
  <c r="C12"/>
  <c r="D12"/>
  <c r="F12"/>
  <c r="G12"/>
  <c r="H12"/>
  <c r="N12"/>
  <c r="O12"/>
  <c r="P12"/>
  <c r="D13"/>
  <c r="F13"/>
  <c r="G13"/>
  <c r="H13"/>
  <c r="N13"/>
  <c r="O13"/>
  <c r="P13"/>
  <c r="F14"/>
  <c r="G14"/>
  <c r="H14"/>
  <c r="N14"/>
  <c r="O14"/>
  <c r="P14"/>
  <c r="F15"/>
  <c r="G15"/>
  <c r="H15"/>
  <c r="N15"/>
  <c r="O15"/>
  <c r="P15"/>
  <c r="F16"/>
  <c r="G16"/>
  <c r="H16"/>
  <c r="N16"/>
  <c r="O16"/>
  <c r="P16"/>
  <c r="F17"/>
  <c r="G17"/>
  <c r="N17"/>
  <c r="O17"/>
  <c r="P17"/>
  <c r="F18"/>
  <c r="G18"/>
  <c r="H18"/>
  <c r="N18"/>
  <c r="O18"/>
  <c r="P18"/>
  <c r="F19"/>
  <c r="G19"/>
  <c r="H19"/>
  <c r="N19"/>
  <c r="O19"/>
  <c r="P19"/>
  <c r="F20"/>
  <c r="G20"/>
  <c r="H20"/>
  <c r="N20"/>
  <c r="O20"/>
  <c r="P20"/>
  <c r="F21"/>
  <c r="N21"/>
  <c r="O21"/>
  <c r="P21"/>
  <c r="F22"/>
  <c r="N22"/>
  <c r="O22"/>
  <c r="P22"/>
  <c r="F23"/>
  <c r="N23"/>
  <c r="O23"/>
  <c r="P23"/>
  <c r="F24"/>
  <c r="G24"/>
  <c r="H24"/>
  <c r="N24"/>
  <c r="O24"/>
  <c r="P24"/>
  <c r="F25"/>
  <c r="N25"/>
  <c r="O25"/>
  <c r="P25"/>
  <c r="F26"/>
  <c r="N26"/>
  <c r="O26"/>
  <c r="P26"/>
  <c r="F27"/>
  <c r="B42"/>
  <c r="B41"/>
  <c r="N27"/>
  <c r="O27"/>
  <c r="P27"/>
  <c r="F28"/>
  <c r="G28"/>
  <c r="H28"/>
  <c r="N28"/>
  <c r="O28"/>
  <c r="P28"/>
  <c r="F29"/>
  <c r="G29"/>
  <c r="H29"/>
  <c r="N29"/>
  <c r="O29"/>
  <c r="P29"/>
  <c r="F30"/>
  <c r="G30"/>
  <c r="H30"/>
  <c r="N30"/>
  <c r="O30"/>
  <c r="P30"/>
  <c r="F31"/>
  <c r="G31"/>
  <c r="H31"/>
  <c r="N31"/>
  <c r="O31"/>
  <c r="P31"/>
  <c r="F32"/>
  <c r="G32"/>
  <c r="H32"/>
  <c r="N32"/>
  <c r="O32"/>
  <c r="P32"/>
  <c r="F33"/>
  <c r="G33"/>
  <c r="H33"/>
  <c r="N33"/>
  <c r="O33"/>
  <c r="P33"/>
  <c r="F34"/>
  <c r="G34"/>
  <c r="N34"/>
  <c r="O34"/>
  <c r="P34"/>
  <c r="F35"/>
  <c r="G35"/>
  <c r="H35"/>
  <c r="N35"/>
  <c r="O35"/>
  <c r="P35"/>
  <c r="F36"/>
  <c r="N36"/>
  <c r="O36"/>
  <c r="P36"/>
  <c r="F37"/>
  <c r="N37"/>
  <c r="O37"/>
  <c r="P37"/>
  <c r="F38"/>
  <c r="N38"/>
  <c r="O38"/>
  <c r="P38"/>
  <c r="F39"/>
  <c r="N39"/>
  <c r="O39"/>
  <c r="P39"/>
  <c r="F40"/>
  <c r="N40"/>
  <c r="O40"/>
  <c r="P40"/>
  <c r="C41"/>
  <c r="F41"/>
  <c r="G41"/>
  <c r="H41"/>
  <c r="N41"/>
  <c r="N41" a="1"/>
  <c r="O41"/>
  <c r="P41"/>
  <c r="F42"/>
  <c r="N42"/>
  <c r="O42"/>
  <c r="P42"/>
  <c r="F43"/>
  <c r="N43"/>
  <c r="O43"/>
  <c r="P43"/>
  <c r="F44"/>
  <c r="N44"/>
  <c r="O44"/>
  <c r="P44"/>
  <c r="N45"/>
  <c r="O45"/>
  <c r="P45"/>
  <c r="N46"/>
  <c r="O46"/>
  <c r="P46"/>
  <c r="N47"/>
  <c r="O47"/>
  <c r="P47"/>
  <c r="B4" i="122"/>
  <c r="C4"/>
  <c r="B5"/>
  <c r="C5"/>
  <c r="B7"/>
  <c r="B6"/>
  <c r="G7"/>
  <c r="H7"/>
  <c r="B11"/>
  <c r="B8"/>
  <c r="B9"/>
  <c r="G10"/>
  <c r="G8"/>
  <c r="H8"/>
  <c r="B12"/>
  <c r="G9"/>
  <c r="H9"/>
  <c r="H10"/>
  <c r="G11"/>
  <c r="H11"/>
  <c r="H12"/>
  <c r="I5"/>
  <c r="C7"/>
  <c r="C6"/>
  <c r="O7"/>
  <c r="P7"/>
  <c r="C11"/>
  <c r="C8"/>
  <c r="C9"/>
  <c r="O10"/>
  <c r="O8"/>
  <c r="P8"/>
  <c r="C12"/>
  <c r="O9"/>
  <c r="P9"/>
  <c r="P10"/>
  <c r="O11"/>
  <c r="P11"/>
  <c r="P12"/>
  <c r="Q5"/>
  <c r="E6"/>
  <c r="M6"/>
  <c r="I7"/>
  <c r="J7"/>
  <c r="K7"/>
  <c r="Q7"/>
  <c r="R7"/>
  <c r="S7"/>
  <c r="I11"/>
  <c r="J10"/>
  <c r="J8"/>
  <c r="I8"/>
  <c r="K8"/>
  <c r="Q11"/>
  <c r="R10"/>
  <c r="R8"/>
  <c r="Q8"/>
  <c r="S8"/>
  <c r="J9"/>
  <c r="I9"/>
  <c r="K9"/>
  <c r="R9"/>
  <c r="Q9"/>
  <c r="S9"/>
  <c r="B10"/>
  <c r="C10"/>
  <c r="I10"/>
  <c r="K10"/>
  <c r="Q10"/>
  <c r="S10"/>
  <c r="J11"/>
  <c r="K11"/>
  <c r="R11"/>
  <c r="S11"/>
  <c r="K12"/>
  <c r="S12"/>
  <c r="B17"/>
  <c r="P17"/>
  <c r="D18"/>
  <c r="Q18"/>
  <c r="R18"/>
  <c r="C19"/>
  <c r="D19"/>
  <c r="E19"/>
  <c r="F19"/>
  <c r="G19"/>
  <c r="H19"/>
  <c r="C20"/>
  <c r="D20"/>
  <c r="E20"/>
  <c r="F20"/>
  <c r="G20"/>
  <c r="H20"/>
  <c r="Q20"/>
  <c r="R20"/>
  <c r="C21"/>
  <c r="D21"/>
  <c r="E21"/>
  <c r="F21"/>
  <c r="G21"/>
  <c r="H21"/>
  <c r="Q21"/>
  <c r="R21"/>
  <c r="C22"/>
  <c r="D22"/>
  <c r="E22"/>
  <c r="F22"/>
  <c r="G22"/>
  <c r="H22"/>
  <c r="Q23"/>
  <c r="Q22"/>
  <c r="R23"/>
  <c r="R22"/>
  <c r="C23"/>
  <c r="D23"/>
  <c r="E23"/>
  <c r="F23"/>
  <c r="G23"/>
  <c r="H23"/>
  <c r="C24"/>
  <c r="D24"/>
  <c r="E24"/>
  <c r="F24"/>
  <c r="K24"/>
  <c r="G24"/>
  <c r="H24"/>
  <c r="C25"/>
  <c r="D25"/>
  <c r="E33"/>
  <c r="F34"/>
  <c r="G34"/>
  <c r="F35"/>
  <c r="G35"/>
  <c r="H35"/>
  <c r="I35"/>
  <c r="J35"/>
  <c r="K35"/>
  <c r="L35"/>
  <c r="B36"/>
  <c r="D36"/>
  <c r="F36"/>
  <c r="G36"/>
  <c r="H36"/>
  <c r="I36"/>
  <c r="J36"/>
  <c r="K36"/>
  <c r="L36"/>
  <c r="B37"/>
  <c r="D37"/>
  <c r="F37"/>
  <c r="G37"/>
  <c r="H37"/>
  <c r="I37"/>
  <c r="J37"/>
  <c r="K37"/>
  <c r="L37"/>
  <c r="Q37"/>
  <c r="R37"/>
  <c r="S37"/>
  <c r="T37"/>
  <c r="B38"/>
  <c r="D38"/>
  <c r="F38"/>
  <c r="G38"/>
  <c r="H38"/>
  <c r="I38"/>
  <c r="J38"/>
  <c r="K38"/>
  <c r="L38"/>
  <c r="Q38"/>
  <c r="R38"/>
  <c r="S38"/>
  <c r="T38"/>
  <c r="B39"/>
  <c r="D39"/>
  <c r="F39"/>
  <c r="G39"/>
  <c r="H39"/>
  <c r="I39"/>
  <c r="J39"/>
  <c r="K39"/>
  <c r="L39"/>
  <c r="B40"/>
  <c r="B41"/>
  <c r="D41"/>
  <c r="H41"/>
  <c r="I41"/>
  <c r="J41"/>
  <c r="B42"/>
  <c r="D42"/>
  <c r="H42"/>
  <c r="I42"/>
  <c r="J42"/>
  <c r="B43"/>
  <c r="D43"/>
  <c r="H43"/>
  <c r="I43"/>
  <c r="J43"/>
  <c r="B44"/>
  <c r="D44"/>
  <c r="H44"/>
  <c r="I44"/>
  <c r="J44"/>
  <c r="P113" i="82"/>
  <c r="E108"/>
  <c r="D113"/>
  <c r="D119"/>
  <c r="F1" i="89"/>
  <c r="B1" i="111"/>
  <c r="P120" i="109" a="1"/>
  <c r="P120"/>
  <c r="Q120"/>
  <c r="R120"/>
  <c r="S120"/>
  <c r="T120"/>
  <c r="U120"/>
  <c r="V120"/>
  <c r="K102"/>
  <c r="K99"/>
  <c r="J101"/>
  <c r="J100"/>
  <c r="K101"/>
  <c r="E107" i="112"/>
  <c r="G47"/>
  <c r="G42"/>
  <c r="G36"/>
  <c r="G26"/>
  <c r="G55"/>
  <c r="I47"/>
  <c r="I42"/>
  <c r="I36"/>
  <c r="I26"/>
  <c r="I55"/>
  <c r="O66"/>
  <c r="P66"/>
  <c r="Q66"/>
  <c r="G107"/>
  <c r="K100" i="109"/>
  <c r="X120"/>
  <c r="M105" i="82"/>
  <c r="M99"/>
  <c r="F4"/>
  <c r="F41"/>
  <c r="G79"/>
  <c r="F97" i="111"/>
  <c r="D97"/>
  <c r="O103" i="109" a="1"/>
  <c r="O103"/>
  <c r="P103"/>
  <c r="Q103"/>
  <c r="R103"/>
  <c r="S103"/>
  <c r="T103"/>
  <c r="U103"/>
  <c r="V103"/>
  <c r="O104"/>
  <c r="P104"/>
  <c r="Q104"/>
  <c r="R104"/>
  <c r="S104"/>
  <c r="T104"/>
  <c r="U104"/>
  <c r="V104"/>
  <c r="O105"/>
  <c r="P105"/>
  <c r="Q105"/>
  <c r="R105"/>
  <c r="S105"/>
  <c r="T105"/>
  <c r="U105"/>
  <c r="V105"/>
  <c r="O106"/>
  <c r="P106"/>
  <c r="Q106"/>
  <c r="R106"/>
  <c r="S106"/>
  <c r="T106"/>
  <c r="U106"/>
  <c r="V106"/>
  <c r="O107"/>
  <c r="P107"/>
  <c r="Q107"/>
  <c r="R107"/>
  <c r="S107"/>
  <c r="T107"/>
  <c r="U107"/>
  <c r="V107"/>
  <c r="O108"/>
  <c r="P108"/>
  <c r="Q108"/>
  <c r="R108"/>
  <c r="S108"/>
  <c r="T108"/>
  <c r="U108"/>
  <c r="V108"/>
  <c r="O109"/>
  <c r="P109"/>
  <c r="Q109"/>
  <c r="R109"/>
  <c r="S109"/>
  <c r="T109"/>
  <c r="U109"/>
  <c r="V109"/>
  <c r="O110"/>
  <c r="P110"/>
  <c r="Q110"/>
  <c r="R110"/>
  <c r="S110"/>
  <c r="T110"/>
  <c r="U110"/>
  <c r="V110"/>
  <c r="O111"/>
  <c r="P111"/>
  <c r="Q111"/>
  <c r="R111"/>
  <c r="S111"/>
  <c r="T111"/>
  <c r="U111"/>
  <c r="V111"/>
  <c r="O112"/>
  <c r="P112"/>
  <c r="Q112"/>
  <c r="R112"/>
  <c r="S112"/>
  <c r="T112"/>
  <c r="U112"/>
  <c r="V112"/>
  <c r="O113"/>
  <c r="P113"/>
  <c r="Q113"/>
  <c r="R113"/>
  <c r="S113"/>
  <c r="T113"/>
  <c r="U113"/>
  <c r="V113"/>
  <c r="O114"/>
  <c r="P114"/>
  <c r="Q114"/>
  <c r="R114"/>
  <c r="S114"/>
  <c r="T114"/>
  <c r="U114"/>
  <c r="V114"/>
  <c r="O115"/>
  <c r="P115"/>
  <c r="Q115"/>
  <c r="R115"/>
  <c r="S115"/>
  <c r="T115"/>
  <c r="U115"/>
  <c r="V115"/>
  <c r="O116"/>
  <c r="P116"/>
  <c r="Q116"/>
  <c r="R116"/>
  <c r="S116"/>
  <c r="T116"/>
  <c r="U116"/>
  <c r="V116"/>
  <c r="O117"/>
  <c r="P117"/>
  <c r="Q117"/>
  <c r="R117"/>
  <c r="S117"/>
  <c r="T117"/>
  <c r="U117"/>
  <c r="V117"/>
  <c r="O118"/>
  <c r="P118"/>
  <c r="Q118"/>
  <c r="R118"/>
  <c r="S118"/>
  <c r="T118"/>
  <c r="U118"/>
  <c r="V118"/>
  <c r="W103"/>
  <c r="W104"/>
  <c r="W105"/>
  <c r="W106"/>
  <c r="W107"/>
  <c r="W108"/>
  <c r="W109"/>
  <c r="W110"/>
  <c r="W111"/>
  <c r="W112"/>
  <c r="W113"/>
  <c r="W114"/>
  <c r="W115"/>
  <c r="W116"/>
  <c r="W117"/>
  <c r="W118"/>
  <c r="W121"/>
  <c r="C14"/>
  <c r="W120"/>
  <c r="C106" i="112"/>
  <c r="E106"/>
  <c r="G106"/>
  <c r="H106"/>
  <c r="P38" i="109"/>
  <c r="R38"/>
  <c r="X119"/>
  <c r="Q119"/>
  <c r="R119"/>
  <c r="W119"/>
  <c r="X102"/>
  <c r="W102"/>
  <c r="V1" i="107"/>
  <c r="V80"/>
  <c r="V79"/>
  <c r="V78"/>
  <c r="V77"/>
  <c r="V76"/>
  <c r="V75"/>
  <c r="V74"/>
  <c r="V73"/>
  <c r="V71"/>
  <c r="V70"/>
  <c r="V69"/>
  <c r="V68"/>
  <c r="V67"/>
  <c r="V65"/>
  <c r="V64"/>
  <c r="V63"/>
  <c r="V62"/>
  <c r="V61"/>
  <c r="V59"/>
  <c r="V58"/>
  <c r="V57"/>
  <c r="V56"/>
  <c r="V55"/>
  <c r="V53"/>
  <c r="V52"/>
  <c r="V51"/>
  <c r="V50"/>
  <c r="V49"/>
  <c r="Y51" i="111" a="1"/>
  <c r="Z51"/>
  <c r="AA51"/>
  <c r="Y51"/>
  <c r="X85" i="107"/>
  <c r="C93" i="112"/>
  <c r="D93"/>
  <c r="O62"/>
  <c r="E47"/>
  <c r="C92"/>
  <c r="F47"/>
  <c r="D92"/>
  <c r="E26"/>
  <c r="C91"/>
  <c r="F26"/>
  <c r="D91"/>
  <c r="H42"/>
  <c r="C105"/>
  <c r="E105"/>
  <c r="G105"/>
  <c r="H105"/>
  <c r="P37" i="109"/>
  <c r="H53" i="107"/>
  <c r="H42" i="89"/>
  <c r="C105"/>
  <c r="I42"/>
  <c r="E105"/>
  <c r="G47"/>
  <c r="G42"/>
  <c r="G36"/>
  <c r="G26"/>
  <c r="G55"/>
  <c r="I47"/>
  <c r="I36"/>
  <c r="I26"/>
  <c r="I55"/>
  <c r="O66"/>
  <c r="P66"/>
  <c r="Q66"/>
  <c r="G105"/>
  <c r="H105"/>
  <c r="O37" i="109"/>
  <c r="G53" i="107"/>
  <c r="C104" i="112"/>
  <c r="E104"/>
  <c r="G104"/>
  <c r="H104"/>
  <c r="P36" i="109"/>
  <c r="H52" i="107"/>
  <c r="C104" i="89"/>
  <c r="E104"/>
  <c r="G104"/>
  <c r="H104"/>
  <c r="O36" i="109"/>
  <c r="G52" i="107"/>
  <c r="H47" i="112"/>
  <c r="C103"/>
  <c r="E103"/>
  <c r="G103"/>
  <c r="H103"/>
  <c r="P35" i="109"/>
  <c r="H51" i="107"/>
  <c r="H47" i="89"/>
  <c r="C103"/>
  <c r="E103"/>
  <c r="G103"/>
  <c r="H103"/>
  <c r="O35" i="109"/>
  <c r="G51" i="107"/>
  <c r="H26" i="112"/>
  <c r="C102"/>
  <c r="E102"/>
  <c r="G102"/>
  <c r="H102"/>
  <c r="P34" i="109"/>
  <c r="H50" i="107"/>
  <c r="H26" i="89"/>
  <c r="C102"/>
  <c r="E102"/>
  <c r="G102"/>
  <c r="H102"/>
  <c r="O34" i="109"/>
  <c r="G50" i="107"/>
  <c r="E42" i="112"/>
  <c r="C94"/>
  <c r="F42"/>
  <c r="D94"/>
  <c r="E36"/>
  <c r="C90"/>
  <c r="F36"/>
  <c r="D90"/>
  <c r="C26" i="89"/>
  <c r="C36"/>
  <c r="C42"/>
  <c r="C47"/>
  <c r="D26"/>
  <c r="D36"/>
  <c r="D42"/>
  <c r="D47"/>
  <c r="J5"/>
  <c r="J6"/>
  <c r="C26" i="112"/>
  <c r="C36"/>
  <c r="C42"/>
  <c r="C47"/>
  <c r="D26"/>
  <c r="D36"/>
  <c r="D42"/>
  <c r="D47"/>
  <c r="J5"/>
  <c r="J6"/>
  <c r="F42" i="89"/>
  <c r="D94"/>
  <c r="O62"/>
  <c r="E94"/>
  <c r="D93"/>
  <c r="E93"/>
  <c r="F47"/>
  <c r="D92"/>
  <c r="E92"/>
  <c r="F26"/>
  <c r="D91"/>
  <c r="E91"/>
  <c r="F36"/>
  <c r="D90"/>
  <c r="E90"/>
  <c r="D95"/>
  <c r="C95"/>
  <c r="E95"/>
  <c r="C95" i="112"/>
  <c r="D95"/>
  <c r="E95"/>
  <c r="O45" i="109" a="1"/>
  <c r="O45"/>
  <c r="P45"/>
  <c r="Q45"/>
  <c r="R45"/>
  <c r="S45"/>
  <c r="T45"/>
  <c r="U45"/>
  <c r="O46"/>
  <c r="P46"/>
  <c r="Q46"/>
  <c r="R46"/>
  <c r="S46"/>
  <c r="T46"/>
  <c r="U46"/>
  <c r="O47"/>
  <c r="P47"/>
  <c r="Q47"/>
  <c r="R47"/>
  <c r="S47"/>
  <c r="T47"/>
  <c r="U47"/>
  <c r="O48"/>
  <c r="P48"/>
  <c r="Q48"/>
  <c r="R48"/>
  <c r="S48"/>
  <c r="T48"/>
  <c r="U48"/>
  <c r="O75" a="1"/>
  <c r="O75"/>
  <c r="P75"/>
  <c r="Q75"/>
  <c r="R75"/>
  <c r="S75"/>
  <c r="T75"/>
  <c r="U75"/>
  <c r="O76"/>
  <c r="P76"/>
  <c r="Q76"/>
  <c r="R76"/>
  <c r="S76"/>
  <c r="T76"/>
  <c r="U76"/>
  <c r="O77"/>
  <c r="P77"/>
  <c r="Q77"/>
  <c r="R77"/>
  <c r="S77"/>
  <c r="T77"/>
  <c r="U77"/>
  <c r="O78"/>
  <c r="P78"/>
  <c r="Q78"/>
  <c r="R78"/>
  <c r="S78"/>
  <c r="T78"/>
  <c r="U78"/>
  <c r="O8"/>
  <c r="I73" i="107"/>
  <c r="I76"/>
  <c r="H73"/>
  <c r="H76"/>
  <c r="C106" i="89"/>
  <c r="H106"/>
  <c r="O38" i="109"/>
  <c r="G73" i="107"/>
  <c r="G76"/>
  <c r="I75"/>
  <c r="H75"/>
  <c r="G75"/>
  <c r="I74"/>
  <c r="H74"/>
  <c r="G74"/>
  <c r="C76"/>
  <c r="C75"/>
  <c r="C74"/>
  <c r="U119" i="109"/>
  <c r="T119"/>
  <c r="S119"/>
  <c r="Q38"/>
  <c r="P119"/>
  <c r="E41" i="111"/>
  <c r="N15" i="109" a="1"/>
  <c r="N15"/>
  <c r="O15"/>
  <c r="P15"/>
  <c r="N18" a="1"/>
  <c r="V5"/>
  <c r="U7"/>
  <c r="U6"/>
  <c r="V7"/>
  <c r="V6"/>
  <c r="D82" i="112"/>
  <c r="C1" i="109"/>
  <c r="L11"/>
  <c r="N26" a="1"/>
  <c r="N26"/>
  <c r="O26"/>
  <c r="P26"/>
  <c r="Q26"/>
  <c r="R26"/>
  <c r="S26"/>
  <c r="T26"/>
  <c r="U26"/>
  <c r="V26"/>
  <c r="W26"/>
  <c r="M11"/>
  <c r="D83" i="112"/>
  <c r="N29" i="109" a="1"/>
  <c r="N29"/>
  <c r="O29"/>
  <c r="P29"/>
  <c r="Q29"/>
  <c r="R29"/>
  <c r="S29"/>
  <c r="T29"/>
  <c r="U29"/>
  <c r="V29"/>
  <c r="W29"/>
  <c r="J11"/>
  <c r="V14" i="107"/>
  <c r="V13"/>
  <c r="O13" a="1"/>
  <c r="O13"/>
  <c r="P13"/>
  <c r="Q13"/>
  <c r="R13"/>
  <c r="S13"/>
  <c r="T13"/>
  <c r="O12" a="1"/>
  <c r="O12"/>
  <c r="P12"/>
  <c r="Q12"/>
  <c r="R12"/>
  <c r="S12"/>
  <c r="T12"/>
  <c r="N25" i="109" a="1"/>
  <c r="N25"/>
  <c r="O25"/>
  <c r="P25"/>
  <c r="Q25"/>
  <c r="R25"/>
  <c r="S25"/>
  <c r="T25"/>
  <c r="U25"/>
  <c r="V25"/>
  <c r="N27" a="1"/>
  <c r="N27"/>
  <c r="O27"/>
  <c r="P27"/>
  <c r="Q27"/>
  <c r="R27"/>
  <c r="S27"/>
  <c r="T27"/>
  <c r="U27"/>
  <c r="V27"/>
  <c r="W27"/>
  <c r="N11"/>
  <c r="D84" i="112"/>
  <c r="D82" i="89"/>
  <c r="D83"/>
  <c r="D84"/>
  <c r="I47" i="111"/>
  <c r="H46"/>
  <c r="H47"/>
  <c r="G46"/>
  <c r="G47"/>
  <c r="F46"/>
  <c r="F47"/>
  <c r="E46"/>
  <c r="E47"/>
  <c r="D46"/>
  <c r="D47"/>
  <c r="C46"/>
  <c r="C47"/>
  <c r="C82" i="112"/>
  <c r="H82"/>
  <c r="D25" i="109"/>
  <c r="H12" i="107"/>
  <c r="H13"/>
  <c r="C82" i="89"/>
  <c r="H82"/>
  <c r="C25" i="109"/>
  <c r="G12" i="107"/>
  <c r="G13"/>
  <c r="C14"/>
  <c r="C13"/>
  <c r="E96" i="112"/>
  <c r="D96"/>
  <c r="C96"/>
  <c r="H96"/>
  <c r="D39" i="109"/>
  <c r="E96" i="89"/>
  <c r="G96"/>
  <c r="D96"/>
  <c r="C96"/>
  <c r="H96"/>
  <c r="C39" i="109"/>
  <c r="Y19" i="107"/>
  <c r="X19"/>
  <c r="Y23"/>
  <c r="X23"/>
  <c r="Y22"/>
  <c r="X22"/>
  <c r="Y21"/>
  <c r="X21"/>
  <c r="Y20"/>
  <c r="X20"/>
  <c r="N23" i="109" a="1"/>
  <c r="N23"/>
  <c r="O23"/>
  <c r="P23"/>
  <c r="Q23"/>
  <c r="R23"/>
  <c r="S23"/>
  <c r="T23"/>
  <c r="U23"/>
  <c r="V23"/>
  <c r="N22" a="1"/>
  <c r="N22"/>
  <c r="O22"/>
  <c r="P22"/>
  <c r="Q22"/>
  <c r="R22"/>
  <c r="S22"/>
  <c r="T22"/>
  <c r="U22"/>
  <c r="V22"/>
  <c r="N21" a="1"/>
  <c r="N21"/>
  <c r="O21"/>
  <c r="P21"/>
  <c r="Q21"/>
  <c r="R21"/>
  <c r="S21"/>
  <c r="T21"/>
  <c r="U21"/>
  <c r="V21"/>
  <c r="I11"/>
  <c r="N20" a="1"/>
  <c r="N20"/>
  <c r="O20"/>
  <c r="P20"/>
  <c r="Q20"/>
  <c r="R20"/>
  <c r="S20"/>
  <c r="T20"/>
  <c r="U20"/>
  <c r="V20"/>
  <c r="H11"/>
  <c r="N19" a="1"/>
  <c r="N19"/>
  <c r="O19"/>
  <c r="P19"/>
  <c r="Q19"/>
  <c r="R19"/>
  <c r="S19"/>
  <c r="T19"/>
  <c r="U19"/>
  <c r="V19"/>
  <c r="G11"/>
  <c r="N24" a="1"/>
  <c r="N24"/>
  <c r="O24"/>
  <c r="P24"/>
  <c r="Q24"/>
  <c r="R24"/>
  <c r="S24"/>
  <c r="T24"/>
  <c r="U24"/>
  <c r="V24"/>
  <c r="K8"/>
  <c r="K11"/>
  <c r="T6" a="1"/>
  <c r="T6"/>
  <c r="T7"/>
  <c r="S6" a="1"/>
  <c r="S6"/>
  <c r="S7"/>
  <c r="N28" a="1"/>
  <c r="O11"/>
  <c r="V23" i="107"/>
  <c r="V22"/>
  <c r="V21"/>
  <c r="K23"/>
  <c r="F23"/>
  <c r="K22"/>
  <c r="F22"/>
  <c r="K21"/>
  <c r="F21"/>
  <c r="C23"/>
  <c r="C22"/>
  <c r="C21"/>
  <c r="C107" i="112"/>
  <c r="H107"/>
  <c r="P39" i="109"/>
  <c r="J127" i="107"/>
  <c r="J130"/>
  <c r="J129"/>
  <c r="J128"/>
  <c r="C107" i="89"/>
  <c r="E107"/>
  <c r="G107"/>
  <c r="H107"/>
  <c r="O39" i="109"/>
  <c r="I127" i="107"/>
  <c r="I130"/>
  <c r="I129"/>
  <c r="I128"/>
  <c r="C80"/>
  <c r="C79"/>
  <c r="C78"/>
  <c r="K77"/>
  <c r="K80"/>
  <c r="H77"/>
  <c r="H80"/>
  <c r="G77"/>
  <c r="G80"/>
  <c r="F80"/>
  <c r="K79"/>
  <c r="H79"/>
  <c r="G79"/>
  <c r="F79"/>
  <c r="H78"/>
  <c r="G78"/>
  <c r="F78"/>
  <c r="K78"/>
  <c r="S31" i="109"/>
  <c r="B53" i="82"/>
  <c r="Y41" i="107"/>
  <c r="Z41"/>
  <c r="AA41"/>
  <c r="Y38"/>
  <c r="Z38"/>
  <c r="AA38"/>
  <c r="Y37"/>
  <c r="Z37"/>
  <c r="AA37"/>
  <c r="Y29"/>
  <c r="Z29"/>
  <c r="AA29"/>
  <c r="Y28"/>
  <c r="Z28"/>
  <c r="AA28"/>
  <c r="Y25"/>
  <c r="Z25"/>
  <c r="AA25"/>
  <c r="AA4"/>
  <c r="Z4"/>
  <c r="T117"/>
  <c r="U117"/>
  <c r="T114"/>
  <c r="U114"/>
  <c r="T113"/>
  <c r="U113"/>
  <c r="T101"/>
  <c r="U101"/>
  <c r="T105"/>
  <c r="U105"/>
  <c r="T104"/>
  <c r="U104"/>
  <c r="U85"/>
  <c r="T85"/>
  <c r="X29"/>
  <c r="X28"/>
  <c r="E47" i="89"/>
  <c r="C92"/>
  <c r="E26"/>
  <c r="C91"/>
  <c r="X25" i="107"/>
  <c r="X41"/>
  <c r="X38"/>
  <c r="X37"/>
  <c r="X47"/>
  <c r="X46"/>
  <c r="X45"/>
  <c r="X44"/>
  <c r="X43"/>
  <c r="C93" i="89"/>
  <c r="X35" i="107"/>
  <c r="X34"/>
  <c r="X33"/>
  <c r="X32"/>
  <c r="X31"/>
  <c r="Y47"/>
  <c r="Y46"/>
  <c r="Y45"/>
  <c r="Y44"/>
  <c r="Y43"/>
  <c r="Y35"/>
  <c r="Y34"/>
  <c r="Y33"/>
  <c r="Y32"/>
  <c r="Y31"/>
  <c r="X4"/>
  <c r="Y4"/>
  <c r="S79" i="112"/>
  <c r="S77"/>
  <c r="S78"/>
  <c r="S76"/>
  <c r="T76"/>
  <c r="S75"/>
  <c r="E94"/>
  <c r="E93"/>
  <c r="E92"/>
  <c r="E91"/>
  <c r="E90"/>
  <c r="D51" i="109" a="1"/>
  <c r="D51"/>
  <c r="E51"/>
  <c r="F51"/>
  <c r="G51"/>
  <c r="D52"/>
  <c r="E52"/>
  <c r="F52"/>
  <c r="G52"/>
  <c r="C45" a="1"/>
  <c r="C45"/>
  <c r="D45"/>
  <c r="E45"/>
  <c r="F45"/>
  <c r="G45"/>
  <c r="H45"/>
  <c r="C46"/>
  <c r="D46"/>
  <c r="E46"/>
  <c r="F46"/>
  <c r="G46"/>
  <c r="H46"/>
  <c r="C47"/>
  <c r="D47"/>
  <c r="E47"/>
  <c r="F47"/>
  <c r="G47"/>
  <c r="H47"/>
  <c r="C48"/>
  <c r="D48"/>
  <c r="E48"/>
  <c r="F48"/>
  <c r="G48"/>
  <c r="H48"/>
  <c r="E42" i="89"/>
  <c r="C94"/>
  <c r="E36"/>
  <c r="C90"/>
  <c r="V47" i="107"/>
  <c r="V46"/>
  <c r="V45"/>
  <c r="V44"/>
  <c r="V43"/>
  <c r="V41"/>
  <c r="V40"/>
  <c r="V39"/>
  <c r="V38"/>
  <c r="V37"/>
  <c r="V35"/>
  <c r="V34"/>
  <c r="V33"/>
  <c r="V32"/>
  <c r="V31"/>
  <c r="V29"/>
  <c r="V28"/>
  <c r="V27"/>
  <c r="V26"/>
  <c r="V25"/>
  <c r="V19"/>
  <c r="V20"/>
  <c r="V17"/>
  <c r="V16"/>
  <c r="V15"/>
  <c r="V12"/>
  <c r="V11"/>
  <c r="V10"/>
  <c r="V9"/>
  <c r="V8"/>
  <c r="V7"/>
  <c r="V6"/>
  <c r="V5"/>
  <c r="D39" i="110"/>
  <c r="B39"/>
  <c r="D44"/>
  <c r="B44"/>
  <c r="D38"/>
  <c r="B38"/>
  <c r="D43"/>
  <c r="B43"/>
  <c r="B40"/>
  <c r="D37"/>
  <c r="B37"/>
  <c r="D42"/>
  <c r="B42"/>
  <c r="D36"/>
  <c r="B36"/>
  <c r="D41"/>
  <c r="B41"/>
  <c r="T37"/>
  <c r="T38"/>
  <c r="S37"/>
  <c r="S38"/>
  <c r="R37"/>
  <c r="R38"/>
  <c r="Q37"/>
  <c r="Q38"/>
  <c r="L35"/>
  <c r="K35"/>
  <c r="J35"/>
  <c r="I35"/>
  <c r="H35"/>
  <c r="G34"/>
  <c r="G35"/>
  <c r="F34"/>
  <c r="F35"/>
  <c r="H84" i="107"/>
  <c r="E3"/>
  <c r="B17" i="110"/>
  <c r="E33"/>
  <c r="P17"/>
  <c r="F57" i="82"/>
  <c r="B45"/>
  <c r="B43"/>
  <c r="B59"/>
  <c r="B62"/>
  <c r="B11"/>
  <c r="B22"/>
  <c r="B28"/>
  <c r="B35"/>
  <c r="B37"/>
  <c r="B49"/>
  <c r="B48"/>
  <c r="B47"/>
  <c r="B46"/>
  <c r="D51"/>
  <c r="E51"/>
  <c r="B32"/>
  <c r="B6"/>
  <c r="O76" i="112"/>
  <c r="O76" i="89"/>
  <c r="C75" i="109" a="1"/>
  <c r="C75"/>
  <c r="D75"/>
  <c r="E75"/>
  <c r="F75"/>
  <c r="G75"/>
  <c r="H75"/>
  <c r="C76"/>
  <c r="D76"/>
  <c r="E76"/>
  <c r="F76"/>
  <c r="G76"/>
  <c r="H76"/>
  <c r="C77"/>
  <c r="D77"/>
  <c r="E77"/>
  <c r="F77"/>
  <c r="G77"/>
  <c r="H77"/>
  <c r="C78"/>
  <c r="D78"/>
  <c r="E78"/>
  <c r="F78"/>
  <c r="G78"/>
  <c r="H78"/>
  <c r="H36" i="89"/>
  <c r="Q36"/>
  <c r="Q35"/>
  <c r="Q33"/>
  <c r="G17" i="82"/>
  <c r="H36" i="112"/>
  <c r="Q36"/>
  <c r="Q35"/>
  <c r="Q33"/>
  <c r="H17" i="82"/>
  <c r="Q47" i="112"/>
  <c r="Q43"/>
  <c r="R22" i="82"/>
  <c r="Q44" i="112"/>
  <c r="H22" i="82"/>
  <c r="D80" i="112"/>
  <c r="D79"/>
  <c r="D78"/>
  <c r="D77"/>
  <c r="D76"/>
  <c r="O85" i="107"/>
  <c r="N1"/>
  <c r="N4"/>
  <c r="M6" i="110"/>
  <c r="E6"/>
  <c r="R23"/>
  <c r="R22"/>
  <c r="R21"/>
  <c r="Q26" i="112"/>
  <c r="R20" i="110"/>
  <c r="R18"/>
  <c r="D63" i="112"/>
  <c r="C63"/>
  <c r="E63"/>
  <c r="C11" i="110"/>
  <c r="C9"/>
  <c r="C5"/>
  <c r="D18"/>
  <c r="B5"/>
  <c r="C12"/>
  <c r="C4"/>
  <c r="B4"/>
  <c r="Q38" i="89"/>
  <c r="Q39"/>
  <c r="G32" i="82"/>
  <c r="Q38" i="112"/>
  <c r="Q39"/>
  <c r="H32" i="82"/>
  <c r="I32"/>
  <c r="H58"/>
  <c r="H44"/>
  <c r="H42"/>
  <c r="Q37" i="112"/>
  <c r="Q40"/>
  <c r="H28" i="82"/>
  <c r="Q22" i="112"/>
  <c r="H26" i="82"/>
  <c r="Q21" i="112"/>
  <c r="H25" i="82"/>
  <c r="Q20" i="112"/>
  <c r="H24" i="82"/>
  <c r="Q45" i="112"/>
  <c r="H23" i="82"/>
  <c r="Q24" i="112"/>
  <c r="H20" i="82"/>
  <c r="Q25" i="112"/>
  <c r="H19" i="82"/>
  <c r="Q46" i="112"/>
  <c r="H18" i="82"/>
  <c r="Q34" i="112"/>
  <c r="H16" i="82"/>
  <c r="Q31" i="112"/>
  <c r="H15" i="82"/>
  <c r="Q30" i="112"/>
  <c r="H14" i="82"/>
  <c r="Q29" i="112"/>
  <c r="H13" i="82"/>
  <c r="Q28" i="112"/>
  <c r="H12" i="82"/>
  <c r="Q27" i="112"/>
  <c r="Q32"/>
  <c r="H11" i="82"/>
  <c r="C81" i="89"/>
  <c r="D81"/>
  <c r="Q37"/>
  <c r="Q40"/>
  <c r="G28" i="82"/>
  <c r="Q47" i="89"/>
  <c r="Q22"/>
  <c r="Q43"/>
  <c r="G26" i="82"/>
  <c r="Q21" i="89"/>
  <c r="G25" i="82"/>
  <c r="Q20" i="89"/>
  <c r="G24" i="82"/>
  <c r="Q45" i="89"/>
  <c r="G23" i="82"/>
  <c r="Q22"/>
  <c r="Q44" i="89"/>
  <c r="G22" i="82"/>
  <c r="Q24" i="89"/>
  <c r="G20" i="82"/>
  <c r="Q25" i="89"/>
  <c r="G19" i="82"/>
  <c r="Q46" i="89"/>
  <c r="G18" i="82"/>
  <c r="Q34" i="89"/>
  <c r="G16" i="82"/>
  <c r="Q31" i="89"/>
  <c r="G15" i="82"/>
  <c r="Q30" i="89"/>
  <c r="G14" i="82"/>
  <c r="Q29" i="89"/>
  <c r="G13" i="82"/>
  <c r="Q28" i="89"/>
  <c r="G12" i="82"/>
  <c r="Q27" i="89"/>
  <c r="Q32"/>
  <c r="G11" i="82"/>
  <c r="Q26" i="89"/>
  <c r="Q23"/>
  <c r="G7" i="82"/>
  <c r="Q19" i="89"/>
  <c r="G6" i="82"/>
  <c r="R23" i="89"/>
  <c r="H7" i="82"/>
  <c r="R19" i="89"/>
  <c r="H6" i="82"/>
  <c r="H5"/>
  <c r="L101"/>
  <c r="N58"/>
  <c r="C80" i="112"/>
  <c r="M105"/>
  <c r="R28" i="82"/>
  <c r="C80" i="89"/>
  <c r="M105"/>
  <c r="Q28" i="82"/>
  <c r="R5"/>
  <c r="C77" i="89"/>
  <c r="M102"/>
  <c r="C77" i="112"/>
  <c r="M102"/>
  <c r="N6" i="82"/>
  <c r="N5"/>
  <c r="D80" i="89"/>
  <c r="D79"/>
  <c r="D78"/>
  <c r="D77"/>
  <c r="D81" i="112"/>
  <c r="D85"/>
  <c r="D85" i="89"/>
  <c r="E101" i="112"/>
  <c r="G101"/>
  <c r="E101" i="89"/>
  <c r="G101"/>
  <c r="E106"/>
  <c r="G106"/>
  <c r="J19" i="107"/>
  <c r="F39" i="109"/>
  <c r="M19" i="107"/>
  <c r="I19"/>
  <c r="E39" i="109"/>
  <c r="L19" i="107"/>
  <c r="P121" i="109"/>
  <c r="C103" a="1"/>
  <c r="C103"/>
  <c r="D103"/>
  <c r="E103"/>
  <c r="F103"/>
  <c r="G103"/>
  <c r="H103"/>
  <c r="I103"/>
  <c r="J103"/>
  <c r="C104"/>
  <c r="D104"/>
  <c r="E104"/>
  <c r="F104"/>
  <c r="G104"/>
  <c r="H104"/>
  <c r="I104"/>
  <c r="J104"/>
  <c r="C105"/>
  <c r="D105"/>
  <c r="E105"/>
  <c r="F105"/>
  <c r="G105"/>
  <c r="H105"/>
  <c r="I105"/>
  <c r="J105"/>
  <c r="C106"/>
  <c r="D106"/>
  <c r="E106"/>
  <c r="F106"/>
  <c r="G106"/>
  <c r="H106"/>
  <c r="I106"/>
  <c r="J106"/>
  <c r="C107"/>
  <c r="D107"/>
  <c r="E107"/>
  <c r="F107"/>
  <c r="G107"/>
  <c r="H107"/>
  <c r="I107"/>
  <c r="J107"/>
  <c r="C108"/>
  <c r="D108"/>
  <c r="E108"/>
  <c r="F108"/>
  <c r="G108"/>
  <c r="H108"/>
  <c r="I108"/>
  <c r="J108"/>
  <c r="C109"/>
  <c r="D109"/>
  <c r="E109"/>
  <c r="F109"/>
  <c r="G109"/>
  <c r="H109"/>
  <c r="I109"/>
  <c r="J109"/>
  <c r="C110"/>
  <c r="D110"/>
  <c r="E110"/>
  <c r="F110"/>
  <c r="G110"/>
  <c r="H110"/>
  <c r="I110"/>
  <c r="J110"/>
  <c r="C111"/>
  <c r="D111"/>
  <c r="E111"/>
  <c r="F111"/>
  <c r="G111"/>
  <c r="H111"/>
  <c r="I111"/>
  <c r="J111"/>
  <c r="C112"/>
  <c r="D112"/>
  <c r="E112"/>
  <c r="F112"/>
  <c r="G112"/>
  <c r="H112"/>
  <c r="I112"/>
  <c r="J112"/>
  <c r="C113"/>
  <c r="D113"/>
  <c r="E113"/>
  <c r="F113"/>
  <c r="G113"/>
  <c r="H113"/>
  <c r="I113"/>
  <c r="J113"/>
  <c r="C114"/>
  <c r="D114"/>
  <c r="E114"/>
  <c r="F114"/>
  <c r="G114"/>
  <c r="H114"/>
  <c r="I114"/>
  <c r="J114"/>
  <c r="C115"/>
  <c r="D115"/>
  <c r="E115"/>
  <c r="F115"/>
  <c r="G115"/>
  <c r="H115"/>
  <c r="I115"/>
  <c r="J115"/>
  <c r="C116"/>
  <c r="D116"/>
  <c r="E116"/>
  <c r="F116"/>
  <c r="G116"/>
  <c r="H116"/>
  <c r="I116"/>
  <c r="J116"/>
  <c r="C117"/>
  <c r="D117"/>
  <c r="E117"/>
  <c r="F117"/>
  <c r="G117"/>
  <c r="H117"/>
  <c r="I117"/>
  <c r="J117"/>
  <c r="C118"/>
  <c r="D118"/>
  <c r="E118"/>
  <c r="F118"/>
  <c r="G118"/>
  <c r="H118"/>
  <c r="I118"/>
  <c r="J118"/>
  <c r="D120"/>
  <c r="O83" a="1"/>
  <c r="O83"/>
  <c r="O84"/>
  <c r="O85"/>
  <c r="O86"/>
  <c r="O87"/>
  <c r="R19" i="107"/>
  <c r="R31" i="109"/>
  <c r="Q31"/>
  <c r="P31"/>
  <c r="O31"/>
  <c r="J31"/>
  <c r="I31"/>
  <c r="H31"/>
  <c r="G31"/>
  <c r="F31"/>
  <c r="E31"/>
  <c r="D31"/>
  <c r="C31"/>
  <c r="R37"/>
  <c r="R36"/>
  <c r="R35"/>
  <c r="R34"/>
  <c r="C101" i="112"/>
  <c r="H101"/>
  <c r="P33" i="109"/>
  <c r="R33"/>
  <c r="C101" i="89"/>
  <c r="H101"/>
  <c r="O33" i="109"/>
  <c r="Q33"/>
  <c r="K9"/>
  <c r="O9"/>
  <c r="O19" i="107"/>
  <c r="C83" i="112"/>
  <c r="H83"/>
  <c r="D26" i="109"/>
  <c r="H15" i="107"/>
  <c r="C79" i="112"/>
  <c r="C78"/>
  <c r="C76"/>
  <c r="H71" i="107"/>
  <c r="H70"/>
  <c r="H69"/>
  <c r="H68"/>
  <c r="H67"/>
  <c r="H65"/>
  <c r="H64"/>
  <c r="H63"/>
  <c r="H62"/>
  <c r="H61"/>
  <c r="H59"/>
  <c r="H58"/>
  <c r="H57"/>
  <c r="H56"/>
  <c r="H55"/>
  <c r="H49"/>
  <c r="S85"/>
  <c r="R85"/>
  <c r="K85"/>
  <c r="J85"/>
  <c r="M85"/>
  <c r="L85"/>
  <c r="J4"/>
  <c r="K4"/>
  <c r="H4"/>
  <c r="M4"/>
  <c r="J26" i="112"/>
  <c r="K26"/>
  <c r="J36"/>
  <c r="K36"/>
  <c r="J42"/>
  <c r="K42"/>
  <c r="J47"/>
  <c r="K47"/>
  <c r="C55"/>
  <c r="D55"/>
  <c r="E55"/>
  <c r="F55"/>
  <c r="H55"/>
  <c r="J55"/>
  <c r="K55"/>
  <c r="P72" i="109"/>
  <c r="P42"/>
  <c r="AD5" i="111"/>
  <c r="T5"/>
  <c r="A5"/>
  <c r="A17"/>
  <c r="AD17"/>
  <c r="T17"/>
  <c r="J17"/>
  <c r="D72" i="109"/>
  <c r="D42"/>
  <c r="V62" a="1"/>
  <c r="V62"/>
  <c r="V63"/>
  <c r="V64"/>
  <c r="V65"/>
  <c r="V66"/>
  <c r="P51" a="1"/>
  <c r="P51"/>
  <c r="Q51"/>
  <c r="R51"/>
  <c r="S51"/>
  <c r="K62" a="1"/>
  <c r="K62"/>
  <c r="K63"/>
  <c r="K64"/>
  <c r="K65"/>
  <c r="K66"/>
  <c r="K67"/>
  <c r="L53" a="1"/>
  <c r="L53"/>
  <c r="L54"/>
  <c r="L55"/>
  <c r="L56"/>
  <c r="L57"/>
  <c r="P81" a="1"/>
  <c r="P81"/>
  <c r="Q81"/>
  <c r="R81"/>
  <c r="S81"/>
  <c r="P123"/>
  <c r="O123"/>
  <c r="C123"/>
  <c r="D123"/>
  <c r="C85" i="112"/>
  <c r="C84"/>
  <c r="C81"/>
  <c r="W18" i="109"/>
  <c r="F1" i="112"/>
  <c r="M5"/>
  <c r="M6"/>
  <c r="F7"/>
  <c r="J7"/>
  <c r="F8"/>
  <c r="J8"/>
  <c r="F9"/>
  <c r="C17"/>
  <c r="D17"/>
  <c r="E17"/>
  <c r="F17"/>
  <c r="G17"/>
  <c r="H17"/>
  <c r="I17"/>
  <c r="J17"/>
  <c r="K17"/>
  <c r="M19"/>
  <c r="N19"/>
  <c r="O19"/>
  <c r="P19"/>
  <c r="Q19"/>
  <c r="R19"/>
  <c r="M20"/>
  <c r="N20"/>
  <c r="O20"/>
  <c r="P20"/>
  <c r="R20"/>
  <c r="M21"/>
  <c r="N21"/>
  <c r="O21"/>
  <c r="P21"/>
  <c r="R21"/>
  <c r="M22"/>
  <c r="N22"/>
  <c r="O22"/>
  <c r="P22"/>
  <c r="R22"/>
  <c r="M23"/>
  <c r="N23"/>
  <c r="O23"/>
  <c r="P23"/>
  <c r="Q23"/>
  <c r="R23"/>
  <c r="M24"/>
  <c r="N24"/>
  <c r="O24"/>
  <c r="P24"/>
  <c r="R24"/>
  <c r="M25"/>
  <c r="N25"/>
  <c r="O25"/>
  <c r="P25"/>
  <c r="R25"/>
  <c r="M26"/>
  <c r="N26"/>
  <c r="O26"/>
  <c r="P26"/>
  <c r="R26"/>
  <c r="M27"/>
  <c r="N27"/>
  <c r="O27"/>
  <c r="P27"/>
  <c r="R27"/>
  <c r="M28"/>
  <c r="N28"/>
  <c r="O28"/>
  <c r="P28"/>
  <c r="R28"/>
  <c r="M29"/>
  <c r="N29"/>
  <c r="O29"/>
  <c r="P29"/>
  <c r="R29"/>
  <c r="M30"/>
  <c r="N30"/>
  <c r="O30"/>
  <c r="P30"/>
  <c r="R30"/>
  <c r="M31"/>
  <c r="N31"/>
  <c r="O31"/>
  <c r="P31"/>
  <c r="R31"/>
  <c r="M32"/>
  <c r="N32"/>
  <c r="O32"/>
  <c r="P32"/>
  <c r="R32"/>
  <c r="M33"/>
  <c r="N33"/>
  <c r="O33"/>
  <c r="P33"/>
  <c r="R33"/>
  <c r="M34"/>
  <c r="N34"/>
  <c r="O34"/>
  <c r="P34"/>
  <c r="R34"/>
  <c r="M35"/>
  <c r="N35"/>
  <c r="O35"/>
  <c r="P35"/>
  <c r="R35"/>
  <c r="M36"/>
  <c r="N36"/>
  <c r="O36"/>
  <c r="P36"/>
  <c r="R36"/>
  <c r="M37"/>
  <c r="N37"/>
  <c r="O37"/>
  <c r="P37"/>
  <c r="R37"/>
  <c r="M38"/>
  <c r="N38"/>
  <c r="O38"/>
  <c r="P38"/>
  <c r="R38"/>
  <c r="M39"/>
  <c r="N39"/>
  <c r="O39"/>
  <c r="P39"/>
  <c r="R39"/>
  <c r="M40"/>
  <c r="N40"/>
  <c r="O40"/>
  <c r="P40"/>
  <c r="R40"/>
  <c r="M41"/>
  <c r="N41"/>
  <c r="O41"/>
  <c r="P41"/>
  <c r="Q41"/>
  <c r="R41"/>
  <c r="M42"/>
  <c r="N42"/>
  <c r="O42"/>
  <c r="P42"/>
  <c r="Q42"/>
  <c r="R42"/>
  <c r="M43"/>
  <c r="N43"/>
  <c r="O43"/>
  <c r="P43"/>
  <c r="R43"/>
  <c r="M44"/>
  <c r="N44"/>
  <c r="O44"/>
  <c r="P44"/>
  <c r="R44"/>
  <c r="M45"/>
  <c r="N45"/>
  <c r="O45"/>
  <c r="P45"/>
  <c r="R45"/>
  <c r="M46"/>
  <c r="N46"/>
  <c r="O46"/>
  <c r="P46"/>
  <c r="R46"/>
  <c r="M47"/>
  <c r="N47"/>
  <c r="O47"/>
  <c r="P47"/>
  <c r="R47"/>
  <c r="M48"/>
  <c r="N48"/>
  <c r="O48"/>
  <c r="P48"/>
  <c r="Q48"/>
  <c r="R48"/>
  <c r="M49"/>
  <c r="N49"/>
  <c r="O49"/>
  <c r="P49"/>
  <c r="Q49"/>
  <c r="R49"/>
  <c r="M50"/>
  <c r="N50"/>
  <c r="O50"/>
  <c r="P50"/>
  <c r="Q50"/>
  <c r="R50"/>
  <c r="M51"/>
  <c r="N51"/>
  <c r="O51"/>
  <c r="P51"/>
  <c r="Q51"/>
  <c r="R51"/>
  <c r="M52"/>
  <c r="N52"/>
  <c r="O52"/>
  <c r="P52"/>
  <c r="Q52"/>
  <c r="R52"/>
  <c r="M53"/>
  <c r="N53"/>
  <c r="O53"/>
  <c r="P53"/>
  <c r="Q53"/>
  <c r="R53"/>
  <c r="M54"/>
  <c r="N54"/>
  <c r="O54"/>
  <c r="P54"/>
  <c r="Q54"/>
  <c r="R54"/>
  <c r="M55"/>
  <c r="N55"/>
  <c r="O55"/>
  <c r="P55"/>
  <c r="Q55"/>
  <c r="R55"/>
  <c r="O63"/>
  <c r="O64"/>
  <c r="C65"/>
  <c r="D65"/>
  <c r="E65"/>
  <c r="E66"/>
  <c r="R66"/>
  <c r="F70"/>
  <c r="P78"/>
  <c r="P79"/>
  <c r="I83"/>
  <c r="C86"/>
  <c r="D86"/>
  <c r="P80"/>
  <c r="I96"/>
  <c r="C97"/>
  <c r="D97"/>
  <c r="E97"/>
  <c r="I101"/>
  <c r="M101"/>
  <c r="I102"/>
  <c r="I103"/>
  <c r="M103"/>
  <c r="I104"/>
  <c r="M104"/>
  <c r="I105"/>
  <c r="I106"/>
  <c r="M106"/>
  <c r="I107"/>
  <c r="M107"/>
  <c r="C108"/>
  <c r="E108"/>
  <c r="G108"/>
  <c r="H108"/>
  <c r="I108"/>
  <c r="M108"/>
  <c r="K92" i="109" a="1"/>
  <c r="K92"/>
  <c r="K93"/>
  <c r="K94"/>
  <c r="K95"/>
  <c r="K96"/>
  <c r="K97"/>
  <c r="L83" a="1"/>
  <c r="L83"/>
  <c r="L84"/>
  <c r="L85"/>
  <c r="L86"/>
  <c r="L87"/>
  <c r="D81" a="1"/>
  <c r="D81"/>
  <c r="E81"/>
  <c r="F81"/>
  <c r="G81"/>
  <c r="D82"/>
  <c r="E82"/>
  <c r="F82"/>
  <c r="G82"/>
  <c r="C98" i="107"/>
  <c r="C99"/>
  <c r="H120" i="109"/>
  <c r="M127"/>
  <c r="M143"/>
  <c r="M142"/>
  <c r="M141"/>
  <c r="M140"/>
  <c r="M139"/>
  <c r="M138"/>
  <c r="M137"/>
  <c r="M136"/>
  <c r="M135"/>
  <c r="M134"/>
  <c r="M133"/>
  <c r="M132"/>
  <c r="M131"/>
  <c r="M130"/>
  <c r="M129"/>
  <c r="M128"/>
  <c r="M126"/>
  <c r="M125"/>
  <c r="M124"/>
  <c r="B67" i="82"/>
  <c r="Q23" i="110"/>
  <c r="Q22"/>
  <c r="Q21"/>
  <c r="Q20"/>
  <c r="Q18"/>
  <c r="C11" i="109"/>
  <c r="M5" i="89"/>
  <c r="Y44" i="111"/>
  <c r="Z44"/>
  <c r="AA44"/>
  <c r="K47" i="89"/>
  <c r="K42"/>
  <c r="K36"/>
  <c r="K26"/>
  <c r="K55"/>
  <c r="J47"/>
  <c r="J42"/>
  <c r="J36"/>
  <c r="J26"/>
  <c r="J55"/>
  <c r="H55"/>
  <c r="F55"/>
  <c r="E55"/>
  <c r="D55"/>
  <c r="C55"/>
  <c r="C108"/>
  <c r="G108"/>
  <c r="H108"/>
  <c r="I108"/>
  <c r="E108"/>
  <c r="I107"/>
  <c r="I106"/>
  <c r="I105"/>
  <c r="I104"/>
  <c r="I103"/>
  <c r="I102"/>
  <c r="I101"/>
  <c r="C97"/>
  <c r="E97"/>
  <c r="D97"/>
  <c r="I96"/>
  <c r="C76"/>
  <c r="C78"/>
  <c r="C79"/>
  <c r="C83"/>
  <c r="C84"/>
  <c r="C86"/>
  <c r="D76"/>
  <c r="D86"/>
  <c r="C85"/>
  <c r="H83"/>
  <c r="I83"/>
  <c r="N19" i="107"/>
  <c r="L91" i="82"/>
  <c r="L109"/>
  <c r="L107"/>
  <c r="E110"/>
  <c r="D33"/>
  <c r="D32"/>
  <c r="D28"/>
  <c r="I28"/>
  <c r="M108" i="89"/>
  <c r="M107"/>
  <c r="M106"/>
  <c r="M104"/>
  <c r="M103"/>
  <c r="M101"/>
  <c r="E40" i="111"/>
  <c r="G40"/>
  <c r="H40"/>
  <c r="I40"/>
  <c r="J40"/>
  <c r="K40"/>
  <c r="F40"/>
  <c r="F38"/>
  <c r="F37"/>
  <c r="F36"/>
  <c r="F35"/>
  <c r="F34"/>
  <c r="AE66"/>
  <c r="AE45"/>
  <c r="AD45"/>
  <c r="AC45"/>
  <c r="AB45"/>
  <c r="AA45"/>
  <c r="Z45"/>
  <c r="Y45"/>
  <c r="X45"/>
  <c r="W45"/>
  <c r="P19" i="107"/>
  <c r="Q19"/>
  <c r="N38" i="111"/>
  <c r="O38"/>
  <c r="P38"/>
  <c r="Q38"/>
  <c r="N37"/>
  <c r="O37"/>
  <c r="P37"/>
  <c r="Q37"/>
  <c r="N36"/>
  <c r="O36"/>
  <c r="P36"/>
  <c r="Q36"/>
  <c r="N35"/>
  <c r="O35"/>
  <c r="P35"/>
  <c r="Q35"/>
  <c r="N34"/>
  <c r="O34"/>
  <c r="P34"/>
  <c r="Q34"/>
  <c r="F45"/>
  <c r="N40"/>
  <c r="P40"/>
  <c r="P45"/>
  <c r="P44"/>
  <c r="C73" i="107"/>
  <c r="C20"/>
  <c r="N18" i="109"/>
  <c r="L1" i="107"/>
  <c r="O18" i="109"/>
  <c r="Q44" i="111"/>
  <c r="R44"/>
  <c r="S44"/>
  <c r="T44"/>
  <c r="P117" i="82"/>
  <c r="P115"/>
  <c r="D117"/>
  <c r="D115"/>
  <c r="D63" i="89"/>
  <c r="C63"/>
  <c r="E63"/>
  <c r="B11" i="110"/>
  <c r="P78" i="89"/>
  <c r="I5" i="82"/>
  <c r="L81"/>
  <c r="L85"/>
  <c r="D83"/>
  <c r="Q42" i="89"/>
  <c r="O6" i="82"/>
  <c r="P6"/>
  <c r="L88"/>
  <c r="D99"/>
  <c r="L99"/>
  <c r="E100"/>
  <c r="G71" i="107"/>
  <c r="G70"/>
  <c r="G69"/>
  <c r="G68"/>
  <c r="G67"/>
  <c r="G65"/>
  <c r="G64"/>
  <c r="G63"/>
  <c r="G62"/>
  <c r="G61"/>
  <c r="G59"/>
  <c r="G58"/>
  <c r="G57"/>
  <c r="G56"/>
  <c r="G55"/>
  <c r="G49"/>
  <c r="V18" i="109"/>
  <c r="U1" i="107"/>
  <c r="U18" i="109"/>
  <c r="T1" i="107"/>
  <c r="T18" i="109"/>
  <c r="S1" i="107"/>
  <c r="S18" i="109"/>
  <c r="R1" i="107"/>
  <c r="R18" i="109"/>
  <c r="Q1" i="107"/>
  <c r="Q18" i="109"/>
  <c r="P1" i="107"/>
  <c r="P18" i="109"/>
  <c r="O1" i="107"/>
  <c r="C71"/>
  <c r="C70"/>
  <c r="C69"/>
  <c r="C68"/>
  <c r="C67"/>
  <c r="C65"/>
  <c r="C64"/>
  <c r="C63"/>
  <c r="C62"/>
  <c r="C61"/>
  <c r="C59"/>
  <c r="C58"/>
  <c r="C57"/>
  <c r="C56"/>
  <c r="C55"/>
  <c r="C53"/>
  <c r="C52"/>
  <c r="C51"/>
  <c r="C50"/>
  <c r="C49"/>
  <c r="C47"/>
  <c r="C46"/>
  <c r="C45"/>
  <c r="C44"/>
  <c r="C43"/>
  <c r="C41"/>
  <c r="C40"/>
  <c r="C39"/>
  <c r="C38"/>
  <c r="C37"/>
  <c r="C35"/>
  <c r="C34"/>
  <c r="C33"/>
  <c r="C32"/>
  <c r="C31"/>
  <c r="C29"/>
  <c r="C28"/>
  <c r="C27"/>
  <c r="C26"/>
  <c r="C25"/>
  <c r="C77"/>
  <c r="C19"/>
  <c r="C16"/>
  <c r="C15"/>
  <c r="C12"/>
  <c r="C11"/>
  <c r="C10"/>
  <c r="C9"/>
  <c r="C8"/>
  <c r="C7"/>
  <c r="C6"/>
  <c r="C5"/>
  <c r="U4"/>
  <c r="T4"/>
  <c r="S4"/>
  <c r="R4"/>
  <c r="Q4"/>
  <c r="P4"/>
  <c r="O4"/>
  <c r="L4"/>
  <c r="M6" i="89"/>
  <c r="S65" i="111"/>
  <c r="R65"/>
  <c r="S64"/>
  <c r="R64"/>
  <c r="S63"/>
  <c r="R63"/>
  <c r="S62"/>
  <c r="R62"/>
  <c r="S61"/>
  <c r="R61"/>
  <c r="J5"/>
  <c r="G44" i="82"/>
  <c r="D52"/>
  <c r="D50"/>
  <c r="E52"/>
  <c r="E50"/>
  <c r="B64"/>
  <c r="E66" i="89"/>
  <c r="D65"/>
  <c r="C65"/>
  <c r="E65"/>
  <c r="B12" i="110"/>
  <c r="B9"/>
  <c r="O40" i="111"/>
  <c r="Q40"/>
  <c r="R40"/>
  <c r="S40"/>
  <c r="T40"/>
  <c r="U40"/>
  <c r="U45"/>
  <c r="T45"/>
  <c r="S45"/>
  <c r="R45"/>
  <c r="Q45"/>
  <c r="O45"/>
  <c r="N45"/>
  <c r="M45"/>
  <c r="N102" a="1"/>
  <c r="N102"/>
  <c r="O102"/>
  <c r="P102"/>
  <c r="Q102"/>
  <c r="N103"/>
  <c r="O103"/>
  <c r="P103"/>
  <c r="Q103"/>
  <c r="N104"/>
  <c r="O104"/>
  <c r="P104"/>
  <c r="Q104"/>
  <c r="N105"/>
  <c r="O105"/>
  <c r="P105"/>
  <c r="Q105"/>
  <c r="N106"/>
  <c r="O106"/>
  <c r="P106"/>
  <c r="Q106"/>
  <c r="R106"/>
  <c r="R105"/>
  <c r="R104"/>
  <c r="R103"/>
  <c r="R102"/>
  <c r="Q107"/>
  <c r="P107"/>
  <c r="O107"/>
  <c r="N107"/>
  <c r="N69" a="1"/>
  <c r="N69"/>
  <c r="O69"/>
  <c r="P69"/>
  <c r="Q69"/>
  <c r="N70"/>
  <c r="O70"/>
  <c r="P70"/>
  <c r="Q70"/>
  <c r="N71"/>
  <c r="O71"/>
  <c r="P71"/>
  <c r="Q71"/>
  <c r="N72"/>
  <c r="O72"/>
  <c r="P72"/>
  <c r="Q72"/>
  <c r="N73"/>
  <c r="O73"/>
  <c r="P73"/>
  <c r="Q73"/>
  <c r="N74"/>
  <c r="O74"/>
  <c r="P74"/>
  <c r="Q74"/>
  <c r="R74"/>
  <c r="R73"/>
  <c r="R72"/>
  <c r="R71"/>
  <c r="R70"/>
  <c r="R69"/>
  <c r="U66"/>
  <c r="B2"/>
  <c r="V92" i="109" a="1"/>
  <c r="V92"/>
  <c r="V93"/>
  <c r="V94"/>
  <c r="V95"/>
  <c r="V96"/>
  <c r="Q36"/>
  <c r="K66" i="111"/>
  <c r="K45"/>
  <c r="J45"/>
  <c r="I45"/>
  <c r="Q35" i="109"/>
  <c r="Q34"/>
  <c r="H45" i="111"/>
  <c r="G45"/>
  <c r="E45"/>
  <c r="D45"/>
  <c r="C45"/>
  <c r="Q37" i="109"/>
  <c r="L97" i="82"/>
  <c r="L103"/>
  <c r="L95"/>
  <c r="N54" i="89"/>
  <c r="J7"/>
  <c r="P54"/>
  <c r="R54"/>
  <c r="Q54"/>
  <c r="O54"/>
  <c r="M54"/>
  <c r="J8"/>
  <c r="N48"/>
  <c r="P48"/>
  <c r="R48"/>
  <c r="R47"/>
  <c r="R42"/>
  <c r="R36"/>
  <c r="R26"/>
  <c r="N49"/>
  <c r="P49"/>
  <c r="R49"/>
  <c r="N50"/>
  <c r="P50"/>
  <c r="R50"/>
  <c r="N51"/>
  <c r="P51"/>
  <c r="R51"/>
  <c r="N52"/>
  <c r="P52"/>
  <c r="R52"/>
  <c r="N53"/>
  <c r="P53"/>
  <c r="R53"/>
  <c r="R55"/>
  <c r="Q48"/>
  <c r="Q49"/>
  <c r="Q50"/>
  <c r="Q51"/>
  <c r="Q52"/>
  <c r="Q53"/>
  <c r="Q55"/>
  <c r="P47"/>
  <c r="P42"/>
  <c r="P36"/>
  <c r="P26"/>
  <c r="P55"/>
  <c r="O48"/>
  <c r="O49"/>
  <c r="O50"/>
  <c r="O51"/>
  <c r="O52"/>
  <c r="O53"/>
  <c r="O47"/>
  <c r="O42"/>
  <c r="O36"/>
  <c r="O26"/>
  <c r="O55"/>
  <c r="N47"/>
  <c r="N42"/>
  <c r="N36"/>
  <c r="N26"/>
  <c r="N55"/>
  <c r="M48"/>
  <c r="M49"/>
  <c r="M50"/>
  <c r="M51"/>
  <c r="M52"/>
  <c r="M53"/>
  <c r="M47"/>
  <c r="M42"/>
  <c r="M36"/>
  <c r="M26"/>
  <c r="M55"/>
  <c r="R46"/>
  <c r="P46"/>
  <c r="O46"/>
  <c r="N46"/>
  <c r="M46"/>
  <c r="R45"/>
  <c r="P45"/>
  <c r="O45"/>
  <c r="N45"/>
  <c r="M45"/>
  <c r="R44"/>
  <c r="P44"/>
  <c r="O44"/>
  <c r="N44"/>
  <c r="M44"/>
  <c r="R43"/>
  <c r="P43"/>
  <c r="O43"/>
  <c r="N43"/>
  <c r="M43"/>
  <c r="R41"/>
  <c r="Q41"/>
  <c r="P41"/>
  <c r="O41"/>
  <c r="N41"/>
  <c r="M41"/>
  <c r="R40"/>
  <c r="P40"/>
  <c r="O40"/>
  <c r="N40"/>
  <c r="M40"/>
  <c r="R39"/>
  <c r="P39"/>
  <c r="O39"/>
  <c r="N39"/>
  <c r="M39"/>
  <c r="R38"/>
  <c r="P38"/>
  <c r="O38"/>
  <c r="N38"/>
  <c r="M38"/>
  <c r="R37"/>
  <c r="P37"/>
  <c r="O37"/>
  <c r="N37"/>
  <c r="M37"/>
  <c r="R35"/>
  <c r="P35"/>
  <c r="O35"/>
  <c r="N35"/>
  <c r="M35"/>
  <c r="R34"/>
  <c r="P34"/>
  <c r="O34"/>
  <c r="N34"/>
  <c r="M34"/>
  <c r="R33"/>
  <c r="P33"/>
  <c r="O33"/>
  <c r="N33"/>
  <c r="M33"/>
  <c r="R32"/>
  <c r="P32"/>
  <c r="O32"/>
  <c r="N32"/>
  <c r="M32"/>
  <c r="R31"/>
  <c r="P31"/>
  <c r="O31"/>
  <c r="N31"/>
  <c r="M31"/>
  <c r="R30"/>
  <c r="P30"/>
  <c r="O30"/>
  <c r="N30"/>
  <c r="M30"/>
  <c r="R29"/>
  <c r="P29"/>
  <c r="O29"/>
  <c r="N29"/>
  <c r="M29"/>
  <c r="R28"/>
  <c r="P28"/>
  <c r="O28"/>
  <c r="N28"/>
  <c r="M28"/>
  <c r="R27"/>
  <c r="P27"/>
  <c r="O27"/>
  <c r="N27"/>
  <c r="M27"/>
  <c r="R25"/>
  <c r="P25"/>
  <c r="O25"/>
  <c r="N25"/>
  <c r="M25"/>
  <c r="R24"/>
  <c r="P24"/>
  <c r="O24"/>
  <c r="N24"/>
  <c r="M24"/>
  <c r="P23"/>
  <c r="O23"/>
  <c r="N23"/>
  <c r="M23"/>
  <c r="R22"/>
  <c r="P22"/>
  <c r="O22"/>
  <c r="N22"/>
  <c r="M22"/>
  <c r="R21"/>
  <c r="P21"/>
  <c r="O21"/>
  <c r="N21"/>
  <c r="M21"/>
  <c r="R20"/>
  <c r="P20"/>
  <c r="O20"/>
  <c r="N20"/>
  <c r="M20"/>
  <c r="P19"/>
  <c r="O19"/>
  <c r="N19"/>
  <c r="M19"/>
  <c r="D101" i="82"/>
  <c r="D26"/>
  <c r="D25"/>
  <c r="D24"/>
  <c r="D23"/>
  <c r="D22"/>
  <c r="D20"/>
  <c r="D19"/>
  <c r="D18"/>
  <c r="D17"/>
  <c r="D16"/>
  <c r="D15"/>
  <c r="D14"/>
  <c r="D13"/>
  <c r="D12"/>
  <c r="D11"/>
  <c r="D7"/>
  <c r="D6"/>
  <c r="D95"/>
  <c r="D91"/>
  <c r="R66" i="89"/>
  <c r="O63"/>
  <c r="O64"/>
  <c r="E96" i="82"/>
  <c r="E94"/>
  <c r="F9" i="89"/>
  <c r="F7"/>
  <c r="K17"/>
  <c r="I17"/>
  <c r="H17"/>
  <c r="G17"/>
  <c r="E17"/>
  <c r="C17"/>
  <c r="P79"/>
  <c r="F8"/>
  <c r="D17"/>
  <c r="F17"/>
  <c r="J17"/>
  <c r="D99" i="111" a="1"/>
  <c r="D99"/>
  <c r="E99"/>
  <c r="F99"/>
  <c r="G99"/>
  <c r="N99" a="1"/>
  <c r="N99"/>
  <c r="O99"/>
  <c r="P99"/>
  <c r="Q99"/>
  <c r="R107"/>
  <c r="N98" a="1"/>
  <c r="N98"/>
  <c r="O98"/>
  <c r="P98"/>
  <c r="Q98"/>
  <c r="R98"/>
  <c r="D98" a="1"/>
  <c r="D98"/>
  <c r="E98"/>
  <c r="F98"/>
  <c r="G98"/>
  <c r="H98"/>
  <c r="D102" a="1"/>
  <c r="D102"/>
  <c r="E102"/>
  <c r="F102"/>
  <c r="G102"/>
  <c r="D103"/>
  <c r="E103"/>
  <c r="F103"/>
  <c r="G103"/>
  <c r="D104"/>
  <c r="E104"/>
  <c r="F104"/>
  <c r="G104"/>
  <c r="D105"/>
  <c r="E105"/>
  <c r="F105"/>
  <c r="G105"/>
  <c r="D106"/>
  <c r="E106"/>
  <c r="F106"/>
  <c r="G106"/>
  <c r="H103"/>
  <c r="H104"/>
  <c r="H105"/>
  <c r="H106"/>
  <c r="H102"/>
  <c r="H107"/>
  <c r="D107"/>
  <c r="E107"/>
  <c r="F107"/>
  <c r="G107"/>
  <c r="S66"/>
  <c r="R66"/>
  <c r="C26" i="109"/>
  <c r="G15" i="107"/>
  <c r="X98" i="111" a="1"/>
  <c r="X98"/>
  <c r="Y98"/>
  <c r="Z98"/>
  <c r="AA98"/>
  <c r="AB98"/>
  <c r="X99" a="1"/>
  <c r="X99"/>
  <c r="Y99"/>
  <c r="Z99"/>
  <c r="AA99"/>
  <c r="X102" a="1"/>
  <c r="X102"/>
  <c r="Y102"/>
  <c r="Z102"/>
  <c r="AA102"/>
  <c r="X103"/>
  <c r="Y103"/>
  <c r="Z103"/>
  <c r="AA103"/>
  <c r="X104"/>
  <c r="Y104"/>
  <c r="Z104"/>
  <c r="AA104"/>
  <c r="X105"/>
  <c r="Y105"/>
  <c r="Z105"/>
  <c r="AA105"/>
  <c r="X106"/>
  <c r="Y106"/>
  <c r="Z106"/>
  <c r="AA106"/>
  <c r="AB103"/>
  <c r="AB104"/>
  <c r="AB105"/>
  <c r="AB106"/>
  <c r="AB102"/>
  <c r="AB107"/>
  <c r="AA107"/>
  <c r="Z107"/>
  <c r="Y107"/>
  <c r="X107"/>
  <c r="F70" i="89"/>
  <c r="P80"/>
  <c r="P54" i="109" a="1"/>
  <c r="P54"/>
  <c r="Q54"/>
  <c r="R54"/>
  <c r="S54"/>
  <c r="P84" a="1"/>
  <c r="P84"/>
  <c r="Q84"/>
  <c r="R84"/>
  <c r="S84"/>
  <c r="P83" a="1"/>
  <c r="P83"/>
  <c r="Q83"/>
  <c r="R83"/>
  <c r="S83"/>
  <c r="T83"/>
  <c r="P90" a="1"/>
  <c r="P90"/>
  <c r="Q90"/>
  <c r="R90"/>
  <c r="S90"/>
  <c r="T90"/>
  <c r="P53" a="1"/>
  <c r="P53"/>
  <c r="Q53"/>
  <c r="R53"/>
  <c r="S53"/>
  <c r="T53"/>
  <c r="P60" a="1"/>
  <c r="P60"/>
  <c r="Q60"/>
  <c r="R60"/>
  <c r="S60"/>
  <c r="T60"/>
  <c r="H80" i="112"/>
  <c r="D23" i="109"/>
  <c r="H9" i="107"/>
  <c r="H79" i="112"/>
  <c r="D22" i="109"/>
  <c r="H8" i="107"/>
  <c r="H78" i="112"/>
  <c r="D21" i="109"/>
  <c r="H7" i="107"/>
  <c r="H77" i="112"/>
  <c r="D20" i="109"/>
  <c r="H6" i="107"/>
  <c r="H76" i="112"/>
  <c r="D19" i="109"/>
  <c r="H5" i="107"/>
  <c r="H85" i="89"/>
  <c r="C28" i="109"/>
  <c r="H76" i="89"/>
  <c r="C19" i="109"/>
  <c r="G5" i="107"/>
  <c r="H77" i="89"/>
  <c r="C20" i="109"/>
  <c r="G6" i="107"/>
  <c r="H78" i="89"/>
  <c r="C21" i="109"/>
  <c r="G7" i="107"/>
  <c r="H79" i="89"/>
  <c r="C22" i="109"/>
  <c r="G8" i="107"/>
  <c r="H80" i="89"/>
  <c r="C23" i="109"/>
  <c r="G9" i="107"/>
  <c r="H84" i="89"/>
  <c r="C27" i="109"/>
  <c r="I49" i="82"/>
  <c r="H81" i="89"/>
  <c r="I81"/>
  <c r="I76"/>
  <c r="I77"/>
  <c r="I78"/>
  <c r="I79"/>
  <c r="I80"/>
  <c r="I82"/>
  <c r="I84"/>
  <c r="I85"/>
  <c r="H85" i="112"/>
  <c r="I85"/>
  <c r="H84"/>
  <c r="I84"/>
  <c r="I82"/>
  <c r="H81"/>
  <c r="I81"/>
  <c r="I80"/>
  <c r="I79"/>
  <c r="I78"/>
  <c r="I77"/>
  <c r="I76"/>
  <c r="D24" i="109"/>
  <c r="D27"/>
  <c r="D28"/>
  <c r="F71" i="112"/>
  <c r="D24" i="110"/>
  <c r="E24"/>
  <c r="F24"/>
  <c r="F71" i="89"/>
  <c r="C24" i="110"/>
  <c r="K24"/>
  <c r="G24"/>
  <c r="H24"/>
  <c r="C24" i="109"/>
  <c r="I43" i="82"/>
  <c r="I45"/>
  <c r="R39" i="109"/>
  <c r="S39"/>
  <c r="J77" i="107"/>
  <c r="J80"/>
  <c r="I77"/>
  <c r="I80"/>
  <c r="J79"/>
  <c r="I79"/>
  <c r="J78"/>
  <c r="I78"/>
  <c r="Q39" i="109"/>
  <c r="P99" a="1"/>
  <c r="P99"/>
  <c r="Q99"/>
  <c r="R99"/>
  <c r="S99"/>
  <c r="T99"/>
  <c r="P69" a="1"/>
  <c r="P69"/>
  <c r="Q69"/>
  <c r="R69"/>
  <c r="S69"/>
  <c r="T69"/>
  <c r="W24"/>
  <c r="W23"/>
  <c r="W22"/>
  <c r="W21"/>
  <c r="W20"/>
  <c r="W19"/>
  <c r="U12" i="107"/>
  <c r="W25" i="109"/>
  <c r="O14" i="107" a="1"/>
  <c r="O14"/>
  <c r="P14"/>
  <c r="Q14"/>
  <c r="R14"/>
  <c r="S14"/>
  <c r="T14"/>
  <c r="O149" i="109" a="1"/>
  <c r="O149"/>
  <c r="O150"/>
  <c r="O151"/>
  <c r="O152"/>
  <c r="L77" i="107"/>
  <c r="P149" i="109" a="1"/>
  <c r="P149"/>
  <c r="P150"/>
  <c r="P151"/>
  <c r="P152"/>
  <c r="M77" i="107"/>
  <c r="Q149" i="109"/>
  <c r="N77" i="107"/>
  <c r="R149" i="109"/>
  <c r="O77" i="107"/>
  <c r="S149" i="109"/>
  <c r="P77" i="107"/>
  <c r="T149" i="109"/>
  <c r="Q77" i="107"/>
  <c r="U149" i="109"/>
  <c r="R77" i="107"/>
  <c r="V149" i="109"/>
  <c r="S77" i="107"/>
  <c r="L78"/>
  <c r="M78"/>
  <c r="Q150" i="109"/>
  <c r="N78" i="107"/>
  <c r="R150" i="109"/>
  <c r="O78" i="107"/>
  <c r="S150" i="109"/>
  <c r="P78" i="107"/>
  <c r="T150" i="109"/>
  <c r="Q78" i="107"/>
  <c r="U150" i="109"/>
  <c r="R78" i="107"/>
  <c r="V150" i="109"/>
  <c r="S78" i="107"/>
  <c r="L79"/>
  <c r="M79"/>
  <c r="Q151" i="109"/>
  <c r="N79" i="107"/>
  <c r="R151" i="109"/>
  <c r="O79" i="107"/>
  <c r="S151" i="109"/>
  <c r="P79" i="107"/>
  <c r="T151" i="109"/>
  <c r="Q79" i="107"/>
  <c r="U151" i="109"/>
  <c r="R79" i="107"/>
  <c r="V151" i="109"/>
  <c r="S79" i="107"/>
  <c r="L80"/>
  <c r="M80"/>
  <c r="Q152" i="109"/>
  <c r="N80" i="107"/>
  <c r="R152" i="109"/>
  <c r="O80" i="107"/>
  <c r="S152" i="109"/>
  <c r="P80" i="107"/>
  <c r="T152" i="109"/>
  <c r="Q80" i="107"/>
  <c r="U152" i="109"/>
  <c r="R80" i="107"/>
  <c r="V152" i="109"/>
  <c r="S80" i="107"/>
  <c r="P145" i="109" a="1"/>
  <c r="P145"/>
  <c r="P146"/>
  <c r="P147"/>
  <c r="P148"/>
  <c r="Q148"/>
  <c r="N76" i="107"/>
  <c r="R148" i="109"/>
  <c r="O76" i="107"/>
  <c r="S148" i="109"/>
  <c r="P76" i="107"/>
  <c r="T148" i="109"/>
  <c r="Q76" i="107"/>
  <c r="U148" i="109"/>
  <c r="R76" i="107"/>
  <c r="V148" i="109"/>
  <c r="S76" i="107"/>
  <c r="Q147" i="109"/>
  <c r="N75" i="107"/>
  <c r="R147" i="109"/>
  <c r="O75" i="107"/>
  <c r="S147" i="109"/>
  <c r="P75" i="107"/>
  <c r="T147" i="109"/>
  <c r="Q75" i="107"/>
  <c r="U147" i="109"/>
  <c r="R75" i="107"/>
  <c r="V147" i="109"/>
  <c r="S75" i="107"/>
  <c r="Q146" i="109"/>
  <c r="N74" i="107"/>
  <c r="R146" i="109"/>
  <c r="O74" i="107"/>
  <c r="S146" i="109"/>
  <c r="P74" i="107"/>
  <c r="T146" i="109"/>
  <c r="Q74" i="107"/>
  <c r="U146" i="109"/>
  <c r="R74" i="107"/>
  <c r="V146" i="109"/>
  <c r="S74" i="107"/>
  <c r="Q145" i="109"/>
  <c r="N73" i="107"/>
  <c r="R145" i="109"/>
  <c r="O73" i="107"/>
  <c r="S145" i="109"/>
  <c r="P73" i="107"/>
  <c r="T145" i="109"/>
  <c r="Q73" i="107"/>
  <c r="U145" i="109"/>
  <c r="R73" i="107"/>
  <c r="V145" i="109"/>
  <c r="S73" i="107"/>
  <c r="M73"/>
  <c r="M74"/>
  <c r="M75"/>
  <c r="M76"/>
  <c r="O145" i="109" a="1"/>
  <c r="O145"/>
  <c r="O146"/>
  <c r="O147"/>
  <c r="O148"/>
  <c r="L76" i="107"/>
  <c r="L75"/>
  <c r="L74"/>
  <c r="L73"/>
  <c r="P70" i="109" a="1"/>
  <c r="P100" a="1"/>
  <c r="P92" a="1"/>
  <c r="P92"/>
  <c r="Q92"/>
  <c r="R92"/>
  <c r="S92"/>
  <c r="P93"/>
  <c r="Q93"/>
  <c r="R93"/>
  <c r="S93"/>
  <c r="P94"/>
  <c r="Q94"/>
  <c r="R94"/>
  <c r="S94"/>
  <c r="P95"/>
  <c r="Q95"/>
  <c r="R95"/>
  <c r="S95"/>
  <c r="P96"/>
  <c r="Q96"/>
  <c r="R96"/>
  <c r="S96"/>
  <c r="X106"/>
  <c r="P124"/>
  <c r="Q124"/>
  <c r="X103"/>
  <c r="P125"/>
  <c r="Q125"/>
  <c r="X104"/>
  <c r="P126"/>
  <c r="Q126"/>
  <c r="P127"/>
  <c r="Q127"/>
  <c r="X105"/>
  <c r="P128"/>
  <c r="Q128"/>
  <c r="X110"/>
  <c r="P129"/>
  <c r="Q129"/>
  <c r="X107"/>
  <c r="P130"/>
  <c r="Q130"/>
  <c r="X108"/>
  <c r="P131"/>
  <c r="Q131"/>
  <c r="P132"/>
  <c r="Q132"/>
  <c r="X109"/>
  <c r="P133"/>
  <c r="Q133"/>
  <c r="X114"/>
  <c r="P134"/>
  <c r="Q134"/>
  <c r="X111"/>
  <c r="P135"/>
  <c r="Q135"/>
  <c r="X112"/>
  <c r="P136"/>
  <c r="Q136"/>
  <c r="P137"/>
  <c r="Q137"/>
  <c r="X113"/>
  <c r="P138"/>
  <c r="Q138"/>
  <c r="X118"/>
  <c r="P139"/>
  <c r="Q139"/>
  <c r="X115"/>
  <c r="P140"/>
  <c r="Q140"/>
  <c r="X116"/>
  <c r="P141"/>
  <c r="Q141"/>
  <c r="P142"/>
  <c r="Q142"/>
  <c r="X117"/>
  <c r="P143"/>
  <c r="Q143"/>
  <c r="Q144"/>
  <c r="M56" i="107"/>
  <c r="O126"/>
  <c r="X121" i="109"/>
  <c r="P97"/>
  <c r="Q97"/>
  <c r="R97"/>
  <c r="S97"/>
  <c r="T92"/>
  <c r="T93"/>
  <c r="T94"/>
  <c r="T95"/>
  <c r="T96"/>
  <c r="T97"/>
  <c r="M53" i="107"/>
  <c r="R127" i="109"/>
  <c r="R128"/>
  <c r="O53" i="107"/>
  <c r="S127" i="109"/>
  <c r="S128"/>
  <c r="P53" i="107"/>
  <c r="T127" i="109"/>
  <c r="T128"/>
  <c r="Q53" i="107"/>
  <c r="U127" i="109"/>
  <c r="U128"/>
  <c r="R53" i="107"/>
  <c r="V127" i="109"/>
  <c r="V128"/>
  <c r="S53" i="107"/>
  <c r="N53"/>
  <c r="M52"/>
  <c r="O52"/>
  <c r="P52"/>
  <c r="Q52"/>
  <c r="R52"/>
  <c r="S52"/>
  <c r="N52"/>
  <c r="M51"/>
  <c r="R126" i="109"/>
  <c r="O51" i="107"/>
  <c r="S126" i="109"/>
  <c r="P51" i="107"/>
  <c r="Q51"/>
  <c r="R51"/>
  <c r="S51"/>
  <c r="N51"/>
  <c r="M50"/>
  <c r="R125" i="109"/>
  <c r="O50" i="107"/>
  <c r="S125" i="109"/>
  <c r="P50" i="107"/>
  <c r="T125" i="109"/>
  <c r="Q50" i="107"/>
  <c r="U125" i="109"/>
  <c r="R50" i="107"/>
  <c r="S50"/>
  <c r="N50"/>
  <c r="M49"/>
  <c r="R124" i="109"/>
  <c r="O49" i="107"/>
  <c r="S124" i="109"/>
  <c r="P49" i="107"/>
  <c r="T124" i="109"/>
  <c r="Q49" i="107"/>
  <c r="U124" i="109"/>
  <c r="R49" i="107"/>
  <c r="S49"/>
  <c r="N49"/>
  <c r="M55"/>
  <c r="R129" i="109"/>
  <c r="O55" i="107"/>
  <c r="S129" i="109"/>
  <c r="P55" i="107"/>
  <c r="T129" i="109"/>
  <c r="Q55" i="107"/>
  <c r="U129" i="109"/>
  <c r="R55" i="107"/>
  <c r="V129" i="109"/>
  <c r="S55" i="107"/>
  <c r="N55"/>
  <c r="R130" i="109"/>
  <c r="O56" i="107"/>
  <c r="S130" i="109"/>
  <c r="P56" i="107"/>
  <c r="T130" i="109"/>
  <c r="Q56" i="107"/>
  <c r="U130" i="109"/>
  <c r="R56" i="107"/>
  <c r="V130" i="109"/>
  <c r="S56" i="107"/>
  <c r="N56"/>
  <c r="M57"/>
  <c r="O57"/>
  <c r="P57"/>
  <c r="Q57"/>
  <c r="R57"/>
  <c r="S57"/>
  <c r="N57"/>
  <c r="M58"/>
  <c r="R132" i="109"/>
  <c r="O58" i="107"/>
  <c r="S132" i="109"/>
  <c r="P58" i="107"/>
  <c r="T132" i="109"/>
  <c r="Q58" i="107"/>
  <c r="U132" i="109"/>
  <c r="R58" i="107"/>
  <c r="V132" i="109"/>
  <c r="S58" i="107"/>
  <c r="N58"/>
  <c r="M59"/>
  <c r="R133" i="109"/>
  <c r="O59" i="107"/>
  <c r="S133" i="109"/>
  <c r="P59" i="107"/>
  <c r="T133" i="109"/>
  <c r="Q59" i="107"/>
  <c r="U133" i="109"/>
  <c r="R59" i="107"/>
  <c r="V133" i="109"/>
  <c r="S59" i="107"/>
  <c r="N59"/>
  <c r="M61"/>
  <c r="R134" i="109"/>
  <c r="O61" i="107"/>
  <c r="S134" i="109"/>
  <c r="P61" i="107"/>
  <c r="T134" i="109"/>
  <c r="Q61" i="107"/>
  <c r="U134" i="109"/>
  <c r="R61" i="107"/>
  <c r="S61"/>
  <c r="N61"/>
  <c r="M62"/>
  <c r="R135" i="109"/>
  <c r="O62" i="107"/>
  <c r="S135" i="109"/>
  <c r="P62" i="107"/>
  <c r="T135" i="109"/>
  <c r="Q62" i="107"/>
  <c r="U135" i="109"/>
  <c r="R62" i="107"/>
  <c r="S62"/>
  <c r="N62"/>
  <c r="M63"/>
  <c r="R136" i="109"/>
  <c r="O63" i="107"/>
  <c r="S136" i="109"/>
  <c r="P63" i="107"/>
  <c r="T136" i="109"/>
  <c r="Q63" i="107"/>
  <c r="U136" i="109"/>
  <c r="R63" i="107"/>
  <c r="S63"/>
  <c r="N63"/>
  <c r="M64"/>
  <c r="R137" i="109"/>
  <c r="O64" i="107"/>
  <c r="S137" i="109"/>
  <c r="P64" i="107"/>
  <c r="T137" i="109"/>
  <c r="Q64" i="107"/>
  <c r="U137" i="109"/>
  <c r="R64" i="107"/>
  <c r="V137" i="109"/>
  <c r="S64" i="107"/>
  <c r="N64"/>
  <c r="M65"/>
  <c r="R138" i="109"/>
  <c r="O65" i="107"/>
  <c r="S138" i="109"/>
  <c r="P65" i="107"/>
  <c r="T138" i="109"/>
  <c r="Q65" i="107"/>
  <c r="U138" i="109"/>
  <c r="R65" i="107"/>
  <c r="V138" i="109"/>
  <c r="S65" i="107"/>
  <c r="N65"/>
  <c r="M67"/>
  <c r="R139" i="109"/>
  <c r="O67" i="107"/>
  <c r="S139" i="109"/>
  <c r="P67" i="107"/>
  <c r="T139" i="109"/>
  <c r="Q67" i="107"/>
  <c r="U139" i="109"/>
  <c r="R67" i="107"/>
  <c r="V139" i="109"/>
  <c r="S67" i="107"/>
  <c r="N67"/>
  <c r="M68"/>
  <c r="R140" i="109"/>
  <c r="O68" i="107"/>
  <c r="S140" i="109"/>
  <c r="P68" i="107"/>
  <c r="T140" i="109"/>
  <c r="Q68" i="107"/>
  <c r="U140" i="109"/>
  <c r="R68" i="107"/>
  <c r="V140" i="109"/>
  <c r="S68" i="107"/>
  <c r="N68"/>
  <c r="M69"/>
  <c r="R141" i="109"/>
  <c r="O69" i="107"/>
  <c r="S141" i="109"/>
  <c r="P69" i="107"/>
  <c r="T141" i="109"/>
  <c r="Q69" i="107"/>
  <c r="U141" i="109"/>
  <c r="R69" i="107"/>
  <c r="V141" i="109"/>
  <c r="S69" i="107"/>
  <c r="N69"/>
  <c r="M70"/>
  <c r="R142" i="109"/>
  <c r="O70" i="107"/>
  <c r="S142" i="109"/>
  <c r="P70" i="107"/>
  <c r="T142" i="109"/>
  <c r="Q70" i="107"/>
  <c r="U142" i="109"/>
  <c r="R70" i="107"/>
  <c r="V142" i="109"/>
  <c r="S70" i="107"/>
  <c r="N70"/>
  <c r="M71"/>
  <c r="R143" i="109"/>
  <c r="O71" i="107"/>
  <c r="S143" i="109"/>
  <c r="P71" i="107"/>
  <c r="T143" i="109"/>
  <c r="Q71" i="107"/>
  <c r="U143" i="109"/>
  <c r="R71" i="107"/>
  <c r="V143" i="109"/>
  <c r="S71" i="107"/>
  <c r="N71"/>
  <c r="P144" i="109"/>
  <c r="V124"/>
  <c r="V125"/>
  <c r="T126"/>
  <c r="U126"/>
  <c r="V126"/>
  <c r="R131"/>
  <c r="S131"/>
  <c r="T131"/>
  <c r="U131"/>
  <c r="V131"/>
  <c r="V134"/>
  <c r="V135"/>
  <c r="V136"/>
  <c r="X124" a="1"/>
  <c r="X124"/>
  <c r="X125"/>
  <c r="X126"/>
  <c r="X127"/>
  <c r="X128"/>
  <c r="J53" i="107"/>
  <c r="X134" i="109" a="1"/>
  <c r="X134"/>
  <c r="X135"/>
  <c r="X136"/>
  <c r="X137"/>
  <c r="X138"/>
  <c r="J65" i="107"/>
  <c r="X139" i="109" a="1"/>
  <c r="X139"/>
  <c r="X140"/>
  <c r="X141"/>
  <c r="X142"/>
  <c r="X143"/>
  <c r="J71" i="107"/>
  <c r="J52"/>
  <c r="J64"/>
  <c r="J70"/>
  <c r="J51"/>
  <c r="J63"/>
  <c r="J69"/>
  <c r="J62"/>
  <c r="J68"/>
  <c r="J49"/>
  <c r="J61"/>
  <c r="J67"/>
  <c r="J50"/>
  <c r="O125"/>
  <c r="P62" i="109" a="1"/>
  <c r="P62"/>
  <c r="Q62"/>
  <c r="R62"/>
  <c r="S62"/>
  <c r="P63"/>
  <c r="Q63"/>
  <c r="R63"/>
  <c r="S63"/>
  <c r="P64"/>
  <c r="Q64"/>
  <c r="R64"/>
  <c r="S64"/>
  <c r="P65"/>
  <c r="Q65"/>
  <c r="R65"/>
  <c r="S65"/>
  <c r="P66"/>
  <c r="Q66"/>
  <c r="R66"/>
  <c r="S66"/>
  <c r="O130"/>
  <c r="L56" i="107"/>
  <c r="O142" i="109"/>
  <c r="O143"/>
  <c r="L71" i="107"/>
  <c r="L70"/>
  <c r="O141" i="109"/>
  <c r="L69" i="107"/>
  <c r="O140" i="109"/>
  <c r="L68" i="107"/>
  <c r="O139" i="109"/>
  <c r="L67" i="107"/>
  <c r="O137" i="109"/>
  <c r="O138"/>
  <c r="L65" i="107"/>
  <c r="L64"/>
  <c r="O136" i="109"/>
  <c r="L63" i="107"/>
  <c r="O135" i="109"/>
  <c r="L62" i="107"/>
  <c r="O134" i="109"/>
  <c r="L61" i="107"/>
  <c r="O132" i="109"/>
  <c r="O133"/>
  <c r="L59" i="107"/>
  <c r="L58"/>
  <c r="O131" i="109"/>
  <c r="L57" i="107"/>
  <c r="O129" i="109"/>
  <c r="L55" i="107"/>
  <c r="O127" i="109"/>
  <c r="O128"/>
  <c r="L53" i="107"/>
  <c r="L52"/>
  <c r="O126" i="109"/>
  <c r="L51" i="107"/>
  <c r="O125" i="109"/>
  <c r="L50" i="107"/>
  <c r="O124" i="109"/>
  <c r="L49" i="107"/>
  <c r="O144" i="109"/>
  <c r="P67"/>
  <c r="Q67"/>
  <c r="R67"/>
  <c r="S67"/>
  <c r="T62"/>
  <c r="T63"/>
  <c r="T64"/>
  <c r="T65"/>
  <c r="T66"/>
  <c r="T67"/>
  <c r="W129" a="1"/>
  <c r="W129"/>
  <c r="W130"/>
  <c r="W131"/>
  <c r="W132"/>
  <c r="W133"/>
  <c r="I56" i="107"/>
  <c r="N126"/>
  <c r="I55"/>
  <c r="K55"/>
  <c r="K56"/>
  <c r="I57"/>
  <c r="K57"/>
  <c r="I58"/>
  <c r="K58"/>
  <c r="I59"/>
  <c r="K59"/>
  <c r="W139" i="109" a="1"/>
  <c r="W139"/>
  <c r="W140"/>
  <c r="W141"/>
  <c r="W142"/>
  <c r="W143"/>
  <c r="I67" i="107"/>
  <c r="K67"/>
  <c r="I68"/>
  <c r="K68"/>
  <c r="I69"/>
  <c r="K69"/>
  <c r="I70"/>
  <c r="K70"/>
  <c r="I71"/>
  <c r="K71"/>
  <c r="W134" i="109" a="1"/>
  <c r="W134"/>
  <c r="W135"/>
  <c r="W136"/>
  <c r="W137"/>
  <c r="W138"/>
  <c r="I61" i="107"/>
  <c r="K61"/>
  <c r="I62"/>
  <c r="K62"/>
  <c r="I63"/>
  <c r="K63"/>
  <c r="I64"/>
  <c r="K64"/>
  <c r="I65"/>
  <c r="K65"/>
  <c r="W124" i="109" a="1"/>
  <c r="W124"/>
  <c r="W125"/>
  <c r="W126"/>
  <c r="W127"/>
  <c r="W128"/>
  <c r="I49" i="107"/>
  <c r="K49"/>
  <c r="I50"/>
  <c r="K50"/>
  <c r="I51"/>
  <c r="K51"/>
  <c r="I52"/>
  <c r="K52"/>
  <c r="I53"/>
  <c r="K53"/>
  <c r="N125"/>
  <c r="P62" i="112"/>
  <c r="Q63"/>
  <c r="F91"/>
  <c r="G91"/>
  <c r="H91"/>
  <c r="D34" i="109"/>
  <c r="AG26" i="107"/>
  <c r="F92" i="112"/>
  <c r="G92"/>
  <c r="H92"/>
  <c r="D35" i="109"/>
  <c r="AG27" i="107"/>
  <c r="AG39"/>
  <c r="F93" i="112"/>
  <c r="G93"/>
  <c r="H93"/>
  <c r="D36" i="109"/>
  <c r="AG40" i="107"/>
  <c r="F90" i="112"/>
  <c r="G90"/>
  <c r="H90"/>
  <c r="F94"/>
  <c r="G94"/>
  <c r="H94"/>
  <c r="F95"/>
  <c r="G95"/>
  <c r="H95"/>
  <c r="I95"/>
  <c r="C8" i="110"/>
  <c r="O10"/>
  <c r="O11"/>
  <c r="P11"/>
  <c r="F76" i="112"/>
  <c r="F77"/>
  <c r="F78"/>
  <c r="F79"/>
  <c r="F80"/>
  <c r="Q64"/>
  <c r="F81"/>
  <c r="F82"/>
  <c r="F83"/>
  <c r="F84"/>
  <c r="F86"/>
  <c r="F96"/>
  <c r="F97"/>
  <c r="P10" i="110"/>
  <c r="AG28" i="107"/>
  <c r="P62" i="89"/>
  <c r="Q63"/>
  <c r="F76"/>
  <c r="F77"/>
  <c r="F78"/>
  <c r="F79"/>
  <c r="F80"/>
  <c r="Q64"/>
  <c r="F81"/>
  <c r="F82"/>
  <c r="F83"/>
  <c r="F84"/>
  <c r="F86"/>
  <c r="F90"/>
  <c r="F91"/>
  <c r="F92"/>
  <c r="F93"/>
  <c r="F94"/>
  <c r="F95"/>
  <c r="F96"/>
  <c r="F97"/>
  <c r="B8" i="110"/>
  <c r="G10"/>
  <c r="H10"/>
  <c r="G11"/>
  <c r="H11"/>
  <c r="D37" i="109"/>
  <c r="AG47" i="107"/>
  <c r="G94" i="89"/>
  <c r="H94"/>
  <c r="C37" i="109"/>
  <c r="AF47" i="107"/>
  <c r="AG46"/>
  <c r="G93" i="89"/>
  <c r="H93"/>
  <c r="C36" i="109"/>
  <c r="AF46" i="107"/>
  <c r="AG45"/>
  <c r="G92" i="89"/>
  <c r="H92"/>
  <c r="C35" i="109"/>
  <c r="AF45" i="107"/>
  <c r="AG44"/>
  <c r="G91" i="89"/>
  <c r="H91"/>
  <c r="C34" i="109"/>
  <c r="AF44" i="107"/>
  <c r="D33" i="109"/>
  <c r="AG43" i="107"/>
  <c r="G90" i="89"/>
  <c r="H90"/>
  <c r="C33" i="109"/>
  <c r="AF43" i="107"/>
  <c r="AG35"/>
  <c r="AF35"/>
  <c r="AG34"/>
  <c r="AF34"/>
  <c r="AG33"/>
  <c r="AF33"/>
  <c r="AG32"/>
  <c r="AF32"/>
  <c r="AG31"/>
  <c r="AF31"/>
  <c r="AF40"/>
  <c r="AF39"/>
  <c r="AG38"/>
  <c r="AF38"/>
  <c r="AF28"/>
  <c r="AF27"/>
  <c r="AF26"/>
  <c r="AG25"/>
  <c r="AF25"/>
  <c r="AG29"/>
  <c r="AF29"/>
  <c r="AG37"/>
  <c r="AF37"/>
  <c r="AG41"/>
  <c r="AF41"/>
  <c r="E24" i="109"/>
  <c r="S9"/>
  <c r="S10"/>
  <c r="S11"/>
  <c r="F24"/>
  <c r="T9"/>
  <c r="T10"/>
  <c r="T11"/>
  <c r="F25"/>
  <c r="F26"/>
  <c r="M13" i="107"/>
  <c r="M12"/>
  <c r="H25" i="109"/>
  <c r="I25"/>
  <c r="K12" i="107"/>
  <c r="K14"/>
  <c r="K13"/>
  <c r="J12"/>
  <c r="J13"/>
  <c r="F23" i="109"/>
  <c r="H23"/>
  <c r="O92" i="107"/>
  <c r="F22" i="109"/>
  <c r="H22"/>
  <c r="O91" i="107"/>
  <c r="F21" i="109"/>
  <c r="H21"/>
  <c r="O90" i="107"/>
  <c r="F20" i="109"/>
  <c r="H20"/>
  <c r="O89" i="107"/>
  <c r="F19" i="109"/>
  <c r="H19"/>
  <c r="O88" i="107"/>
  <c r="J6"/>
  <c r="E20" i="109"/>
  <c r="G20"/>
  <c r="I6" i="107"/>
  <c r="J7"/>
  <c r="E21" i="109"/>
  <c r="G21"/>
  <c r="I7" i="107"/>
  <c r="J8"/>
  <c r="E22" i="109"/>
  <c r="G22"/>
  <c r="I8" i="107"/>
  <c r="J9"/>
  <c r="E23" i="109"/>
  <c r="G23"/>
  <c r="I9" i="107"/>
  <c r="U10" i="109"/>
  <c r="I11" i="107"/>
  <c r="U9" i="109"/>
  <c r="I10" i="107"/>
  <c r="V9" i="109"/>
  <c r="J10" i="107"/>
  <c r="V10" i="109"/>
  <c r="J11" i="107"/>
  <c r="I21" i="109"/>
  <c r="K7" i="107"/>
  <c r="N90"/>
  <c r="N92"/>
  <c r="N91"/>
  <c r="N89"/>
  <c r="E19" i="109"/>
  <c r="G19"/>
  <c r="N88" i="107"/>
  <c r="G24" i="109"/>
  <c r="I19"/>
  <c r="K5" i="107"/>
  <c r="I20" i="109"/>
  <c r="K6" i="107"/>
  <c r="I22" i="109"/>
  <c r="K8" i="107"/>
  <c r="I23" i="109"/>
  <c r="K9" i="107"/>
  <c r="I5"/>
  <c r="M10"/>
  <c r="O10"/>
  <c r="L11"/>
  <c r="P11"/>
  <c r="L10"/>
  <c r="P10"/>
  <c r="Q11"/>
  <c r="Q10"/>
  <c r="R11"/>
  <c r="R10"/>
  <c r="S11"/>
  <c r="S10"/>
  <c r="T11"/>
  <c r="T10"/>
  <c r="U10"/>
  <c r="U11"/>
  <c r="M11"/>
  <c r="O11"/>
  <c r="N10"/>
  <c r="N11"/>
  <c r="H24" i="109"/>
  <c r="I24"/>
  <c r="J5" i="107"/>
  <c r="L5"/>
  <c r="N5"/>
  <c r="M5"/>
  <c r="O5"/>
  <c r="P5"/>
  <c r="Q5"/>
  <c r="R5"/>
  <c r="S5"/>
  <c r="T5"/>
  <c r="U5"/>
  <c r="L6"/>
  <c r="N6"/>
  <c r="M6"/>
  <c r="O6"/>
  <c r="P6"/>
  <c r="Q6"/>
  <c r="R6"/>
  <c r="S6"/>
  <c r="T6"/>
  <c r="U6"/>
  <c r="L7"/>
  <c r="N7"/>
  <c r="M7"/>
  <c r="O7"/>
  <c r="P7"/>
  <c r="Q7"/>
  <c r="R7"/>
  <c r="S7"/>
  <c r="T7"/>
  <c r="U7"/>
  <c r="L8"/>
  <c r="N8"/>
  <c r="M8"/>
  <c r="O8"/>
  <c r="P8"/>
  <c r="Q8"/>
  <c r="R8"/>
  <c r="S8"/>
  <c r="T8"/>
  <c r="U8"/>
  <c r="L9"/>
  <c r="N9"/>
  <c r="M9"/>
  <c r="O9"/>
  <c r="P9"/>
  <c r="Q9"/>
  <c r="R9"/>
  <c r="S9"/>
  <c r="T9"/>
  <c r="U9"/>
  <c r="F85" i="112"/>
  <c r="F85" i="89"/>
  <c r="J38" i="109"/>
  <c r="F38"/>
  <c r="D145" a="1"/>
  <c r="D145"/>
  <c r="D146"/>
  <c r="D147"/>
  <c r="D148"/>
  <c r="AE23" i="107"/>
  <c r="M23"/>
  <c r="N23"/>
  <c r="F119" i="109"/>
  <c r="E119"/>
  <c r="K119"/>
  <c r="F148"/>
  <c r="O23" i="107"/>
  <c r="G119" i="109"/>
  <c r="G148"/>
  <c r="P23" i="107"/>
  <c r="H119" i="109"/>
  <c r="H148"/>
  <c r="Q23" i="107"/>
  <c r="I119" i="109"/>
  <c r="I148"/>
  <c r="R23" i="107"/>
  <c r="J119" i="109"/>
  <c r="J148"/>
  <c r="S23" i="107"/>
  <c r="AE22"/>
  <c r="M22"/>
  <c r="N22"/>
  <c r="F147" i="109"/>
  <c r="O22" i="107"/>
  <c r="G147" i="109"/>
  <c r="P22" i="107"/>
  <c r="H147" i="109"/>
  <c r="Q22" i="107"/>
  <c r="I147" i="109"/>
  <c r="R22" i="107"/>
  <c r="J147" i="109"/>
  <c r="S22" i="107"/>
  <c r="AE21"/>
  <c r="M21"/>
  <c r="N21"/>
  <c r="F146" i="109"/>
  <c r="O21" i="107"/>
  <c r="G146" i="109"/>
  <c r="P21" i="107"/>
  <c r="H146" i="109"/>
  <c r="Q21" i="107"/>
  <c r="I146" i="109"/>
  <c r="R21" i="107"/>
  <c r="J146" i="109"/>
  <c r="S21" i="107"/>
  <c r="AE20"/>
  <c r="M20"/>
  <c r="N20"/>
  <c r="F145" i="109"/>
  <c r="O20" i="107"/>
  <c r="G145" i="109"/>
  <c r="P20" i="107"/>
  <c r="H145" i="109"/>
  <c r="Q20" i="107"/>
  <c r="I145" i="109"/>
  <c r="R20" i="107"/>
  <c r="J145" i="109"/>
  <c r="S20" i="107"/>
  <c r="E145" i="109"/>
  <c r="E146"/>
  <c r="E147"/>
  <c r="E148"/>
  <c r="G95" i="89"/>
  <c r="I38" i="109"/>
  <c r="H95" i="89"/>
  <c r="I95"/>
  <c r="E38" i="109"/>
  <c r="C145" a="1"/>
  <c r="C145"/>
  <c r="C146"/>
  <c r="C147"/>
  <c r="C148"/>
  <c r="AD23" i="107"/>
  <c r="L23"/>
  <c r="AD22"/>
  <c r="L22"/>
  <c r="AD21"/>
  <c r="L21"/>
  <c r="AD20"/>
  <c r="L20"/>
  <c r="H26" i="109"/>
  <c r="J15" i="107"/>
  <c r="E26" i="109"/>
  <c r="G26"/>
  <c r="I15" i="107"/>
  <c r="G96" i="112"/>
  <c r="J39" i="109"/>
  <c r="M97" i="107"/>
  <c r="I39" i="109"/>
  <c r="L97" i="107"/>
  <c r="R63" i="112"/>
  <c r="R64"/>
  <c r="H86"/>
  <c r="I86"/>
  <c r="I90"/>
  <c r="I91"/>
  <c r="I92"/>
  <c r="I93"/>
  <c r="I94"/>
  <c r="G97"/>
  <c r="H97"/>
  <c r="I97"/>
  <c r="I94" i="89"/>
  <c r="I93"/>
  <c r="I92"/>
  <c r="I91"/>
  <c r="I90"/>
  <c r="H86"/>
  <c r="I86"/>
  <c r="I26" i="109"/>
  <c r="K15" i="107"/>
  <c r="R64" i="89"/>
  <c r="R63"/>
  <c r="E34" i="109"/>
  <c r="I34"/>
  <c r="I35"/>
  <c r="I37"/>
  <c r="E35"/>
  <c r="E36"/>
  <c r="I36"/>
  <c r="E37"/>
  <c r="E33"/>
  <c r="F33"/>
  <c r="F34"/>
  <c r="F35"/>
  <c r="F36"/>
  <c r="F37"/>
  <c r="I33"/>
  <c r="J33"/>
  <c r="J34"/>
  <c r="J35"/>
  <c r="J36"/>
  <c r="J37"/>
  <c r="G97" i="89"/>
  <c r="H97"/>
  <c r="I97"/>
  <c r="E27" i="109"/>
  <c r="G27"/>
  <c r="Q86" i="107"/>
  <c r="F27" i="109"/>
  <c r="H27"/>
  <c r="R86" i="107"/>
  <c r="I27" i="109"/>
  <c r="S86" i="107"/>
  <c r="D119" i="109"/>
  <c r="C38"/>
  <c r="G20" i="107"/>
  <c r="G21"/>
  <c r="D38" i="109"/>
  <c r="H20" i="107"/>
  <c r="H21"/>
  <c r="G38" i="109"/>
  <c r="I20" i="107"/>
  <c r="I21"/>
  <c r="H38" i="109"/>
  <c r="J20" i="107"/>
  <c r="J21"/>
  <c r="G22"/>
  <c r="H22"/>
  <c r="I22"/>
  <c r="J22"/>
  <c r="G23"/>
  <c r="H23"/>
  <c r="I23"/>
  <c r="J23"/>
  <c r="E25" i="109"/>
  <c r="L13" i="107"/>
  <c r="L12"/>
  <c r="N12"/>
  <c r="L15"/>
  <c r="N15"/>
  <c r="M15"/>
  <c r="O15"/>
  <c r="P15"/>
  <c r="Q15"/>
  <c r="R15"/>
  <c r="S15"/>
  <c r="T15"/>
  <c r="U15"/>
  <c r="L16"/>
  <c r="N16"/>
  <c r="M16"/>
  <c r="O16"/>
  <c r="P16"/>
  <c r="Q16"/>
  <c r="R16"/>
  <c r="S16"/>
  <c r="T16"/>
  <c r="U16"/>
  <c r="AF20"/>
  <c r="AF21"/>
  <c r="AG20"/>
  <c r="AG21"/>
  <c r="AF22"/>
  <c r="AG22"/>
  <c r="AF23"/>
  <c r="AG23"/>
  <c r="AD19"/>
  <c r="G19"/>
  <c r="AE19"/>
  <c r="H19"/>
  <c r="G25" i="109"/>
  <c r="I12" i="107"/>
  <c r="I13"/>
  <c r="L93"/>
  <c r="L94"/>
  <c r="M93"/>
  <c r="M94"/>
  <c r="L95"/>
  <c r="M95"/>
  <c r="L96"/>
  <c r="M96"/>
  <c r="N93"/>
  <c r="N94"/>
  <c r="O93"/>
  <c r="O94"/>
  <c r="N95"/>
  <c r="O95"/>
  <c r="N96"/>
  <c r="O96"/>
  <c r="N52" i="111" a="1"/>
  <c r="N52"/>
  <c r="O52"/>
  <c r="P52"/>
  <c r="Q52"/>
  <c r="N53"/>
  <c r="O53"/>
  <c r="P53"/>
  <c r="Q53"/>
  <c r="N54"/>
  <c r="O54"/>
  <c r="P54"/>
  <c r="Q54"/>
  <c r="N55"/>
  <c r="O55"/>
  <c r="P55"/>
  <c r="Q55"/>
  <c r="N56"/>
  <c r="O56"/>
  <c r="P56"/>
  <c r="Q56"/>
  <c r="N57" a="1"/>
  <c r="N57"/>
  <c r="O57"/>
  <c r="P57"/>
  <c r="Q57"/>
  <c r="R57"/>
  <c r="N61" a="1"/>
  <c r="N61"/>
  <c r="O61"/>
  <c r="P61"/>
  <c r="Q61"/>
  <c r="N62"/>
  <c r="O62"/>
  <c r="P62"/>
  <c r="Q62"/>
  <c r="N63"/>
  <c r="O63"/>
  <c r="P63"/>
  <c r="Q63"/>
  <c r="N64"/>
  <c r="O64"/>
  <c r="P64"/>
  <c r="Q64"/>
  <c r="N65"/>
  <c r="O65"/>
  <c r="P65"/>
  <c r="Q65"/>
  <c r="Q66"/>
  <c r="P66"/>
  <c r="O66"/>
  <c r="N66"/>
  <c r="X52" a="1"/>
  <c r="X52"/>
  <c r="Y52"/>
  <c r="Z52"/>
  <c r="AA52"/>
  <c r="X53"/>
  <c r="Y53"/>
  <c r="Z53"/>
  <c r="AA53"/>
  <c r="X54"/>
  <c r="Y54"/>
  <c r="Z54"/>
  <c r="AA54"/>
  <c r="X55"/>
  <c r="Y55"/>
  <c r="Z55"/>
  <c r="AA55"/>
  <c r="X56"/>
  <c r="Y56"/>
  <c r="Z56"/>
  <c r="AA56"/>
  <c r="X57" a="1"/>
  <c r="X57"/>
  <c r="Y57"/>
  <c r="Z57"/>
  <c r="AA57"/>
  <c r="AB57"/>
  <c r="X61" a="1"/>
  <c r="X61"/>
  <c r="Y61"/>
  <c r="Z61"/>
  <c r="AA61"/>
  <c r="X62"/>
  <c r="Y62"/>
  <c r="Z62"/>
  <c r="AA62"/>
  <c r="X63"/>
  <c r="Y63"/>
  <c r="Z63"/>
  <c r="AA63"/>
  <c r="X64"/>
  <c r="Y64"/>
  <c r="Z64"/>
  <c r="AA64"/>
  <c r="X65"/>
  <c r="Y65"/>
  <c r="Z65"/>
  <c r="AA65"/>
  <c r="X66"/>
  <c r="Y66"/>
  <c r="Z66"/>
  <c r="AA66"/>
  <c r="D52" a="1"/>
  <c r="D52"/>
  <c r="E52"/>
  <c r="F52"/>
  <c r="G52"/>
  <c r="D53"/>
  <c r="E53"/>
  <c r="F53"/>
  <c r="G53"/>
  <c r="D54"/>
  <c r="E54"/>
  <c r="F54"/>
  <c r="G54"/>
  <c r="D55"/>
  <c r="E55"/>
  <c r="F55"/>
  <c r="G55"/>
  <c r="D56"/>
  <c r="E56"/>
  <c r="F56"/>
  <c r="G56"/>
  <c r="D57" a="1"/>
  <c r="D57"/>
  <c r="E57"/>
  <c r="F57"/>
  <c r="G57"/>
  <c r="H57"/>
  <c r="D61" a="1"/>
  <c r="D61"/>
  <c r="E61"/>
  <c r="F61"/>
  <c r="G61"/>
  <c r="D62"/>
  <c r="E62"/>
  <c r="F62"/>
  <c r="G62"/>
  <c r="D63"/>
  <c r="E63"/>
  <c r="F63"/>
  <c r="G63"/>
  <c r="D64"/>
  <c r="E64"/>
  <c r="F64"/>
  <c r="G64"/>
  <c r="D65"/>
  <c r="E65"/>
  <c r="F65"/>
  <c r="G65"/>
  <c r="D66"/>
  <c r="E66"/>
  <c r="F66"/>
  <c r="G66"/>
  <c r="H62"/>
  <c r="H63"/>
  <c r="H64"/>
  <c r="H65"/>
  <c r="H61"/>
  <c r="H66"/>
  <c r="I62"/>
  <c r="I63"/>
  <c r="I64"/>
  <c r="I65"/>
  <c r="I61"/>
  <c r="I66"/>
  <c r="D69" a="1"/>
  <c r="D69"/>
  <c r="E69"/>
  <c r="F69"/>
  <c r="G69"/>
  <c r="D70"/>
  <c r="E70"/>
  <c r="F70"/>
  <c r="G70"/>
  <c r="D71"/>
  <c r="E71"/>
  <c r="F71"/>
  <c r="G71"/>
  <c r="D72"/>
  <c r="E72"/>
  <c r="F72"/>
  <c r="G72"/>
  <c r="D73"/>
  <c r="E73"/>
  <c r="F73"/>
  <c r="G73"/>
  <c r="E74"/>
  <c r="F74"/>
  <c r="G74"/>
  <c r="D74"/>
  <c r="H74"/>
  <c r="H69"/>
  <c r="H70"/>
  <c r="H71"/>
  <c r="H72"/>
  <c r="H73"/>
  <c r="E58" a="1"/>
  <c r="E58"/>
  <c r="F58" a="1"/>
  <c r="F58"/>
  <c r="G58" a="1"/>
  <c r="G58"/>
  <c r="D58" a="1"/>
  <c r="D58"/>
  <c r="H58"/>
  <c r="V11" i="109"/>
  <c r="U11"/>
  <c r="D83" a="1"/>
  <c r="D83"/>
  <c r="E83"/>
  <c r="F83"/>
  <c r="G83"/>
  <c r="D84"/>
  <c r="E84"/>
  <c r="F84"/>
  <c r="G84"/>
  <c r="D85"/>
  <c r="E85"/>
  <c r="F85"/>
  <c r="G85"/>
  <c r="D86"/>
  <c r="E86"/>
  <c r="F86"/>
  <c r="G86"/>
  <c r="D87"/>
  <c r="E87"/>
  <c r="F87"/>
  <c r="G87"/>
  <c r="AE40" i="107"/>
  <c r="M116"/>
  <c r="Y40"/>
  <c r="J147"/>
  <c r="D53" i="109" a="1"/>
  <c r="D53"/>
  <c r="E53"/>
  <c r="F53"/>
  <c r="G53"/>
  <c r="D54"/>
  <c r="E54"/>
  <c r="F54"/>
  <c r="G54"/>
  <c r="D55"/>
  <c r="E55"/>
  <c r="F55"/>
  <c r="G55"/>
  <c r="D56"/>
  <c r="E56"/>
  <c r="F56"/>
  <c r="G56"/>
  <c r="D57"/>
  <c r="E57"/>
  <c r="F57"/>
  <c r="G57"/>
  <c r="AD40" i="107"/>
  <c r="X40"/>
  <c r="L116"/>
  <c r="I147"/>
  <c r="AE39"/>
  <c r="M115"/>
  <c r="Y39"/>
  <c r="J146"/>
  <c r="AD39"/>
  <c r="X39"/>
  <c r="L115"/>
  <c r="I146"/>
  <c r="AE38"/>
  <c r="M114"/>
  <c r="J145"/>
  <c r="AD38"/>
  <c r="L114"/>
  <c r="I145"/>
  <c r="AE41"/>
  <c r="H41"/>
  <c r="M117"/>
  <c r="X148"/>
  <c r="AD41"/>
  <c r="G41"/>
  <c r="L117"/>
  <c r="W148"/>
  <c r="AE37"/>
  <c r="H37"/>
  <c r="M113"/>
  <c r="X144"/>
  <c r="AD37"/>
  <c r="G37"/>
  <c r="L113"/>
  <c r="W144"/>
  <c r="AE29"/>
  <c r="H29"/>
  <c r="M105"/>
  <c r="X136"/>
  <c r="AD29"/>
  <c r="G29"/>
  <c r="L105"/>
  <c r="W136"/>
  <c r="AE25"/>
  <c r="H25"/>
  <c r="M101"/>
  <c r="X132"/>
  <c r="AD25"/>
  <c r="G25"/>
  <c r="L101"/>
  <c r="W132"/>
  <c r="E60" i="109" a="1"/>
  <c r="E60"/>
  <c r="F60" a="1"/>
  <c r="F60"/>
  <c r="G60" a="1"/>
  <c r="G60"/>
  <c r="D60" a="1"/>
  <c r="D60"/>
  <c r="H60"/>
  <c r="D59" a="1"/>
  <c r="D59"/>
  <c r="E59"/>
  <c r="F59"/>
  <c r="G59"/>
  <c r="H59"/>
  <c r="E90" a="1"/>
  <c r="E90"/>
  <c r="F90" a="1"/>
  <c r="F90"/>
  <c r="G90" a="1"/>
  <c r="G90"/>
  <c r="D90" a="1"/>
  <c r="D90"/>
  <c r="H90"/>
  <c r="D89" a="1"/>
  <c r="D89"/>
  <c r="E89"/>
  <c r="F89"/>
  <c r="G89"/>
  <c r="H89"/>
  <c r="AD26" i="107"/>
  <c r="G26"/>
  <c r="X26"/>
  <c r="L102"/>
  <c r="W133"/>
  <c r="AE26"/>
  <c r="H26"/>
  <c r="M102"/>
  <c r="Y26"/>
  <c r="X133"/>
  <c r="AD27"/>
  <c r="G27"/>
  <c r="X27"/>
  <c r="L103"/>
  <c r="W134"/>
  <c r="AE27"/>
  <c r="H27"/>
  <c r="M103"/>
  <c r="Y27"/>
  <c r="X134"/>
  <c r="AD28"/>
  <c r="G28"/>
  <c r="L104"/>
  <c r="W135"/>
  <c r="AE28"/>
  <c r="H28"/>
  <c r="M104"/>
  <c r="X135"/>
  <c r="G38"/>
  <c r="W145"/>
  <c r="H38"/>
  <c r="X145"/>
  <c r="G39"/>
  <c r="W146"/>
  <c r="H39"/>
  <c r="X146"/>
  <c r="G40"/>
  <c r="W147"/>
  <c r="H40"/>
  <c r="X147"/>
  <c r="AD31"/>
  <c r="G31"/>
  <c r="L107"/>
  <c r="W138"/>
  <c r="AE31"/>
  <c r="H31"/>
  <c r="M107"/>
  <c r="X138"/>
  <c r="AD32"/>
  <c r="G32"/>
  <c r="L108"/>
  <c r="W139"/>
  <c r="AE32"/>
  <c r="H32"/>
  <c r="M108"/>
  <c r="X139"/>
  <c r="AD33"/>
  <c r="G33"/>
  <c r="L109"/>
  <c r="W140"/>
  <c r="AE33"/>
  <c r="H33"/>
  <c r="M109"/>
  <c r="X140"/>
  <c r="AD34"/>
  <c r="G34"/>
  <c r="L110"/>
  <c r="W141"/>
  <c r="AE34"/>
  <c r="H34"/>
  <c r="M110"/>
  <c r="X141"/>
  <c r="AD35"/>
  <c r="G35"/>
  <c r="L111"/>
  <c r="W142"/>
  <c r="AE35"/>
  <c r="H35"/>
  <c r="M111"/>
  <c r="X142"/>
  <c r="AD43"/>
  <c r="G43"/>
  <c r="L119"/>
  <c r="W150"/>
  <c r="AE43"/>
  <c r="H43"/>
  <c r="M119"/>
  <c r="X150"/>
  <c r="AD44"/>
  <c r="G44"/>
  <c r="L120"/>
  <c r="W151"/>
  <c r="AE44"/>
  <c r="H44"/>
  <c r="M120"/>
  <c r="X151"/>
  <c r="AD45"/>
  <c r="G45"/>
  <c r="L121"/>
  <c r="W152"/>
  <c r="AE45"/>
  <c r="H45"/>
  <c r="M121"/>
  <c r="X152"/>
  <c r="AD46"/>
  <c r="G46"/>
  <c r="L122"/>
  <c r="W153"/>
  <c r="AE46"/>
  <c r="H46"/>
  <c r="M122"/>
  <c r="X153"/>
  <c r="AD47"/>
  <c r="G47"/>
  <c r="L123"/>
  <c r="W154"/>
  <c r="AE47"/>
  <c r="H47"/>
  <c r="M123"/>
  <c r="X154"/>
  <c r="D99" i="109" a="1"/>
  <c r="D99"/>
  <c r="E99"/>
  <c r="F99"/>
  <c r="G99"/>
  <c r="H99"/>
  <c r="B7" i="110"/>
  <c r="B6"/>
  <c r="G7"/>
  <c r="G8"/>
  <c r="H8"/>
  <c r="G9"/>
  <c r="H9"/>
  <c r="H7"/>
  <c r="H12"/>
  <c r="I5"/>
  <c r="I11"/>
  <c r="C23"/>
  <c r="I10"/>
  <c r="C22"/>
  <c r="J7"/>
  <c r="I7"/>
  <c r="J10"/>
  <c r="J8"/>
  <c r="I8"/>
  <c r="J9"/>
  <c r="I9"/>
  <c r="C21"/>
  <c r="C20"/>
  <c r="C19"/>
  <c r="K8"/>
  <c r="K9"/>
  <c r="K10"/>
  <c r="J11"/>
  <c r="K11"/>
  <c r="K7"/>
  <c r="K12"/>
  <c r="B10"/>
  <c r="H83" i="109" a="1"/>
  <c r="H83"/>
  <c r="I83"/>
  <c r="J83"/>
  <c r="K83"/>
  <c r="H84"/>
  <c r="I84"/>
  <c r="J84"/>
  <c r="K84"/>
  <c r="H85"/>
  <c r="I85"/>
  <c r="J85"/>
  <c r="K85"/>
  <c r="H86"/>
  <c r="I86"/>
  <c r="J86"/>
  <c r="K86"/>
  <c r="H87"/>
  <c r="I87"/>
  <c r="J87"/>
  <c r="K87"/>
  <c r="H88"/>
  <c r="I88"/>
  <c r="J88"/>
  <c r="K88"/>
  <c r="I133" i="107"/>
  <c r="J133"/>
  <c r="I134"/>
  <c r="J134"/>
  <c r="I135"/>
  <c r="J135"/>
  <c r="H93" i="109"/>
  <c r="H94"/>
  <c r="H95"/>
  <c r="H96"/>
  <c r="H92"/>
  <c r="H97"/>
  <c r="I93"/>
  <c r="I94"/>
  <c r="I95"/>
  <c r="I96"/>
  <c r="I92"/>
  <c r="I97"/>
  <c r="H53" a="1"/>
  <c r="H53"/>
  <c r="I53"/>
  <c r="J53"/>
  <c r="K53"/>
  <c r="H54"/>
  <c r="I54"/>
  <c r="J54"/>
  <c r="K54"/>
  <c r="H55"/>
  <c r="I55"/>
  <c r="J55"/>
  <c r="K55"/>
  <c r="H56"/>
  <c r="I56"/>
  <c r="J56"/>
  <c r="K56"/>
  <c r="H57"/>
  <c r="I57"/>
  <c r="J57"/>
  <c r="K57"/>
  <c r="H58"/>
  <c r="I58"/>
  <c r="J58"/>
  <c r="K58"/>
  <c r="H63"/>
  <c r="H64"/>
  <c r="H65"/>
  <c r="H66"/>
  <c r="H62"/>
  <c r="H67"/>
  <c r="I63"/>
  <c r="I64"/>
  <c r="I65"/>
  <c r="I66"/>
  <c r="I62"/>
  <c r="I67"/>
  <c r="D69" a="1"/>
  <c r="D69"/>
  <c r="E69"/>
  <c r="F69"/>
  <c r="G69"/>
  <c r="C7" i="110"/>
  <c r="C6"/>
  <c r="O7"/>
  <c r="O8"/>
  <c r="P8"/>
  <c r="O9"/>
  <c r="P9"/>
  <c r="R7"/>
  <c r="P7"/>
  <c r="P12"/>
  <c r="Q7"/>
  <c r="Q5"/>
  <c r="Q11"/>
  <c r="R10"/>
  <c r="R8"/>
  <c r="Q8"/>
  <c r="S8"/>
  <c r="R9"/>
  <c r="Q9"/>
  <c r="S9"/>
  <c r="Q10"/>
  <c r="S10"/>
  <c r="R11"/>
  <c r="S11"/>
  <c r="S7"/>
  <c r="S12"/>
  <c r="C10"/>
  <c r="H69" i="109"/>
  <c r="D19" i="110"/>
  <c r="E19"/>
  <c r="F19"/>
  <c r="G19"/>
  <c r="H19"/>
  <c r="D20"/>
  <c r="E20"/>
  <c r="F20"/>
  <c r="G20"/>
  <c r="H20"/>
  <c r="D21"/>
  <c r="E21"/>
  <c r="F21"/>
  <c r="G21"/>
  <c r="H21"/>
  <c r="D22"/>
  <c r="E22"/>
  <c r="F22"/>
  <c r="G22"/>
  <c r="H22"/>
  <c r="D23"/>
  <c r="E23"/>
  <c r="F23"/>
  <c r="G23"/>
  <c r="H23"/>
  <c r="D70" i="109" a="1"/>
  <c r="D70"/>
  <c r="E70"/>
  <c r="F70"/>
  <c r="G70"/>
  <c r="H70"/>
  <c r="D100" a="1"/>
  <c r="D100"/>
  <c r="E100"/>
  <c r="F100"/>
  <c r="G100"/>
  <c r="H100"/>
  <c r="S100"/>
  <c r="G39" i="110"/>
  <c r="S70" i="109"/>
  <c r="F39" i="110"/>
  <c r="H39"/>
  <c r="I39"/>
  <c r="J39"/>
  <c r="K39"/>
  <c r="L39"/>
  <c r="J44"/>
  <c r="I44"/>
  <c r="H44"/>
  <c r="R100" i="109"/>
  <c r="G38" i="110"/>
  <c r="R70" i="109"/>
  <c r="F38" i="110"/>
  <c r="H38"/>
  <c r="I38"/>
  <c r="J38"/>
  <c r="K38"/>
  <c r="L38"/>
  <c r="J43"/>
  <c r="I43"/>
  <c r="H43"/>
  <c r="Q100" i="109"/>
  <c r="G37" i="110"/>
  <c r="Q70" i="109"/>
  <c r="F37" i="110"/>
  <c r="H37"/>
  <c r="I37"/>
  <c r="J37"/>
  <c r="K37"/>
  <c r="L37"/>
  <c r="J42"/>
  <c r="I42"/>
  <c r="H42"/>
  <c r="P100" i="109"/>
  <c r="G36" i="110"/>
  <c r="P70" i="109"/>
  <c r="F36" i="110"/>
  <c r="H36"/>
  <c r="I36"/>
  <c r="J36"/>
  <c r="K36"/>
  <c r="L36"/>
  <c r="J41"/>
  <c r="I41"/>
  <c r="H41"/>
  <c r="V70" i="109"/>
  <c r="C25" i="110"/>
  <c r="V100" i="109"/>
  <c r="D25" i="110"/>
  <c r="T100" i="109"/>
  <c r="V64" i="82" a="1"/>
  <c r="V64"/>
  <c r="V65"/>
  <c r="V66"/>
  <c r="N67"/>
  <c r="N68"/>
  <c r="O68"/>
  <c r="P68"/>
  <c r="Q64"/>
  <c r="Q65"/>
  <c r="H64"/>
  <c r="H65"/>
  <c r="H66"/>
  <c r="R64"/>
  <c r="R65"/>
  <c r="T70" i="109"/>
  <c r="U64" i="82" a="1"/>
  <c r="U64"/>
  <c r="U65"/>
  <c r="U66"/>
  <c r="G66"/>
  <c r="G64"/>
  <c r="G65"/>
  <c r="D62" i="109" a="1"/>
  <c r="D62"/>
  <c r="E62"/>
  <c r="F62"/>
  <c r="G62"/>
  <c r="D63"/>
  <c r="E63"/>
  <c r="F63"/>
  <c r="G63"/>
  <c r="D64"/>
  <c r="E64"/>
  <c r="F64"/>
  <c r="G64"/>
  <c r="D65"/>
  <c r="E65"/>
  <c r="F65"/>
  <c r="G65"/>
  <c r="D66"/>
  <c r="E66"/>
  <c r="F66"/>
  <c r="G66"/>
  <c r="C124"/>
  <c r="C125"/>
  <c r="C126"/>
  <c r="C127"/>
  <c r="C128"/>
  <c r="C129" a="1"/>
  <c r="C129"/>
  <c r="C130"/>
  <c r="C131"/>
  <c r="C132"/>
  <c r="C133"/>
  <c r="C134" a="1"/>
  <c r="C134"/>
  <c r="C135"/>
  <c r="C136"/>
  <c r="C137"/>
  <c r="C138"/>
  <c r="C139" a="1"/>
  <c r="C139"/>
  <c r="C140"/>
  <c r="C141"/>
  <c r="C142"/>
  <c r="C143"/>
  <c r="C144"/>
  <c r="L31" i="107"/>
  <c r="L32"/>
  <c r="L33"/>
  <c r="L34"/>
  <c r="L35"/>
  <c r="L47"/>
  <c r="L46"/>
  <c r="L45"/>
  <c r="L44"/>
  <c r="L43"/>
  <c r="L41"/>
  <c r="L40"/>
  <c r="L39"/>
  <c r="L38"/>
  <c r="L37"/>
  <c r="K124" i="109" a="1"/>
  <c r="K124"/>
  <c r="K125"/>
  <c r="K126"/>
  <c r="K127"/>
  <c r="K128"/>
  <c r="I26" i="107"/>
  <c r="N102"/>
  <c r="I25"/>
  <c r="I28"/>
  <c r="I29"/>
  <c r="I27"/>
  <c r="L29"/>
  <c r="L28"/>
  <c r="L27"/>
  <c r="L26"/>
  <c r="L25"/>
  <c r="J62" i="109"/>
  <c r="J63"/>
  <c r="J64"/>
  <c r="J65"/>
  <c r="J66"/>
  <c r="J67"/>
  <c r="G67"/>
  <c r="F67"/>
  <c r="E67"/>
  <c r="D67"/>
  <c r="D92" a="1"/>
  <c r="D92"/>
  <c r="E92"/>
  <c r="F92"/>
  <c r="G92"/>
  <c r="D93"/>
  <c r="E93"/>
  <c r="F93"/>
  <c r="G93"/>
  <c r="D94"/>
  <c r="E94"/>
  <c r="F94"/>
  <c r="G94"/>
  <c r="D95"/>
  <c r="E95"/>
  <c r="F95"/>
  <c r="G95"/>
  <c r="D96"/>
  <c r="E96"/>
  <c r="F96"/>
  <c r="G96"/>
  <c r="D142"/>
  <c r="J142"/>
  <c r="I142"/>
  <c r="K115"/>
  <c r="D140"/>
  <c r="J140"/>
  <c r="D139"/>
  <c r="J139"/>
  <c r="I139"/>
  <c r="D137"/>
  <c r="J137"/>
  <c r="I137"/>
  <c r="D134"/>
  <c r="J134"/>
  <c r="I134"/>
  <c r="H134"/>
  <c r="G134"/>
  <c r="D132"/>
  <c r="J132"/>
  <c r="I132"/>
  <c r="K108"/>
  <c r="D131"/>
  <c r="J131"/>
  <c r="I131"/>
  <c r="H131"/>
  <c r="G131"/>
  <c r="F131"/>
  <c r="E131"/>
  <c r="D129"/>
  <c r="J129"/>
  <c r="I129"/>
  <c r="H129"/>
  <c r="G129"/>
  <c r="K104"/>
  <c r="D126"/>
  <c r="J126"/>
  <c r="I126"/>
  <c r="H126"/>
  <c r="K103"/>
  <c r="D125"/>
  <c r="J125"/>
  <c r="D124"/>
  <c r="K106"/>
  <c r="J124"/>
  <c r="I124"/>
  <c r="H124"/>
  <c r="G124"/>
  <c r="G97"/>
  <c r="M43" i="107"/>
  <c r="O43"/>
  <c r="P43"/>
  <c r="Q43"/>
  <c r="R43"/>
  <c r="S43"/>
  <c r="H139" i="109"/>
  <c r="G139"/>
  <c r="F139"/>
  <c r="N43" i="107"/>
  <c r="E139" i="109"/>
  <c r="M44" i="107"/>
  <c r="O44"/>
  <c r="P44"/>
  <c r="Q44"/>
  <c r="R44"/>
  <c r="S44"/>
  <c r="I140" i="109"/>
  <c r="H140"/>
  <c r="G140"/>
  <c r="F140"/>
  <c r="N44" i="107"/>
  <c r="E140" i="109"/>
  <c r="K116"/>
  <c r="D141"/>
  <c r="M45" i="107"/>
  <c r="O45"/>
  <c r="P45"/>
  <c r="Q45"/>
  <c r="R45"/>
  <c r="S45"/>
  <c r="J141" i="109"/>
  <c r="I141"/>
  <c r="H141"/>
  <c r="G141"/>
  <c r="F141"/>
  <c r="N45" i="107"/>
  <c r="E141" i="109"/>
  <c r="K117"/>
  <c r="D143"/>
  <c r="M47" i="107"/>
  <c r="O47"/>
  <c r="P47"/>
  <c r="Q47"/>
  <c r="R47"/>
  <c r="S47"/>
  <c r="J143" i="109"/>
  <c r="I143"/>
  <c r="H143"/>
  <c r="G143"/>
  <c r="F143"/>
  <c r="N47" i="107"/>
  <c r="E143" i="109"/>
  <c r="M46" i="107"/>
  <c r="O46"/>
  <c r="P46"/>
  <c r="Q46"/>
  <c r="R46"/>
  <c r="S46"/>
  <c r="H142" i="109"/>
  <c r="G142"/>
  <c r="F142"/>
  <c r="N46" i="107"/>
  <c r="E142" i="109"/>
  <c r="L139" a="1"/>
  <c r="L139"/>
  <c r="L140"/>
  <c r="L141"/>
  <c r="L142"/>
  <c r="L143"/>
  <c r="J43" i="107"/>
  <c r="K43"/>
  <c r="J44"/>
  <c r="K44"/>
  <c r="J45"/>
  <c r="K45"/>
  <c r="J46"/>
  <c r="K46"/>
  <c r="J47"/>
  <c r="K47"/>
  <c r="M26"/>
  <c r="F125" i="109"/>
  <c r="O26" i="107"/>
  <c r="G125" i="109"/>
  <c r="P26" i="107"/>
  <c r="H125" i="109"/>
  <c r="Q26" i="107"/>
  <c r="I125" i="109"/>
  <c r="R26" i="107"/>
  <c r="S26"/>
  <c r="E125" i="109"/>
  <c r="N26" i="107"/>
  <c r="M27"/>
  <c r="F126" i="109"/>
  <c r="O27" i="107"/>
  <c r="G126" i="109"/>
  <c r="P27" i="107"/>
  <c r="Q27"/>
  <c r="R27"/>
  <c r="S27"/>
  <c r="E126" i="109"/>
  <c r="N27" i="107"/>
  <c r="D127" i="109"/>
  <c r="M28" i="107"/>
  <c r="K105" i="109"/>
  <c r="F127"/>
  <c r="O28" i="107"/>
  <c r="G127" i="109"/>
  <c r="P28" i="107"/>
  <c r="H127" i="109"/>
  <c r="Q28" i="107"/>
  <c r="I127" i="109"/>
  <c r="R28" i="107"/>
  <c r="J127" i="109"/>
  <c r="S28" i="107"/>
  <c r="E127" i="109"/>
  <c r="N28" i="107"/>
  <c r="M25"/>
  <c r="F124" i="109"/>
  <c r="O25" i="107"/>
  <c r="P25"/>
  <c r="Q25"/>
  <c r="R25"/>
  <c r="S25"/>
  <c r="E124" i="109"/>
  <c r="N25" i="107"/>
  <c r="D128" i="109"/>
  <c r="M29" i="107"/>
  <c r="F128" i="109"/>
  <c r="O29" i="107"/>
  <c r="G128" i="109"/>
  <c r="P29" i="107"/>
  <c r="H128" i="109"/>
  <c r="Q29" i="107"/>
  <c r="I128" i="109"/>
  <c r="R29" i="107"/>
  <c r="J128" i="109"/>
  <c r="S29" i="107"/>
  <c r="E128" i="109"/>
  <c r="N29" i="107"/>
  <c r="J92" i="109"/>
  <c r="J93"/>
  <c r="J94"/>
  <c r="J95"/>
  <c r="J96"/>
  <c r="J97"/>
  <c r="F97"/>
  <c r="D97"/>
  <c r="E97"/>
  <c r="K109"/>
  <c r="D133"/>
  <c r="M35" i="107"/>
  <c r="O35"/>
  <c r="P35"/>
  <c r="Q35"/>
  <c r="R35"/>
  <c r="S35"/>
  <c r="J133" i="109"/>
  <c r="I133"/>
  <c r="H133"/>
  <c r="G133"/>
  <c r="F133"/>
  <c r="N35" i="107"/>
  <c r="E133" i="109"/>
  <c r="M34" i="107"/>
  <c r="O34"/>
  <c r="P34"/>
  <c r="Q34"/>
  <c r="R34"/>
  <c r="S34"/>
  <c r="H132" i="109"/>
  <c r="G132"/>
  <c r="F132"/>
  <c r="N34" i="107"/>
  <c r="E132" i="109"/>
  <c r="M33" i="107"/>
  <c r="O33"/>
  <c r="P33"/>
  <c r="Q33"/>
  <c r="R33"/>
  <c r="S33"/>
  <c r="N33"/>
  <c r="K107" i="109"/>
  <c r="D130"/>
  <c r="M32" i="107"/>
  <c r="O32"/>
  <c r="P32"/>
  <c r="Q32"/>
  <c r="R32"/>
  <c r="S32"/>
  <c r="J130" i="109"/>
  <c r="I130"/>
  <c r="H130"/>
  <c r="G130"/>
  <c r="F130"/>
  <c r="N32" i="107"/>
  <c r="E130" i="109"/>
  <c r="M31" i="107"/>
  <c r="O31"/>
  <c r="P31"/>
  <c r="Q31"/>
  <c r="R31"/>
  <c r="S31"/>
  <c r="F129" i="109"/>
  <c r="N31" i="107"/>
  <c r="E129" i="109"/>
  <c r="M37" i="107"/>
  <c r="O37"/>
  <c r="P37"/>
  <c r="Q37"/>
  <c r="R37"/>
  <c r="S37"/>
  <c r="F134" i="109"/>
  <c r="N37" i="107"/>
  <c r="E134" i="109"/>
  <c r="K111"/>
  <c r="D135"/>
  <c r="M38" i="107"/>
  <c r="O38"/>
  <c r="P38"/>
  <c r="Q38"/>
  <c r="R38"/>
  <c r="S38"/>
  <c r="J135" i="109"/>
  <c r="I135"/>
  <c r="H135"/>
  <c r="G135"/>
  <c r="F135"/>
  <c r="N38" i="107"/>
  <c r="E135" i="109"/>
  <c r="K112"/>
  <c r="D136"/>
  <c r="M39" i="107"/>
  <c r="O39"/>
  <c r="P39"/>
  <c r="Q39"/>
  <c r="R39"/>
  <c r="S39"/>
  <c r="J136" i="109"/>
  <c r="I136"/>
  <c r="H136"/>
  <c r="G136"/>
  <c r="F136"/>
  <c r="N39" i="107"/>
  <c r="E136" i="109"/>
  <c r="M40" i="107"/>
  <c r="O40"/>
  <c r="P40"/>
  <c r="Q40"/>
  <c r="R40"/>
  <c r="S40"/>
  <c r="H137" i="109"/>
  <c r="G137"/>
  <c r="F137"/>
  <c r="N40" i="107"/>
  <c r="E137" i="109"/>
  <c r="K113"/>
  <c r="D138"/>
  <c r="M41" i="107"/>
  <c r="O41"/>
  <c r="P41"/>
  <c r="Q41"/>
  <c r="R41"/>
  <c r="S41"/>
  <c r="J138" i="109"/>
  <c r="I138"/>
  <c r="H138"/>
  <c r="G138"/>
  <c r="F138"/>
  <c r="N41" i="107"/>
  <c r="E138" i="109"/>
  <c r="D144"/>
  <c r="K110"/>
  <c r="K114"/>
  <c r="K118"/>
  <c r="K120"/>
  <c r="X129" a="1"/>
  <c r="X129"/>
  <c r="X130"/>
  <c r="X131"/>
  <c r="X132"/>
  <c r="X133"/>
  <c r="J59" i="107"/>
  <c r="J58"/>
  <c r="J57"/>
  <c r="J55"/>
  <c r="J56"/>
  <c r="X69" i="111" a="1"/>
  <c r="X69"/>
  <c r="Y69"/>
  <c r="Z69"/>
  <c r="AA69"/>
  <c r="X70"/>
  <c r="Y70"/>
  <c r="Z70"/>
  <c r="AA70"/>
  <c r="X71"/>
  <c r="Y71"/>
  <c r="Z71"/>
  <c r="AA71"/>
  <c r="X72"/>
  <c r="Y72"/>
  <c r="Z72"/>
  <c r="AA72"/>
  <c r="X73"/>
  <c r="Y73"/>
  <c r="Z73"/>
  <c r="AA73"/>
  <c r="AB69"/>
  <c r="AB70"/>
  <c r="AB71"/>
  <c r="AB72"/>
  <c r="AB73"/>
  <c r="X74"/>
  <c r="Y74"/>
  <c r="Z74"/>
  <c r="AA74"/>
  <c r="AB74"/>
  <c r="AC61"/>
  <c r="AC62"/>
  <c r="AC63"/>
  <c r="AC64"/>
  <c r="AC65"/>
  <c r="AC66"/>
  <c r="AB61"/>
  <c r="AB62"/>
  <c r="AB63"/>
  <c r="AB64"/>
  <c r="AB65"/>
  <c r="AB66"/>
  <c r="L134" i="109" a="1"/>
  <c r="L134"/>
  <c r="L135"/>
  <c r="L136"/>
  <c r="L137"/>
  <c r="L138"/>
  <c r="J40" i="107"/>
  <c r="K40"/>
  <c r="Z40"/>
  <c r="AA40"/>
  <c r="J39"/>
  <c r="K39"/>
  <c r="Z39"/>
  <c r="AA39"/>
  <c r="L124" i="109" a="1"/>
  <c r="L124"/>
  <c r="L125"/>
  <c r="L126"/>
  <c r="L127"/>
  <c r="L128"/>
  <c r="J27" i="107"/>
  <c r="K27"/>
  <c r="Z27"/>
  <c r="AA27"/>
  <c r="J26"/>
  <c r="K26"/>
  <c r="Z26"/>
  <c r="AA26"/>
  <c r="T116"/>
  <c r="U116"/>
  <c r="T115"/>
  <c r="U115"/>
  <c r="T103"/>
  <c r="U103"/>
  <c r="T102"/>
  <c r="U102"/>
  <c r="L129" i="109" a="1"/>
  <c r="L129"/>
  <c r="L130"/>
  <c r="L131"/>
  <c r="L132"/>
  <c r="L133"/>
  <c r="J35" i="107"/>
  <c r="K35"/>
  <c r="J34"/>
  <c r="K34"/>
  <c r="J33"/>
  <c r="K33"/>
  <c r="J32"/>
  <c r="K32"/>
  <c r="J31"/>
  <c r="K31"/>
  <c r="O108"/>
  <c r="O102"/>
  <c r="J29"/>
  <c r="K29"/>
  <c r="J28"/>
  <c r="K28"/>
  <c r="J25"/>
  <c r="K25"/>
  <c r="J41"/>
  <c r="K41"/>
  <c r="J38"/>
  <c r="K38"/>
  <c r="J37"/>
  <c r="K37"/>
  <c r="K134" i="109" a="1"/>
  <c r="K134"/>
  <c r="K135"/>
  <c r="K136"/>
  <c r="K137"/>
  <c r="K138"/>
  <c r="I40" i="107"/>
  <c r="I39"/>
  <c r="K129" i="109" a="1"/>
  <c r="K129"/>
  <c r="K130"/>
  <c r="K131"/>
  <c r="K132"/>
  <c r="K133"/>
  <c r="I32" i="107"/>
  <c r="N108"/>
  <c r="I37"/>
  <c r="K139" i="109" a="1"/>
  <c r="K139"/>
  <c r="K140"/>
  <c r="K141"/>
  <c r="K142"/>
  <c r="K143"/>
  <c r="I43" i="107"/>
  <c r="I31"/>
  <c r="I38"/>
  <c r="I44"/>
  <c r="I45"/>
  <c r="I33"/>
  <c r="I46"/>
  <c r="I34"/>
  <c r="I41"/>
  <c r="I47"/>
  <c r="I35"/>
  <c r="N28" i="109"/>
  <c r="E28"/>
  <c r="G28"/>
  <c r="Q87" i="107"/>
  <c r="O28" i="109"/>
  <c r="P28"/>
  <c r="W28"/>
  <c r="F28"/>
  <c r="H28"/>
  <c r="I28"/>
  <c r="S87" i="107"/>
  <c r="R87"/>
  <c r="L17"/>
  <c r="N17"/>
  <c r="T28" i="109"/>
  <c r="S28"/>
  <c r="R28"/>
  <c r="Q28"/>
  <c r="M17" i="107"/>
  <c r="O17"/>
  <c r="P17"/>
  <c r="Q17"/>
  <c r="R17"/>
  <c r="S17"/>
  <c r="V28" i="109"/>
  <c r="U28"/>
  <c r="D90" i="116" a="1"/>
  <c r="D90"/>
  <c r="E90" a="1"/>
  <c r="E90"/>
  <c r="F90" a="1"/>
  <c r="F90"/>
  <c r="G90" a="1"/>
  <c r="G90"/>
  <c r="H90"/>
  <c r="H83" a="1"/>
  <c r="H83"/>
  <c r="I83"/>
  <c r="J83"/>
  <c r="K83"/>
  <c r="H84"/>
  <c r="I84"/>
  <c r="J84"/>
  <c r="K84"/>
  <c r="H85"/>
  <c r="I85"/>
  <c r="J85"/>
  <c r="K85"/>
  <c r="H86"/>
  <c r="I86"/>
  <c r="J86"/>
  <c r="K86"/>
  <c r="H87"/>
  <c r="I87"/>
  <c r="J87"/>
  <c r="K87"/>
  <c r="K88"/>
  <c r="J88"/>
  <c r="I88"/>
  <c r="H88"/>
  <c r="P84" a="1"/>
  <c r="P84"/>
  <c r="Q84"/>
  <c r="R84"/>
  <c r="S84"/>
  <c r="D60" a="1"/>
  <c r="D60"/>
  <c r="E60" a="1"/>
  <c r="E60"/>
  <c r="F60" a="1"/>
  <c r="F60"/>
  <c r="G60" a="1"/>
  <c r="G60"/>
  <c r="H60"/>
  <c r="H53" a="1"/>
  <c r="H53"/>
  <c r="I53"/>
  <c r="J53"/>
  <c r="K53"/>
  <c r="H54"/>
  <c r="I54"/>
  <c r="J54"/>
  <c r="K54"/>
  <c r="H55"/>
  <c r="I55"/>
  <c r="J55"/>
  <c r="K55"/>
  <c r="H56"/>
  <c r="I56"/>
  <c r="J56"/>
  <c r="K56"/>
  <c r="H57"/>
  <c r="I57"/>
  <c r="J57"/>
  <c r="K57"/>
  <c r="K58"/>
  <c r="J58"/>
  <c r="I58"/>
  <c r="H58"/>
  <c r="P54" a="1"/>
  <c r="P54"/>
  <c r="Q54"/>
  <c r="R54"/>
  <c r="S54"/>
  <c r="I61" i="115"/>
  <c r="I62"/>
  <c r="I63"/>
  <c r="I64"/>
  <c r="I65"/>
  <c r="I66"/>
  <c r="H61"/>
  <c r="H62"/>
  <c r="H63"/>
  <c r="H64"/>
  <c r="H65"/>
  <c r="H66"/>
  <c r="H63" i="116"/>
  <c r="I63"/>
  <c r="D62" a="1"/>
  <c r="D62"/>
  <c r="E62"/>
  <c r="F62"/>
  <c r="G62"/>
  <c r="D63"/>
  <c r="E63"/>
  <c r="F63"/>
  <c r="G63"/>
  <c r="D64"/>
  <c r="E64"/>
  <c r="F64"/>
  <c r="G64"/>
  <c r="D65"/>
  <c r="E65"/>
  <c r="F65"/>
  <c r="G65"/>
  <c r="D66"/>
  <c r="E66"/>
  <c r="F66"/>
  <c r="G66"/>
  <c r="J63"/>
  <c r="P62" a="1"/>
  <c r="P62"/>
  <c r="Q62"/>
  <c r="R62"/>
  <c r="S62"/>
  <c r="P63"/>
  <c r="Q63"/>
  <c r="R63"/>
  <c r="S63"/>
  <c r="P64"/>
  <c r="Q64"/>
  <c r="R64"/>
  <c r="S64"/>
  <c r="P65"/>
  <c r="Q65"/>
  <c r="R65"/>
  <c r="S65"/>
  <c r="P66"/>
  <c r="Q66"/>
  <c r="R66"/>
  <c r="S66"/>
  <c r="T63"/>
  <c r="H64"/>
  <c r="I64"/>
  <c r="J64"/>
  <c r="T64"/>
  <c r="H65"/>
  <c r="I65"/>
  <c r="J65"/>
  <c r="T65"/>
  <c r="H66"/>
  <c r="I66"/>
  <c r="J66"/>
  <c r="T66"/>
  <c r="D67"/>
  <c r="E67"/>
  <c r="F67"/>
  <c r="G67"/>
  <c r="H62"/>
  <c r="H67"/>
  <c r="I62"/>
  <c r="I67"/>
  <c r="J62"/>
  <c r="J67"/>
  <c r="P67"/>
  <c r="Q67"/>
  <c r="R67"/>
  <c r="S67"/>
  <c r="T62"/>
  <c r="T67"/>
  <c r="H93"/>
  <c r="I93"/>
  <c r="D92" a="1"/>
  <c r="D92"/>
  <c r="E92"/>
  <c r="F92"/>
  <c r="G92"/>
  <c r="D93"/>
  <c r="E93"/>
  <c r="F93"/>
  <c r="G93"/>
  <c r="D94"/>
  <c r="E94"/>
  <c r="F94"/>
  <c r="G94"/>
  <c r="D95"/>
  <c r="E95"/>
  <c r="F95"/>
  <c r="G95"/>
  <c r="D96"/>
  <c r="E96"/>
  <c r="F96"/>
  <c r="G96"/>
  <c r="J93"/>
  <c r="P92" a="1"/>
  <c r="P92"/>
  <c r="Q92"/>
  <c r="R92"/>
  <c r="S92"/>
  <c r="P93"/>
  <c r="Q93"/>
  <c r="R93"/>
  <c r="S93"/>
  <c r="P94"/>
  <c r="Q94"/>
  <c r="R94"/>
  <c r="S94"/>
  <c r="P95"/>
  <c r="Q95"/>
  <c r="R95"/>
  <c r="S95"/>
  <c r="P96"/>
  <c r="Q96"/>
  <c r="R96"/>
  <c r="S96"/>
  <c r="T93"/>
  <c r="H94"/>
  <c r="I94"/>
  <c r="J94"/>
  <c r="T94"/>
  <c r="H95"/>
  <c r="I95"/>
  <c r="J95"/>
  <c r="T95"/>
  <c r="H96"/>
  <c r="I96"/>
  <c r="J96"/>
  <c r="T96"/>
  <c r="D97"/>
  <c r="E97"/>
  <c r="F97"/>
  <c r="G97"/>
  <c r="H92"/>
  <c r="H97"/>
  <c r="I92"/>
  <c r="I97"/>
  <c r="J92"/>
  <c r="J97"/>
  <c r="P97"/>
  <c r="Q97"/>
  <c r="R97"/>
  <c r="S97"/>
  <c r="T92"/>
  <c r="T97"/>
  <c r="K104"/>
  <c r="X104"/>
  <c r="K105"/>
  <c r="X105"/>
  <c r="K106"/>
  <c r="X106"/>
  <c r="K107"/>
  <c r="X107"/>
  <c r="K108"/>
  <c r="X108"/>
  <c r="K109"/>
  <c r="X109"/>
  <c r="K110"/>
  <c r="X110"/>
  <c r="K111"/>
  <c r="X111"/>
  <c r="K112"/>
  <c r="X112"/>
  <c r="K113"/>
  <c r="X113"/>
  <c r="K114"/>
  <c r="X114"/>
  <c r="K115"/>
  <c r="X115"/>
  <c r="K116"/>
  <c r="X116"/>
  <c r="K117"/>
  <c r="X117"/>
  <c r="K118"/>
  <c r="X118"/>
  <c r="K103"/>
  <c r="K120"/>
  <c r="X103"/>
  <c r="X121"/>
  <c r="D124"/>
  <c r="E124"/>
  <c r="F124"/>
  <c r="G124"/>
  <c r="H124"/>
  <c r="I124"/>
  <c r="J124"/>
  <c r="P124"/>
  <c r="Q124"/>
  <c r="R124"/>
  <c r="S124"/>
  <c r="T124"/>
  <c r="U124"/>
  <c r="V124"/>
  <c r="D125"/>
  <c r="E125"/>
  <c r="F125"/>
  <c r="G125"/>
  <c r="H125"/>
  <c r="I125"/>
  <c r="J125"/>
  <c r="P125"/>
  <c r="Q125"/>
  <c r="R125"/>
  <c r="S125"/>
  <c r="T125"/>
  <c r="U125"/>
  <c r="V125"/>
  <c r="D126"/>
  <c r="E126"/>
  <c r="F126"/>
  <c r="G126"/>
  <c r="H126"/>
  <c r="I126"/>
  <c r="J126"/>
  <c r="P126"/>
  <c r="Q126"/>
  <c r="R126"/>
  <c r="S126"/>
  <c r="T126"/>
  <c r="U126"/>
  <c r="V126"/>
  <c r="D127"/>
  <c r="E127"/>
  <c r="F127"/>
  <c r="G127"/>
  <c r="H127"/>
  <c r="I127"/>
  <c r="J127"/>
  <c r="P127"/>
  <c r="Q127"/>
  <c r="R127"/>
  <c r="S127"/>
  <c r="T127"/>
  <c r="U127"/>
  <c r="V127"/>
  <c r="D128"/>
  <c r="E128"/>
  <c r="F128"/>
  <c r="G128"/>
  <c r="H128"/>
  <c r="I128"/>
  <c r="J128"/>
  <c r="P128"/>
  <c r="Q128"/>
  <c r="R128"/>
  <c r="S128"/>
  <c r="T128"/>
  <c r="U128"/>
  <c r="V128"/>
  <c r="D129"/>
  <c r="E129"/>
  <c r="F129"/>
  <c r="G129"/>
  <c r="H129"/>
  <c r="I129"/>
  <c r="J129"/>
  <c r="P129"/>
  <c r="Q129"/>
  <c r="R129"/>
  <c r="S129"/>
  <c r="T129"/>
  <c r="U129"/>
  <c r="V129"/>
  <c r="D130"/>
  <c r="E130"/>
  <c r="F130"/>
  <c r="G130"/>
  <c r="H130"/>
  <c r="I130"/>
  <c r="J130"/>
  <c r="P130"/>
  <c r="Q130"/>
  <c r="R130"/>
  <c r="S130"/>
  <c r="T130"/>
  <c r="U130"/>
  <c r="V130"/>
  <c r="D131"/>
  <c r="E131"/>
  <c r="F131"/>
  <c r="G131"/>
  <c r="H131"/>
  <c r="I131"/>
  <c r="J131"/>
  <c r="P131"/>
  <c r="Q131"/>
  <c r="R131"/>
  <c r="S131"/>
  <c r="T131"/>
  <c r="U131"/>
  <c r="V131"/>
  <c r="D132"/>
  <c r="E132"/>
  <c r="F132"/>
  <c r="G132"/>
  <c r="H132"/>
  <c r="I132"/>
  <c r="J132"/>
  <c r="P132"/>
  <c r="Q132"/>
  <c r="R132"/>
  <c r="S132"/>
  <c r="T132"/>
  <c r="U132"/>
  <c r="V132"/>
  <c r="D133"/>
  <c r="E133"/>
  <c r="F133"/>
  <c r="G133"/>
  <c r="H133"/>
  <c r="I133"/>
  <c r="J133"/>
  <c r="P133"/>
  <c r="Q133"/>
  <c r="R133"/>
  <c r="S133"/>
  <c r="T133"/>
  <c r="U133"/>
  <c r="V133"/>
  <c r="D134"/>
  <c r="E134"/>
  <c r="F134"/>
  <c r="G134"/>
  <c r="H134"/>
  <c r="I134"/>
  <c r="J134"/>
  <c r="P134"/>
  <c r="Q134"/>
  <c r="R134"/>
  <c r="S134"/>
  <c r="T134"/>
  <c r="U134"/>
  <c r="V134"/>
  <c r="D135"/>
  <c r="E135"/>
  <c r="F135"/>
  <c r="G135"/>
  <c r="H135"/>
  <c r="I135"/>
  <c r="J135"/>
  <c r="P135"/>
  <c r="Q135"/>
  <c r="R135"/>
  <c r="S135"/>
  <c r="T135"/>
  <c r="U135"/>
  <c r="V135"/>
  <c r="D136"/>
  <c r="E136"/>
  <c r="F136"/>
  <c r="G136"/>
  <c r="H136"/>
  <c r="I136"/>
  <c r="J136"/>
  <c r="P136"/>
  <c r="Q136"/>
  <c r="R136"/>
  <c r="S136"/>
  <c r="T136"/>
  <c r="U136"/>
  <c r="V136"/>
  <c r="D137"/>
  <c r="E137"/>
  <c r="F137"/>
  <c r="G137"/>
  <c r="H137"/>
  <c r="I137"/>
  <c r="J137"/>
  <c r="P137"/>
  <c r="Q137"/>
  <c r="R137"/>
  <c r="S137"/>
  <c r="T137"/>
  <c r="U137"/>
  <c r="V137"/>
  <c r="D138"/>
  <c r="E138"/>
  <c r="F138"/>
  <c r="G138"/>
  <c r="H138"/>
  <c r="I138"/>
  <c r="J138"/>
  <c r="P138"/>
  <c r="Q138"/>
  <c r="R138"/>
  <c r="S138"/>
  <c r="T138"/>
  <c r="U138"/>
  <c r="V138"/>
  <c r="D139"/>
  <c r="E139"/>
  <c r="F139"/>
  <c r="G139"/>
  <c r="H139"/>
  <c r="I139"/>
  <c r="J139"/>
  <c r="P139"/>
  <c r="Q139"/>
  <c r="R139"/>
  <c r="S139"/>
  <c r="T139"/>
  <c r="U139"/>
  <c r="V139"/>
  <c r="D140"/>
  <c r="E140"/>
  <c r="F140"/>
  <c r="G140"/>
  <c r="H140"/>
  <c r="I140"/>
  <c r="J140"/>
  <c r="P140"/>
  <c r="Q140"/>
  <c r="R140"/>
  <c r="S140"/>
  <c r="T140"/>
  <c r="U140"/>
  <c r="V140"/>
  <c r="D141"/>
  <c r="E141"/>
  <c r="F141"/>
  <c r="G141"/>
  <c r="H141"/>
  <c r="I141"/>
  <c r="J141"/>
  <c r="P141"/>
  <c r="Q141"/>
  <c r="R141"/>
  <c r="S141"/>
  <c r="T141"/>
  <c r="U141"/>
  <c r="V141"/>
  <c r="D142"/>
  <c r="E142"/>
  <c r="F142"/>
  <c r="G142"/>
  <c r="H142"/>
  <c r="I142"/>
  <c r="J142"/>
  <c r="P142"/>
  <c r="Q142"/>
  <c r="R142"/>
  <c r="S142"/>
  <c r="T142"/>
  <c r="U142"/>
  <c r="V142"/>
  <c r="D143"/>
  <c r="E143"/>
  <c r="F143"/>
  <c r="G143"/>
  <c r="H143"/>
  <c r="I143"/>
  <c r="J143"/>
  <c r="P143"/>
  <c r="Q143"/>
  <c r="R143"/>
  <c r="S143"/>
  <c r="T143"/>
  <c r="U143"/>
  <c r="V143"/>
  <c r="C124"/>
  <c r="C125"/>
  <c r="C126"/>
  <c r="C127"/>
  <c r="C128"/>
  <c r="C129" a="1"/>
  <c r="C129"/>
  <c r="C130"/>
  <c r="C131"/>
  <c r="C132"/>
  <c r="C133"/>
  <c r="C134" a="1"/>
  <c r="C134"/>
  <c r="C135"/>
  <c r="C136"/>
  <c r="C137"/>
  <c r="C138"/>
  <c r="C139" a="1"/>
  <c r="C139"/>
  <c r="C140"/>
  <c r="C141"/>
  <c r="C142"/>
  <c r="C143"/>
  <c r="C144"/>
  <c r="D144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P144"/>
  <c r="Q144"/>
  <c r="K124" a="1"/>
  <c r="K124"/>
  <c r="K125"/>
  <c r="K126"/>
  <c r="K127"/>
  <c r="K128"/>
  <c r="I25" i="120"/>
  <c r="L124" i="116" a="1"/>
  <c r="L124"/>
  <c r="L125"/>
  <c r="L126"/>
  <c r="L127"/>
  <c r="L128"/>
  <c r="J25" i="120"/>
  <c r="K25"/>
  <c r="L25"/>
  <c r="M25"/>
  <c r="N25"/>
  <c r="O25"/>
  <c r="P25"/>
  <c r="Q25"/>
  <c r="R25"/>
  <c r="S25"/>
  <c r="L26"/>
  <c r="M26"/>
  <c r="N26"/>
  <c r="O26"/>
  <c r="P26"/>
  <c r="Q26"/>
  <c r="R26"/>
  <c r="S26"/>
  <c r="J26"/>
  <c r="K26"/>
  <c r="Z26"/>
  <c r="AA26"/>
  <c r="I27"/>
  <c r="L27"/>
  <c r="M27"/>
  <c r="N27"/>
  <c r="O27"/>
  <c r="P27"/>
  <c r="Q27"/>
  <c r="R27"/>
  <c r="S27"/>
  <c r="J27"/>
  <c r="K27"/>
  <c r="Z27"/>
  <c r="AA27"/>
  <c r="I28"/>
  <c r="J28"/>
  <c r="K28"/>
  <c r="L28"/>
  <c r="M28"/>
  <c r="N28"/>
  <c r="O28"/>
  <c r="P28"/>
  <c r="Q28"/>
  <c r="R28"/>
  <c r="S28"/>
  <c r="I29"/>
  <c r="J29"/>
  <c r="K29"/>
  <c r="L29"/>
  <c r="M29"/>
  <c r="N29"/>
  <c r="O29"/>
  <c r="P29"/>
  <c r="Q29"/>
  <c r="R29"/>
  <c r="S29"/>
  <c r="K129" i="116" a="1"/>
  <c r="K129"/>
  <c r="K130"/>
  <c r="K131"/>
  <c r="K132"/>
  <c r="K133"/>
  <c r="I31" i="120"/>
  <c r="L129" i="116" a="1"/>
  <c r="L129"/>
  <c r="L130"/>
  <c r="L131"/>
  <c r="L132"/>
  <c r="L133"/>
  <c r="J31" i="120"/>
  <c r="K31"/>
  <c r="L31"/>
  <c r="M31"/>
  <c r="N31"/>
  <c r="O31"/>
  <c r="P31"/>
  <c r="Q31"/>
  <c r="R31"/>
  <c r="S31"/>
  <c r="J32"/>
  <c r="K32"/>
  <c r="L32"/>
  <c r="M32"/>
  <c r="N32"/>
  <c r="O32"/>
  <c r="P32"/>
  <c r="Q32"/>
  <c r="R32"/>
  <c r="S32"/>
  <c r="I33"/>
  <c r="J33"/>
  <c r="K33"/>
  <c r="L33"/>
  <c r="M33"/>
  <c r="N33"/>
  <c r="O33"/>
  <c r="P33"/>
  <c r="Q33"/>
  <c r="R33"/>
  <c r="S33"/>
  <c r="I34"/>
  <c r="J34"/>
  <c r="K34"/>
  <c r="L34"/>
  <c r="M34"/>
  <c r="N34"/>
  <c r="O34"/>
  <c r="P34"/>
  <c r="Q34"/>
  <c r="R34"/>
  <c r="S34"/>
  <c r="I35"/>
  <c r="J35"/>
  <c r="K35"/>
  <c r="L35"/>
  <c r="M35"/>
  <c r="N35"/>
  <c r="O35"/>
  <c r="P35"/>
  <c r="Q35"/>
  <c r="R35"/>
  <c r="S35"/>
  <c r="K134" i="116" a="1"/>
  <c r="K134"/>
  <c r="K135"/>
  <c r="K136"/>
  <c r="K137"/>
  <c r="K138"/>
  <c r="I37" i="120"/>
  <c r="L134" i="116" a="1"/>
  <c r="L134"/>
  <c r="L135"/>
  <c r="L136"/>
  <c r="L137"/>
  <c r="L138"/>
  <c r="J37" i="120"/>
  <c r="K37"/>
  <c r="L37"/>
  <c r="M37"/>
  <c r="N37"/>
  <c r="O37"/>
  <c r="P37"/>
  <c r="Q37"/>
  <c r="R37"/>
  <c r="S37"/>
  <c r="I38"/>
  <c r="J38"/>
  <c r="K38"/>
  <c r="L38"/>
  <c r="M38"/>
  <c r="N38"/>
  <c r="O38"/>
  <c r="P38"/>
  <c r="Q38"/>
  <c r="R38"/>
  <c r="S38"/>
  <c r="I39"/>
  <c r="L39"/>
  <c r="M39"/>
  <c r="N39"/>
  <c r="O39"/>
  <c r="P39"/>
  <c r="Q39"/>
  <c r="R39"/>
  <c r="S39"/>
  <c r="J39"/>
  <c r="K39"/>
  <c r="Z39"/>
  <c r="AA39"/>
  <c r="I40"/>
  <c r="L40"/>
  <c r="M40"/>
  <c r="N40"/>
  <c r="O40"/>
  <c r="P40"/>
  <c r="Q40"/>
  <c r="R40"/>
  <c r="S40"/>
  <c r="J40"/>
  <c r="K40"/>
  <c r="Z40"/>
  <c r="AA40"/>
  <c r="I41"/>
  <c r="J41"/>
  <c r="K41"/>
  <c r="L41"/>
  <c r="M41"/>
  <c r="N41"/>
  <c r="O41"/>
  <c r="P41"/>
  <c r="Q41"/>
  <c r="R41"/>
  <c r="S41"/>
  <c r="K139" i="116" a="1"/>
  <c r="K139"/>
  <c r="K140"/>
  <c r="K141"/>
  <c r="K142"/>
  <c r="K143"/>
  <c r="I43" i="120"/>
  <c r="L139" i="116" a="1"/>
  <c r="L139"/>
  <c r="L140"/>
  <c r="L141"/>
  <c r="L142"/>
  <c r="L143"/>
  <c r="J43" i="120"/>
  <c r="K43"/>
  <c r="L43"/>
  <c r="M43"/>
  <c r="N43"/>
  <c r="O43"/>
  <c r="P43"/>
  <c r="Q43"/>
  <c r="R43"/>
  <c r="S43"/>
  <c r="I44"/>
  <c r="J44"/>
  <c r="K44"/>
  <c r="L44"/>
  <c r="M44"/>
  <c r="N44"/>
  <c r="O44"/>
  <c r="P44"/>
  <c r="Q44"/>
  <c r="R44"/>
  <c r="S44"/>
  <c r="I45"/>
  <c r="J45"/>
  <c r="K45"/>
  <c r="L45"/>
  <c r="M45"/>
  <c r="N45"/>
  <c r="O45"/>
  <c r="P45"/>
  <c r="Q45"/>
  <c r="R45"/>
  <c r="S45"/>
  <c r="I46"/>
  <c r="J46"/>
  <c r="K46"/>
  <c r="L46"/>
  <c r="M46"/>
  <c r="N46"/>
  <c r="O46"/>
  <c r="P46"/>
  <c r="Q46"/>
  <c r="R46"/>
  <c r="S46"/>
  <c r="I47"/>
  <c r="J47"/>
  <c r="K47"/>
  <c r="L47"/>
  <c r="M47"/>
  <c r="N47"/>
  <c r="O47"/>
  <c r="P47"/>
  <c r="Q47"/>
  <c r="R47"/>
  <c r="S47"/>
  <c r="X124" i="116" a="1"/>
  <c r="X124"/>
  <c r="X125"/>
  <c r="X126"/>
  <c r="X127"/>
  <c r="X128"/>
  <c r="J49" i="120"/>
  <c r="W124" i="116" a="1"/>
  <c r="W124"/>
  <c r="W125"/>
  <c r="W126"/>
  <c r="W127"/>
  <c r="W128"/>
  <c r="I49" i="120"/>
  <c r="K49"/>
  <c r="L49"/>
  <c r="M49"/>
  <c r="N49"/>
  <c r="O49"/>
  <c r="P49"/>
  <c r="Q49"/>
  <c r="R49"/>
  <c r="S49"/>
  <c r="I50"/>
  <c r="K50"/>
  <c r="L50"/>
  <c r="M50"/>
  <c r="N50"/>
  <c r="O50"/>
  <c r="P50"/>
  <c r="Q50"/>
  <c r="R50"/>
  <c r="S50"/>
  <c r="J51"/>
  <c r="I51"/>
  <c r="K51"/>
  <c r="L51"/>
  <c r="M51"/>
  <c r="N51"/>
  <c r="O51"/>
  <c r="P51"/>
  <c r="Q51"/>
  <c r="R51"/>
  <c r="S51"/>
  <c r="J52"/>
  <c r="I52"/>
  <c r="K52"/>
  <c r="L52"/>
  <c r="M52"/>
  <c r="N52"/>
  <c r="O52"/>
  <c r="P52"/>
  <c r="Q52"/>
  <c r="R52"/>
  <c r="S52"/>
  <c r="J53"/>
  <c r="I53"/>
  <c r="K53"/>
  <c r="L53"/>
  <c r="M53"/>
  <c r="N53"/>
  <c r="O53"/>
  <c r="P53"/>
  <c r="Q53"/>
  <c r="R53"/>
  <c r="S53"/>
  <c r="X129" i="116" a="1"/>
  <c r="X129"/>
  <c r="X130"/>
  <c r="X131"/>
  <c r="X132"/>
  <c r="X133"/>
  <c r="J55" i="120"/>
  <c r="W129" i="116" a="1"/>
  <c r="W129"/>
  <c r="W130"/>
  <c r="W131"/>
  <c r="W132"/>
  <c r="W133"/>
  <c r="I55" i="120"/>
  <c r="K55"/>
  <c r="L55"/>
  <c r="M55"/>
  <c r="N55"/>
  <c r="O55"/>
  <c r="P55"/>
  <c r="Q55"/>
  <c r="R55"/>
  <c r="S55"/>
  <c r="J56"/>
  <c r="I56"/>
  <c r="K56"/>
  <c r="M56"/>
  <c r="N56"/>
  <c r="O56"/>
  <c r="P56"/>
  <c r="Q56"/>
  <c r="R56"/>
  <c r="S56"/>
  <c r="J57"/>
  <c r="I57"/>
  <c r="K57"/>
  <c r="L57"/>
  <c r="M57"/>
  <c r="N57"/>
  <c r="O57"/>
  <c r="P57"/>
  <c r="Q57"/>
  <c r="R57"/>
  <c r="S57"/>
  <c r="J58"/>
  <c r="I58"/>
  <c r="K58"/>
  <c r="L58"/>
  <c r="M58"/>
  <c r="N58"/>
  <c r="O58"/>
  <c r="P58"/>
  <c r="Q58"/>
  <c r="R58"/>
  <c r="S58"/>
  <c r="J59"/>
  <c r="I59"/>
  <c r="K59"/>
  <c r="L59"/>
  <c r="M59"/>
  <c r="N59"/>
  <c r="O59"/>
  <c r="P59"/>
  <c r="Q59"/>
  <c r="R59"/>
  <c r="S59"/>
  <c r="X134" i="116" a="1"/>
  <c r="X134"/>
  <c r="X135"/>
  <c r="X136"/>
  <c r="X137"/>
  <c r="X138"/>
  <c r="J61" i="120"/>
  <c r="W134" i="116" a="1"/>
  <c r="W134"/>
  <c r="W135"/>
  <c r="W136"/>
  <c r="W137"/>
  <c r="W138"/>
  <c r="I61" i="120"/>
  <c r="K61"/>
  <c r="L61"/>
  <c r="M61"/>
  <c r="N61"/>
  <c r="O61"/>
  <c r="P61"/>
  <c r="Q61"/>
  <c r="R61"/>
  <c r="S61"/>
  <c r="J62"/>
  <c r="I62"/>
  <c r="K62"/>
  <c r="L62"/>
  <c r="M62"/>
  <c r="N62"/>
  <c r="O62"/>
  <c r="P62"/>
  <c r="Q62"/>
  <c r="R62"/>
  <c r="S62"/>
  <c r="J63"/>
  <c r="I63"/>
  <c r="K63"/>
  <c r="L63"/>
  <c r="M63"/>
  <c r="N63"/>
  <c r="O63"/>
  <c r="P63"/>
  <c r="Q63"/>
  <c r="R63"/>
  <c r="S63"/>
  <c r="J64"/>
  <c r="I64"/>
  <c r="K64"/>
  <c r="L64"/>
  <c r="M64"/>
  <c r="N64"/>
  <c r="O64"/>
  <c r="P64"/>
  <c r="Q64"/>
  <c r="R64"/>
  <c r="S64"/>
  <c r="J65"/>
  <c r="I65"/>
  <c r="K65"/>
  <c r="L65"/>
  <c r="M65"/>
  <c r="N65"/>
  <c r="O65"/>
  <c r="P65"/>
  <c r="Q65"/>
  <c r="R65"/>
  <c r="S65"/>
  <c r="X139" i="116" a="1"/>
  <c r="X139"/>
  <c r="X140"/>
  <c r="X141"/>
  <c r="X142"/>
  <c r="X143"/>
  <c r="J67" i="120"/>
  <c r="W139" i="116" a="1"/>
  <c r="W139"/>
  <c r="W140"/>
  <c r="W141"/>
  <c r="W142"/>
  <c r="W143"/>
  <c r="I67" i="120"/>
  <c r="K67"/>
  <c r="L67"/>
  <c r="M67"/>
  <c r="N67"/>
  <c r="O67"/>
  <c r="P67"/>
  <c r="Q67"/>
  <c r="R67"/>
  <c r="S67"/>
  <c r="J68"/>
  <c r="I68"/>
  <c r="K68"/>
  <c r="L68"/>
  <c r="M68"/>
  <c r="N68"/>
  <c r="O68"/>
  <c r="P68"/>
  <c r="Q68"/>
  <c r="R68"/>
  <c r="S68"/>
  <c r="J69"/>
  <c r="I69"/>
  <c r="K69"/>
  <c r="L69"/>
  <c r="M69"/>
  <c r="N69"/>
  <c r="O69"/>
  <c r="P69"/>
  <c r="Q69"/>
  <c r="R69"/>
  <c r="S69"/>
  <c r="J70"/>
  <c r="I70"/>
  <c r="K70"/>
  <c r="L70"/>
  <c r="M70"/>
  <c r="N70"/>
  <c r="O70"/>
  <c r="P70"/>
  <c r="Q70"/>
  <c r="R70"/>
  <c r="S70"/>
  <c r="J71"/>
  <c r="I71"/>
  <c r="K71"/>
  <c r="L71"/>
  <c r="M71"/>
  <c r="N71"/>
  <c r="O71"/>
  <c r="P71"/>
  <c r="Q71"/>
  <c r="R71"/>
  <c r="S71"/>
  <c r="I26"/>
  <c r="N102"/>
  <c r="O102"/>
  <c r="T102"/>
  <c r="U102"/>
  <c r="T103"/>
  <c r="U103"/>
  <c r="I32"/>
  <c r="N108"/>
  <c r="O108"/>
  <c r="T115"/>
  <c r="U115"/>
  <c r="T116"/>
  <c r="U116"/>
  <c r="N125"/>
  <c r="J50"/>
  <c r="O125"/>
  <c r="L56"/>
  <c r="N126"/>
  <c r="O126"/>
</calcChain>
</file>

<file path=xl/comments1.xml><?xml version="1.0" encoding="utf-8"?>
<comments xmlns="http://schemas.openxmlformats.org/spreadsheetml/2006/main">
  <authors>
    <author>Maryse Labriet</author>
    <author>Monisha Shah</author>
  </authors>
  <commentList>
    <comment ref="K1" authorId="0">
      <text>
        <r>
          <rPr>
            <sz val="8"/>
            <color indexed="81"/>
            <rFont val="Tahoma"/>
            <family val="2"/>
          </rPr>
          <t>=Y will use IEA data from table 1A in table 1;
=N will use data in table 1B.</t>
        </r>
      </text>
    </comment>
    <comment ref="J5" authorId="1">
      <text>
        <r>
          <rPr>
            <sz val="8"/>
            <color indexed="81"/>
            <rFont val="Tahoma"/>
            <family val="2"/>
          </rPr>
          <t xml:space="preserve">Regional fossil equivalent
</t>
        </r>
      </text>
    </comment>
    <comment ref="J7" authorId="1">
      <text>
        <r>
          <rPr>
            <sz val="8"/>
            <color indexed="81"/>
            <rFont val="Tahoma"/>
            <family val="2"/>
          </rPr>
          <t xml:space="preserve">Regional fossil equivalent
</t>
        </r>
      </text>
    </comment>
    <comment ref="C17" authorId="1">
      <text>
        <r>
          <rPr>
            <sz val="8"/>
            <color indexed="81"/>
            <rFont val="Tahoma"/>
            <family val="2"/>
          </rPr>
          <t>Conversion factor
ktoe (IEA) to PJ</t>
        </r>
      </text>
    </comment>
    <comment ref="D17" authorId="1">
      <text>
        <r>
          <rPr>
            <sz val="8"/>
            <color indexed="81"/>
            <rFont val="Tahoma"/>
            <family val="2"/>
          </rPr>
          <t>Conversion factor
GWh (IEA) to PJ</t>
        </r>
      </text>
    </comment>
    <comment ref="E17" authorId="1">
      <text>
        <r>
          <rPr>
            <sz val="8"/>
            <color indexed="81"/>
            <rFont val="Tahoma"/>
            <family val="2"/>
          </rPr>
          <t>Conversion factor
ktoe (IEA) to PJ</t>
        </r>
      </text>
    </comment>
    <comment ref="F17" authorId="1">
      <text>
        <r>
          <rPr>
            <sz val="8"/>
            <color indexed="81"/>
            <rFont val="Tahoma"/>
            <family val="2"/>
          </rPr>
          <t>Conversion factor
GWh (IEA) to PJ</t>
        </r>
      </text>
    </comment>
    <comment ref="G17" authorId="1">
      <text>
        <r>
          <rPr>
            <sz val="8"/>
            <color indexed="81"/>
            <rFont val="Tahoma"/>
            <family val="2"/>
          </rPr>
          <t>Conversion factor
TJ (IEA) to PJ</t>
        </r>
      </text>
    </comment>
    <comment ref="H17" authorId="1">
      <text>
        <r>
          <rPr>
            <sz val="8"/>
            <color indexed="81"/>
            <rFont val="Tahoma"/>
            <family val="2"/>
          </rPr>
          <t>Conversion factor
ktoe (IEA) to PJ</t>
        </r>
      </text>
    </comment>
    <comment ref="I17" authorId="1">
      <text>
        <r>
          <rPr>
            <sz val="8"/>
            <color indexed="81"/>
            <rFont val="Tahoma"/>
            <family val="2"/>
          </rPr>
          <t>Conversion factor
TJ (IEA) to PJ</t>
        </r>
      </text>
    </comment>
    <comment ref="J17" authorId="1">
      <text>
        <r>
          <rPr>
            <sz val="8"/>
            <color indexed="81"/>
            <rFont val="Tahoma"/>
            <family val="2"/>
          </rPr>
          <t>Conversion factor
GWh (IEA) to PJ</t>
        </r>
      </text>
    </comment>
    <comment ref="K17" authorId="1">
      <text>
        <r>
          <rPr>
            <sz val="8"/>
            <color indexed="81"/>
            <rFont val="Tahoma"/>
            <family val="2"/>
          </rPr>
          <t>Conversion factor
TJ (IEA) to PJ</t>
        </r>
      </text>
    </comment>
  </commentList>
</comments>
</file>

<file path=xl/comments2.xml><?xml version="1.0" encoding="utf-8"?>
<comments xmlns="http://schemas.openxmlformats.org/spreadsheetml/2006/main">
  <authors>
    <author>Maryse Labriet</author>
    <author>Monisha Shah</author>
  </authors>
  <commentList>
    <comment ref="K1" authorId="0">
      <text>
        <r>
          <rPr>
            <sz val="8"/>
            <color indexed="81"/>
            <rFont val="Tahoma"/>
            <family val="2"/>
          </rPr>
          <t>=Y will use IEA data from table 1A in table 1;
=N will use data in table 1B.</t>
        </r>
      </text>
    </comment>
    <comment ref="J5" authorId="1">
      <text>
        <r>
          <rPr>
            <sz val="8"/>
            <color indexed="81"/>
            <rFont val="Tahoma"/>
            <family val="2"/>
          </rPr>
          <t xml:space="preserve">Regional fossil equivalent
</t>
        </r>
      </text>
    </comment>
    <comment ref="J7" authorId="1">
      <text>
        <r>
          <rPr>
            <sz val="8"/>
            <color indexed="81"/>
            <rFont val="Tahoma"/>
            <family val="2"/>
          </rPr>
          <t xml:space="preserve">Regional fossil equivalent
</t>
        </r>
      </text>
    </comment>
    <comment ref="C17" authorId="1">
      <text>
        <r>
          <rPr>
            <sz val="8"/>
            <color indexed="81"/>
            <rFont val="Tahoma"/>
            <family val="2"/>
          </rPr>
          <t>Conversion factor
ktoe (IEA) to PJ</t>
        </r>
      </text>
    </comment>
    <comment ref="D17" authorId="1">
      <text>
        <r>
          <rPr>
            <sz val="8"/>
            <color indexed="81"/>
            <rFont val="Tahoma"/>
            <family val="2"/>
          </rPr>
          <t>Conversion factor
GWh (IEA) to PJ</t>
        </r>
      </text>
    </comment>
    <comment ref="E17" authorId="1">
      <text>
        <r>
          <rPr>
            <sz val="8"/>
            <color indexed="81"/>
            <rFont val="Tahoma"/>
            <family val="2"/>
          </rPr>
          <t>Conversion factor
ktoe (IEA) to PJ</t>
        </r>
      </text>
    </comment>
    <comment ref="F17" authorId="1">
      <text>
        <r>
          <rPr>
            <sz val="8"/>
            <color indexed="81"/>
            <rFont val="Tahoma"/>
            <family val="2"/>
          </rPr>
          <t>Conversion factor
GWh (IEA) to PJ</t>
        </r>
      </text>
    </comment>
    <comment ref="G17" authorId="1">
      <text>
        <r>
          <rPr>
            <sz val="8"/>
            <color indexed="81"/>
            <rFont val="Tahoma"/>
            <family val="2"/>
          </rPr>
          <t>Conversion factor
TJ (IEA) to PJ</t>
        </r>
      </text>
    </comment>
    <comment ref="H17" authorId="1">
      <text>
        <r>
          <rPr>
            <sz val="8"/>
            <color indexed="81"/>
            <rFont val="Tahoma"/>
            <family val="2"/>
          </rPr>
          <t>Conversion factor
ktoe (IEA) to PJ</t>
        </r>
      </text>
    </comment>
    <comment ref="I17" authorId="1">
      <text>
        <r>
          <rPr>
            <sz val="8"/>
            <color indexed="81"/>
            <rFont val="Tahoma"/>
            <family val="2"/>
          </rPr>
          <t>Conversion factor
TJ (IEA) to PJ</t>
        </r>
      </text>
    </comment>
    <comment ref="J17" authorId="1">
      <text>
        <r>
          <rPr>
            <sz val="8"/>
            <color indexed="81"/>
            <rFont val="Tahoma"/>
            <family val="2"/>
          </rPr>
          <t>Conversion factor
GWh (IEA) to PJ</t>
        </r>
      </text>
    </comment>
    <comment ref="K17" authorId="1">
      <text>
        <r>
          <rPr>
            <sz val="8"/>
            <color indexed="81"/>
            <rFont val="Tahoma"/>
            <family val="2"/>
          </rPr>
          <t>Conversion factor
TJ (IEA) to PJ</t>
        </r>
      </text>
    </comment>
  </commentList>
</comments>
</file>

<file path=xl/comments3.xml><?xml version="1.0" encoding="utf-8"?>
<comments xmlns="http://schemas.openxmlformats.org/spreadsheetml/2006/main">
  <authors>
    <author>KanORS</author>
  </authors>
  <commentList>
    <comment ref="M4" authorId="0">
      <text>
        <r>
          <rPr>
            <b/>
            <sz val="8"/>
            <color indexed="81"/>
            <rFont val="Tahoma"/>
          </rPr>
          <t>Production of ELCD modeled separately, to support market share constraints for total Public Electricity.</t>
        </r>
      </text>
    </comment>
    <comment ref="N4" authorId="0">
      <text>
        <r>
          <rPr>
            <b/>
            <sz val="8"/>
            <color indexed="81"/>
            <rFont val="Tahoma"/>
          </rPr>
          <t>Production of ELCM modeled separately, to support market share constraints for total Public Electricity.</t>
        </r>
      </text>
    </comment>
  </commentList>
</comments>
</file>

<file path=xl/comments4.xml><?xml version="1.0" encoding="utf-8"?>
<comments xmlns="http://schemas.openxmlformats.org/spreadsheetml/2006/main">
  <authors>
    <author>Maryse Labriet</author>
  </authors>
  <commentList>
    <comment ref="L5" authorId="0">
      <text>
        <r>
          <rPr>
            <sz val="8"/>
            <color indexed="81"/>
            <rFont val="Tahoma"/>
            <family val="2"/>
          </rPr>
          <t xml:space="preserve">Need to be entered in the rows which have the respective input commodities
</t>
        </r>
      </text>
    </comment>
    <comment ref="K42" authorId="0">
      <text>
        <r>
          <rPr>
            <sz val="8"/>
            <color indexed="81"/>
            <rFont val="Tahoma"/>
            <family val="2"/>
          </rPr>
          <t xml:space="preserve">Need to be entered in the rows which have the respective input commodities
</t>
        </r>
      </text>
    </comment>
    <comment ref="M80" authorId="0">
      <text>
        <r>
          <rPr>
            <sz val="8"/>
            <color indexed="81"/>
            <rFont val="Tahoma"/>
            <family val="2"/>
          </rPr>
          <t xml:space="preserve">Need to be entered in the rows which have the respective input commodities
</t>
        </r>
      </text>
    </comment>
  </commentList>
</comments>
</file>

<file path=xl/comments5.xml><?xml version="1.0" encoding="utf-8"?>
<comments xmlns="http://schemas.openxmlformats.org/spreadsheetml/2006/main">
  <authors>
    <author>Amit Kanudia</author>
  </authors>
  <commentList>
    <comment ref="B39" authorId="0">
      <text>
        <r>
          <rPr>
            <sz val="8"/>
            <color indexed="81"/>
            <rFont val="Tahoma"/>
            <family val="2"/>
          </rPr>
          <t>Bio-energy</t>
        </r>
      </text>
    </comment>
    <comment ref="B40" authorId="0">
      <text>
        <r>
          <rPr>
            <sz val="8"/>
            <color indexed="81"/>
            <rFont val="Tahoma"/>
            <family val="2"/>
          </rPr>
          <t>Bio-energy</t>
        </r>
      </text>
    </comment>
    <comment ref="B43" authorId="0">
      <text>
        <r>
          <rPr>
            <sz val="8"/>
            <color indexed="81"/>
            <rFont val="Tahoma"/>
            <family val="2"/>
          </rPr>
          <t>Bio-energy</t>
        </r>
      </text>
    </comment>
    <comment ref="B44" authorId="0">
      <text>
        <r>
          <rPr>
            <sz val="8"/>
            <color indexed="81"/>
            <rFont val="Tahoma"/>
            <family val="2"/>
          </rPr>
          <t>Bio-energy</t>
        </r>
      </text>
    </comment>
  </commentList>
</comments>
</file>

<file path=xl/comments6.xml><?xml version="1.0" encoding="utf-8"?>
<comments xmlns="http://schemas.openxmlformats.org/spreadsheetml/2006/main">
  <authors>
    <author>Antti Lehtilä</author>
  </authors>
  <commentList>
    <comment ref="D34" authorId="0">
      <text>
        <r>
          <rPr>
            <b/>
            <sz val="8"/>
            <color indexed="81"/>
            <rFont val="Tahoma"/>
          </rPr>
          <t>Antti Lehtilä:</t>
        </r>
        <r>
          <rPr>
            <sz val="8"/>
            <color indexed="81"/>
            <rFont val="Tahoma"/>
          </rPr>
          <t xml:space="preserve">
Identification of constraint, together with CommName. Process name can be used for defining a common coefficient for all group members.</t>
        </r>
      </text>
    </comment>
  </commentList>
</comments>
</file>

<file path=xl/comments7.xml><?xml version="1.0" encoding="utf-8"?>
<comments xmlns="http://schemas.openxmlformats.org/spreadsheetml/2006/main">
  <authors>
    <author>Maryse Labriet</author>
    <author>Monisha Shah</author>
  </authors>
  <commentList>
    <comment ref="K1" authorId="0">
      <text>
        <r>
          <rPr>
            <sz val="8"/>
            <color indexed="81"/>
            <rFont val="Tahoma"/>
            <family val="2"/>
          </rPr>
          <t>=Y will use IEA data from table 1A in table 1;
=N will use data in table 1B.</t>
        </r>
      </text>
    </comment>
    <comment ref="J5" authorId="1">
      <text>
        <r>
          <rPr>
            <sz val="8"/>
            <color indexed="81"/>
            <rFont val="Tahoma"/>
            <family val="2"/>
          </rPr>
          <t xml:space="preserve">Regional fossil equivalent
</t>
        </r>
      </text>
    </comment>
    <comment ref="J7" authorId="1">
      <text>
        <r>
          <rPr>
            <sz val="8"/>
            <color indexed="81"/>
            <rFont val="Tahoma"/>
            <family val="2"/>
          </rPr>
          <t xml:space="preserve">Regional fossil equivalent
</t>
        </r>
      </text>
    </comment>
    <comment ref="C17" authorId="1">
      <text>
        <r>
          <rPr>
            <sz val="8"/>
            <color indexed="81"/>
            <rFont val="Tahoma"/>
            <family val="2"/>
          </rPr>
          <t>Conversion factor
ktoe (IEA) to PJ</t>
        </r>
      </text>
    </comment>
    <comment ref="D17" authorId="1">
      <text>
        <r>
          <rPr>
            <sz val="8"/>
            <color indexed="81"/>
            <rFont val="Tahoma"/>
            <family val="2"/>
          </rPr>
          <t>Conversion factor
GWh (IEA) to PJ</t>
        </r>
      </text>
    </comment>
    <comment ref="E17" authorId="1">
      <text>
        <r>
          <rPr>
            <sz val="8"/>
            <color indexed="81"/>
            <rFont val="Tahoma"/>
            <family val="2"/>
          </rPr>
          <t>Conversion factor
ktoe (IEA) to PJ</t>
        </r>
      </text>
    </comment>
    <comment ref="F17" authorId="1">
      <text>
        <r>
          <rPr>
            <sz val="8"/>
            <color indexed="81"/>
            <rFont val="Tahoma"/>
            <family val="2"/>
          </rPr>
          <t>Conversion factor
GWh (IEA) to PJ</t>
        </r>
      </text>
    </comment>
    <comment ref="G17" authorId="1">
      <text>
        <r>
          <rPr>
            <sz val="8"/>
            <color indexed="81"/>
            <rFont val="Tahoma"/>
            <family val="2"/>
          </rPr>
          <t>Conversion factor
TJ (IEA) to PJ</t>
        </r>
      </text>
    </comment>
    <comment ref="H17" authorId="1">
      <text>
        <r>
          <rPr>
            <sz val="8"/>
            <color indexed="81"/>
            <rFont val="Tahoma"/>
            <family val="2"/>
          </rPr>
          <t>Conversion factor
ktoe (IEA) to PJ</t>
        </r>
      </text>
    </comment>
    <comment ref="I17" authorId="1">
      <text>
        <r>
          <rPr>
            <sz val="8"/>
            <color indexed="81"/>
            <rFont val="Tahoma"/>
            <family val="2"/>
          </rPr>
          <t>Conversion factor
TJ (IEA) to PJ</t>
        </r>
      </text>
    </comment>
    <comment ref="J17" authorId="1">
      <text>
        <r>
          <rPr>
            <sz val="8"/>
            <color indexed="81"/>
            <rFont val="Tahoma"/>
            <family val="2"/>
          </rPr>
          <t>Conversion factor
GWh (IEA) to PJ</t>
        </r>
      </text>
    </comment>
    <comment ref="K17" authorId="1">
      <text>
        <r>
          <rPr>
            <sz val="8"/>
            <color indexed="81"/>
            <rFont val="Tahoma"/>
            <family val="2"/>
          </rPr>
          <t>Conversion factor
TJ (IEA) to PJ</t>
        </r>
      </text>
    </comment>
  </commentList>
</comments>
</file>

<file path=xl/comments8.xml><?xml version="1.0" encoding="utf-8"?>
<comments xmlns="http://schemas.openxmlformats.org/spreadsheetml/2006/main">
  <authors>
    <author>Maryse Labriet</author>
    <author>Monisha Shah</author>
  </authors>
  <commentList>
    <comment ref="K1" authorId="0">
      <text>
        <r>
          <rPr>
            <sz val="8"/>
            <color indexed="81"/>
            <rFont val="Tahoma"/>
            <family val="2"/>
          </rPr>
          <t>=Y will use IEA data from table 1A in table 1;
=N will use data in table 1B.</t>
        </r>
      </text>
    </comment>
    <comment ref="J5" authorId="1">
      <text>
        <r>
          <rPr>
            <sz val="8"/>
            <color indexed="81"/>
            <rFont val="Tahoma"/>
            <family val="2"/>
          </rPr>
          <t xml:space="preserve">Regional fossil equivalent
</t>
        </r>
      </text>
    </comment>
    <comment ref="J7" authorId="1">
      <text>
        <r>
          <rPr>
            <sz val="8"/>
            <color indexed="81"/>
            <rFont val="Tahoma"/>
            <family val="2"/>
          </rPr>
          <t xml:space="preserve">Regional fossil equivalent
</t>
        </r>
      </text>
    </comment>
    <comment ref="C17" authorId="1">
      <text>
        <r>
          <rPr>
            <sz val="8"/>
            <color indexed="81"/>
            <rFont val="Tahoma"/>
            <family val="2"/>
          </rPr>
          <t>Conversion factor
ktoe (IEA) to PJ</t>
        </r>
      </text>
    </comment>
    <comment ref="D17" authorId="1">
      <text>
        <r>
          <rPr>
            <sz val="8"/>
            <color indexed="81"/>
            <rFont val="Tahoma"/>
            <family val="2"/>
          </rPr>
          <t>Conversion factor
GWh (IEA) to PJ</t>
        </r>
      </text>
    </comment>
    <comment ref="E17" authorId="1">
      <text>
        <r>
          <rPr>
            <sz val="8"/>
            <color indexed="81"/>
            <rFont val="Tahoma"/>
            <family val="2"/>
          </rPr>
          <t>Conversion factor
ktoe (IEA) to PJ</t>
        </r>
      </text>
    </comment>
    <comment ref="F17" authorId="1">
      <text>
        <r>
          <rPr>
            <sz val="8"/>
            <color indexed="81"/>
            <rFont val="Tahoma"/>
            <family val="2"/>
          </rPr>
          <t>Conversion factor
GWh (IEA) to PJ</t>
        </r>
      </text>
    </comment>
    <comment ref="G17" authorId="1">
      <text>
        <r>
          <rPr>
            <sz val="8"/>
            <color indexed="81"/>
            <rFont val="Tahoma"/>
            <family val="2"/>
          </rPr>
          <t>Conversion factor
TJ (IEA) to PJ</t>
        </r>
      </text>
    </comment>
    <comment ref="H17" authorId="1">
      <text>
        <r>
          <rPr>
            <sz val="8"/>
            <color indexed="81"/>
            <rFont val="Tahoma"/>
            <family val="2"/>
          </rPr>
          <t>Conversion factor
ktoe (IEA) to PJ</t>
        </r>
      </text>
    </comment>
    <comment ref="I17" authorId="1">
      <text>
        <r>
          <rPr>
            <sz val="8"/>
            <color indexed="81"/>
            <rFont val="Tahoma"/>
            <family val="2"/>
          </rPr>
          <t>Conversion factor
TJ (IEA) to PJ</t>
        </r>
      </text>
    </comment>
    <comment ref="J17" authorId="1">
      <text>
        <r>
          <rPr>
            <sz val="8"/>
            <color indexed="81"/>
            <rFont val="Tahoma"/>
            <family val="2"/>
          </rPr>
          <t>Conversion factor
GWh (IEA) to PJ</t>
        </r>
      </text>
    </comment>
    <comment ref="K17" authorId="1">
      <text>
        <r>
          <rPr>
            <sz val="8"/>
            <color indexed="81"/>
            <rFont val="Tahoma"/>
            <family val="2"/>
          </rPr>
          <t>Conversion factor
TJ (IEA) to PJ</t>
        </r>
      </text>
    </comment>
  </commentList>
</comments>
</file>

<file path=xl/comments9.xml><?xml version="1.0" encoding="utf-8"?>
<comments xmlns="http://schemas.openxmlformats.org/spreadsheetml/2006/main">
  <authors>
    <author>KanORS</author>
  </authors>
  <commentList>
    <comment ref="M4" authorId="0">
      <text>
        <r>
          <rPr>
            <b/>
            <sz val="8"/>
            <color indexed="81"/>
            <rFont val="Tahoma"/>
          </rPr>
          <t>Production of ELCD modeled separately, to support market share constraints for total Public Electricity.</t>
        </r>
      </text>
    </comment>
    <comment ref="N4" authorId="0">
      <text>
        <r>
          <rPr>
            <b/>
            <sz val="8"/>
            <color indexed="81"/>
            <rFont val="Tahoma"/>
          </rPr>
          <t>Production of ELCM modeled separately, to support market share constraints for total Public Electricity.</t>
        </r>
      </text>
    </comment>
  </commentList>
</comments>
</file>

<file path=xl/comments10.xml><?xml version="1.0" encoding="utf-8"?>
<comments xmlns="http://schemas.openxmlformats.org/spreadsheetml/2006/main">
  <authors>
    <author>Maryse Labriet</author>
  </authors>
  <commentList>
    <comment ref="L5" authorId="0">
      <text>
        <r>
          <rPr>
            <sz val="8"/>
            <color indexed="81"/>
            <rFont val="Tahoma"/>
            <family val="2"/>
          </rPr>
          <t xml:space="preserve">Need to be entered in the rows which have the respective input commodities
</t>
        </r>
      </text>
    </comment>
    <comment ref="K42" authorId="0">
      <text>
        <r>
          <rPr>
            <sz val="8"/>
            <color indexed="81"/>
            <rFont val="Tahoma"/>
            <family val="2"/>
          </rPr>
          <t xml:space="preserve">Need to be entered in the rows which have the respective input commodities
</t>
        </r>
      </text>
    </comment>
    <comment ref="M80" authorId="0">
      <text>
        <r>
          <rPr>
            <sz val="8"/>
            <color indexed="81"/>
            <rFont val="Tahoma"/>
            <family val="2"/>
          </rPr>
          <t xml:space="preserve">Need to be entered in the rows which have the respective input commodities
</t>
        </r>
      </text>
    </comment>
  </commentList>
</comments>
</file>

<file path=xl/comments11.xml><?xml version="1.0" encoding="utf-8"?>
<comments xmlns="http://schemas.openxmlformats.org/spreadsheetml/2006/main">
  <authors>
    <author>Antti Lehtilä</author>
  </authors>
  <commentList>
    <comment ref="D34" authorId="0">
      <text>
        <r>
          <rPr>
            <b/>
            <sz val="8"/>
            <color indexed="81"/>
            <rFont val="Tahoma"/>
          </rPr>
          <t>Antti Lehtilä:</t>
        </r>
        <r>
          <rPr>
            <sz val="8"/>
            <color indexed="81"/>
            <rFont val="Tahoma"/>
          </rPr>
          <t xml:space="preserve">
Identification of constraint, together with CommName. Process name can be used for defining a common coefficient for all group members.</t>
        </r>
      </text>
    </comment>
  </commentList>
</comments>
</file>

<file path=xl/sharedStrings.xml><?xml version="1.0" encoding="utf-8"?>
<sst xmlns="http://schemas.openxmlformats.org/spreadsheetml/2006/main" count="5410" uniqueCount="702">
  <si>
    <t>COAHCO</t>
  </si>
  <si>
    <t>COABCO</t>
  </si>
  <si>
    <t>COAOVC</t>
  </si>
  <si>
    <t>COAGSC</t>
  </si>
  <si>
    <t>GASGWG</t>
  </si>
  <si>
    <t>GASCOG</t>
  </si>
  <si>
    <t>GASBFG</t>
  </si>
  <si>
    <t>GASOXY</t>
  </si>
  <si>
    <t>BIOCHR</t>
  </si>
  <si>
    <t>BIOREN</t>
  </si>
  <si>
    <t>GASNGA</t>
  </si>
  <si>
    <t>OILCRL</t>
  </si>
  <si>
    <t>OILCRH</t>
  </si>
  <si>
    <t>OILCRD</t>
  </si>
  <si>
    <t>OILNGL</t>
  </si>
  <si>
    <t>OILADD</t>
  </si>
  <si>
    <t>OILNCR</t>
  </si>
  <si>
    <t>GASRFG</t>
  </si>
  <si>
    <t>GASETH</t>
  </si>
  <si>
    <t>GASLPG</t>
  </si>
  <si>
    <t>OILGSL</t>
  </si>
  <si>
    <t>OILAVG</t>
  </si>
  <si>
    <t>OILJTG</t>
  </si>
  <si>
    <t>OILJTK</t>
  </si>
  <si>
    <t>OILKER</t>
  </si>
  <si>
    <t>OILDST</t>
  </si>
  <si>
    <t>OILHFO</t>
  </si>
  <si>
    <t>OILNAP</t>
  </si>
  <si>
    <t>OILWSP</t>
  </si>
  <si>
    <t>OILLUB</t>
  </si>
  <si>
    <t>OILASP</t>
  </si>
  <si>
    <t>OILWAX</t>
  </si>
  <si>
    <t>OILPTC</t>
  </si>
  <si>
    <t>AF</t>
  </si>
  <si>
    <t>OILNSP</t>
  </si>
  <si>
    <t>OILFEE</t>
  </si>
  <si>
    <t>PURE ELC</t>
  </si>
  <si>
    <t>CHP</t>
  </si>
  <si>
    <t>PURE HEAT</t>
  </si>
  <si>
    <t>Hydro</t>
  </si>
  <si>
    <t>Nucl</t>
  </si>
  <si>
    <t>Elc</t>
  </si>
  <si>
    <t>\I: Ratio "heat cons / total heat produced"</t>
  </si>
  <si>
    <t>LIFE</t>
  </si>
  <si>
    <t>Commodity</t>
  </si>
  <si>
    <t>Trends in Canada's Greenhouse Gas Emissions ; 1990-1995. Environment Canada, 1997.</t>
  </si>
  <si>
    <t>Canada's Greenhouse Gas Emissions : Estimates for 1990. Environment Canada, 1992.</t>
  </si>
  <si>
    <t>ELCCO2P</t>
  </si>
  <si>
    <t>ELCCO2N</t>
  </si>
  <si>
    <t>ELCCH4N</t>
  </si>
  <si>
    <t>ELCN2ON</t>
  </si>
  <si>
    <t>ELCCH4P</t>
  </si>
  <si>
    <t>TOTAL</t>
  </si>
  <si>
    <t>HET</t>
  </si>
  <si>
    <t>Output</t>
  </si>
  <si>
    <t>NA</t>
  </si>
  <si>
    <t>ELCOIL</t>
  </si>
  <si>
    <t>ELCHYD</t>
  </si>
  <si>
    <t>HYD</t>
  </si>
  <si>
    <t>\I:</t>
  </si>
  <si>
    <t>t</t>
  </si>
  <si>
    <t>START</t>
  </si>
  <si>
    <t>ELCGOI</t>
  </si>
  <si>
    <t>DELIV</t>
  </si>
  <si>
    <t>FEQ=</t>
  </si>
  <si>
    <t>LimType</t>
  </si>
  <si>
    <t>SOLARPV,SOLARTH</t>
  </si>
  <si>
    <t>ELCNGA111</t>
  </si>
  <si>
    <t>ELCOIL111</t>
  </si>
  <si>
    <t>ELCHCO111</t>
  </si>
  <si>
    <t>ELCBCO111</t>
  </si>
  <si>
    <t>Avg elc Eff:</t>
  </si>
  <si>
    <t>Heat EQ=</t>
  </si>
  <si>
    <t>Avg heat Eff:</t>
  </si>
  <si>
    <t>Table 2: Total Primary Equivalent Input</t>
  </si>
  <si>
    <t>TOTAL OUTPUT</t>
  </si>
  <si>
    <t>TOTAL INPUT TO ELC</t>
  </si>
  <si>
    <t>TOTAL INPUT TO HEAT</t>
  </si>
  <si>
    <t>TOTAL INPUT</t>
  </si>
  <si>
    <t>evaluated according to:</t>
  </si>
  <si>
    <t>IEA, energy content</t>
  </si>
  <si>
    <t>substitution principle</t>
  </si>
  <si>
    <t>Table 3: Consumption, output and losses</t>
  </si>
  <si>
    <t>\I: Only GASNGA and GASGWG</t>
  </si>
  <si>
    <t>\I:GASBFG,COG,OXY incl. here. OILPTC in ELCOIL</t>
  </si>
  <si>
    <t>USE IEA Data</t>
  </si>
  <si>
    <t>Fuel Tech - Natural Gas (ELC)</t>
  </si>
  <si>
    <t>Natural Gas (ELC)</t>
  </si>
  <si>
    <t>Oil (ELC)</t>
  </si>
  <si>
    <t>Coal (ELC)</t>
  </si>
  <si>
    <t>Fuel Tech - Hydro (ELC)</t>
  </si>
  <si>
    <t>Hydro (ELC)</t>
  </si>
  <si>
    <t>Fuel Tech - Uranium (ELC)</t>
  </si>
  <si>
    <t>Uranium (ELC)</t>
  </si>
  <si>
    <t>Fuel Tech - Geothermal (ELC)</t>
  </si>
  <si>
    <t>Geothermal (ELC)</t>
  </si>
  <si>
    <t>Fuel Tech - Solar (ELC)</t>
  </si>
  <si>
    <t>Solar (ELC)</t>
  </si>
  <si>
    <t>Fuel Tech - Tide (ELC)</t>
  </si>
  <si>
    <t>Tide (ELC)</t>
  </si>
  <si>
    <t>Fuel Tech - Wind (ELC)</t>
  </si>
  <si>
    <t>Wind (ELC)</t>
  </si>
  <si>
    <t>Fuel Tech - Biofuels (ELC)</t>
  </si>
  <si>
    <t>Biofuels (ELC)</t>
  </si>
  <si>
    <t>Fuel Tech - Electricity (ELC)</t>
  </si>
  <si>
    <t>Electricity (ELC)</t>
  </si>
  <si>
    <t xml:space="preserve">Sources : </t>
  </si>
  <si>
    <t>Fuel Tech - Natural Gas Mix (ELC)</t>
  </si>
  <si>
    <t>Fuel Tech - Oil Mix (ELC)</t>
  </si>
  <si>
    <t>Fuel Tech - Coal Mix (ELC)</t>
  </si>
  <si>
    <t>Fuel Tech - Biofuels Mix (ELC)</t>
  </si>
  <si>
    <t>FEQs</t>
  </si>
  <si>
    <t>NUC</t>
  </si>
  <si>
    <t>WIN etc.</t>
  </si>
  <si>
    <t>Fuel Tech - Oil (ELC)</t>
  </si>
  <si>
    <t>Fuel Tech - Hard Coal (ELC)</t>
  </si>
  <si>
    <t>Fuel Tech - Brown Coal (ELC)</t>
  </si>
  <si>
    <t>ELCBIO111</t>
  </si>
  <si>
    <t>N</t>
  </si>
  <si>
    <t>BIOBSL</t>
  </si>
  <si>
    <t>BIOBIN</t>
  </si>
  <si>
    <t>BIOBMU</t>
  </si>
  <si>
    <t>Pubchp</t>
  </si>
  <si>
    <t>Pubelec</t>
  </si>
  <si>
    <t>Pubheat</t>
  </si>
  <si>
    <t>USE OPEC/NON OPEC in UPSTREAM</t>
  </si>
  <si>
    <t>OECDEUR,Malta,Gibraltar</t>
  </si>
  <si>
    <t>ELOUTPUT</t>
  </si>
  <si>
    <t>MUNWASTEN,MUNWASTER</t>
  </si>
  <si>
    <t>BIOGAS</t>
  </si>
  <si>
    <t>ELCBGS111</t>
  </si>
  <si>
    <t>Fuel Tech - Biogas (ELC)</t>
  </si>
  <si>
    <t>ELCBGS</t>
  </si>
  <si>
    <t>Biogas (ELC)</t>
  </si>
  <si>
    <t>ELCBMU</t>
  </si>
  <si>
    <t>Muni waste (ELC)</t>
  </si>
  <si>
    <t>Solid biomass (ELC)</t>
  </si>
  <si>
    <t>PJ</t>
  </si>
  <si>
    <t>HEAT</t>
  </si>
  <si>
    <t>1 ktoe =</t>
  </si>
  <si>
    <t>1 GWh =</t>
  </si>
  <si>
    <t>1 TJ =</t>
  </si>
  <si>
    <t>1 GW =</t>
  </si>
  <si>
    <t>Product/Flow</t>
  </si>
  <si>
    <t>GASWKSGS</t>
  </si>
  <si>
    <t>NUCLEAR</t>
  </si>
  <si>
    <t>GEOTHERM</t>
  </si>
  <si>
    <t>HYDRO</t>
  </si>
  <si>
    <t>TIDE</t>
  </si>
  <si>
    <t>WIND</t>
  </si>
  <si>
    <t>UNITS CONVERSION</t>
  </si>
  <si>
    <t>ELCNGA</t>
  </si>
  <si>
    <t>ELCBIO</t>
  </si>
  <si>
    <t>^IEA_O</t>
  </si>
  <si>
    <t>^IEA_LC</t>
  </si>
  <si>
    <t>^IEA_SC</t>
  </si>
  <si>
    <t>Ouput</t>
  </si>
  <si>
    <t>Input</t>
  </si>
  <si>
    <t>ELECTR</t>
  </si>
  <si>
    <t>EPUMPST</t>
  </si>
  <si>
    <t>ENUC</t>
  </si>
  <si>
    <t>DISTLOSS</t>
  </si>
  <si>
    <t>Ouput (heat)</t>
  </si>
  <si>
    <t>Output (elec)</t>
  </si>
  <si>
    <t>Transmission losses</t>
  </si>
  <si>
    <t>Energy consumed</t>
  </si>
  <si>
    <t>Enery consumed</t>
  </si>
  <si>
    <t>\I: Total produced</t>
  </si>
  <si>
    <t>ELCTDL</t>
  </si>
  <si>
    <t>ELCCOA</t>
  </si>
  <si>
    <t>ELCGEO</t>
  </si>
  <si>
    <t>ELCSOL</t>
  </si>
  <si>
    <t>ELCWIN</t>
  </si>
  <si>
    <t>BLFURGS</t>
  </si>
  <si>
    <t>COKEOVGS</t>
  </si>
  <si>
    <t>OXYSTGS</t>
  </si>
  <si>
    <t>NATGAS</t>
  </si>
  <si>
    <t>REFINGAS</t>
  </si>
  <si>
    <t>LPG</t>
  </si>
  <si>
    <t>CRUDEOIL</t>
  </si>
  <si>
    <t>GASDIES</t>
  </si>
  <si>
    <t>MOTORGAS</t>
  </si>
  <si>
    <t>NAPHTHA</t>
  </si>
  <si>
    <t>NGL</t>
  </si>
  <si>
    <t>NONCRUDE</t>
  </si>
  <si>
    <t>ONONSPEC</t>
  </si>
  <si>
    <t>OTHKERO</t>
  </si>
  <si>
    <t>RESFUEL</t>
  </si>
  <si>
    <t>INDWASTE</t>
  </si>
  <si>
    <t>SBIOMASS</t>
  </si>
  <si>
    <t>RENEWNS</t>
  </si>
  <si>
    <t>OVENCOKE</t>
  </si>
  <si>
    <t>PETCOKE</t>
  </si>
  <si>
    <t>\I: Ratio "elc cons / total elc produced"</t>
  </si>
  <si>
    <t>GEO</t>
  </si>
  <si>
    <t>SOL</t>
  </si>
  <si>
    <t>TDL</t>
  </si>
  <si>
    <t>WIN</t>
  </si>
  <si>
    <t>ELCC</t>
  </si>
  <si>
    <t>ELCD</t>
  </si>
  <si>
    <t>Electricity (Centralized)</t>
  </si>
  <si>
    <t>Electricity (Decentralized)</t>
  </si>
  <si>
    <t>For CO2: Revised 1996 IPCC Guidelines for National Greenhouse Gas Inventories</t>
  </si>
  <si>
    <t>JT Houghton, LG Meira Filho, B Lim, K Treanton, I Mamaty, Y Bonduki,DJ Griggs and BA Callender (Eds)</t>
  </si>
  <si>
    <t>IPCC/OECD/IEA. UK Meteorological Office, Bracknell.</t>
  </si>
  <si>
    <t>Heat</t>
  </si>
  <si>
    <t>Technologies to produce Electricity sector fuels</t>
  </si>
  <si>
    <t>Technologies to produce Multi-fuels</t>
  </si>
  <si>
    <t>Emission - Static coefficients</t>
  </si>
  <si>
    <t>Table 1A: IEA Data</t>
  </si>
  <si>
    <t>Fuel name</t>
  </si>
  <si>
    <t>Electricity</t>
  </si>
  <si>
    <t>TechName</t>
  </si>
  <si>
    <t>TechDesc</t>
  </si>
  <si>
    <t>Comm-IN</t>
  </si>
  <si>
    <t>Comm-OUT</t>
  </si>
  <si>
    <t>~FI_Comm</t>
  </si>
  <si>
    <t>CSet</t>
  </si>
  <si>
    <t>CommName</t>
  </si>
  <si>
    <t>CommDesc</t>
  </si>
  <si>
    <t>Unit</t>
  </si>
  <si>
    <t>ENV</t>
  </si>
  <si>
    <t>kt</t>
  </si>
  <si>
    <t>Share~FX</t>
  </si>
  <si>
    <t>EFF</t>
  </si>
  <si>
    <t>RESID</t>
  </si>
  <si>
    <t>CTSLvl</t>
  </si>
  <si>
    <t>PeakTS</t>
  </si>
  <si>
    <t>Ctype</t>
  </si>
  <si>
    <t>DAYNITE</t>
  </si>
  <si>
    <t>ELC</t>
  </si>
  <si>
    <t>SEASON</t>
  </si>
  <si>
    <t>LTHEAT</t>
  </si>
  <si>
    <t>former CH4</t>
  </si>
  <si>
    <t>former N2O</t>
  </si>
  <si>
    <t>OILLPG</t>
  </si>
  <si>
    <t>\I: Incl OILPTC and OILLPG,RFG</t>
  </si>
  <si>
    <t>CZECH,HUNGARY,POLAND,TURKEY,SLOVAKIA</t>
  </si>
  <si>
    <t>~Country</t>
  </si>
  <si>
    <t>~-Country</t>
  </si>
  <si>
    <t>~Year</t>
  </si>
  <si>
    <t>~Units</t>
  </si>
  <si>
    <t>~IEAStats</t>
  </si>
  <si>
    <t>MAINELEC</t>
  </si>
  <si>
    <t>ELMAINE</t>
  </si>
  <si>
    <t>MAINCHP</t>
  </si>
  <si>
    <t>ELMAINC</t>
  </si>
  <si>
    <t>HEMAINC</t>
  </si>
  <si>
    <t>MAINHEAT</t>
  </si>
  <si>
    <t>HEMAINH</t>
  </si>
  <si>
    <t>HEMAINC,HEMAINH</t>
  </si>
  <si>
    <t>GBIOMASS,OBIOLIQ</t>
  </si>
  <si>
    <t>HARDCOAL,PATFUEL,ANTCOAL,BITCOAL</t>
  </si>
  <si>
    <t>PEAT,BKB,BROWN,SUBCOAL,LIGNITE</t>
  </si>
  <si>
    <t>OIL</t>
  </si>
  <si>
    <t>GAS</t>
  </si>
  <si>
    <t>COAL</t>
  </si>
  <si>
    <t>BIO</t>
  </si>
  <si>
    <t>CHPR</t>
  </si>
  <si>
    <t>AFA</t>
  </si>
  <si>
    <t>EOILGEN00</t>
  </si>
  <si>
    <t>EGASGEN00</t>
  </si>
  <si>
    <t>ECOAGEN00</t>
  </si>
  <si>
    <t>EBIOGEN00</t>
  </si>
  <si>
    <t>EGEOGEN00</t>
  </si>
  <si>
    <t>EWINGEN00</t>
  </si>
  <si>
    <t>Sets</t>
  </si>
  <si>
    <t>Cap2Act</t>
  </si>
  <si>
    <t>Y</t>
  </si>
  <si>
    <t>VA_Attrib_C</t>
  </si>
  <si>
    <t>~FI_Process</t>
  </si>
  <si>
    <t>Tact</t>
  </si>
  <si>
    <t>Tcap</t>
  </si>
  <si>
    <t>Tslvl</t>
  </si>
  <si>
    <t>PrimaryCG</t>
  </si>
  <si>
    <t>Vintage</t>
  </si>
  <si>
    <t>CHP: Existing BIO-based capacity</t>
  </si>
  <si>
    <t>GW</t>
  </si>
  <si>
    <t>NO</t>
  </si>
  <si>
    <t>CHP: Existing COAL-based capacity</t>
  </si>
  <si>
    <t>CHP: Existing GAS-based capacity</t>
  </si>
  <si>
    <t>CHP: Existing OIL-based capacity</t>
  </si>
  <si>
    <t>ELCELC000</t>
  </si>
  <si>
    <t>PJ_a</t>
  </si>
  <si>
    <t>EPLT: Existing BIO-based capacity</t>
  </si>
  <si>
    <t>EPLT: Existing COAL-based capacity</t>
  </si>
  <si>
    <t>EPLT: Existing GAS-based capacity</t>
  </si>
  <si>
    <t>EPLT: Existing GEO-based capacity</t>
  </si>
  <si>
    <t>EPLT: Existing OIL-based capacity</t>
  </si>
  <si>
    <t>EPLT: Existing WIN-based capacity</t>
  </si>
  <si>
    <t>HET: Existing BIO-based capacity</t>
  </si>
  <si>
    <t>PJa</t>
  </si>
  <si>
    <t>HET: Existing COAL-based capacity</t>
  </si>
  <si>
    <t>HET: Existing GAS-based capacity</t>
  </si>
  <si>
    <t>HET: Existing OIL-based capacity</t>
  </si>
  <si>
    <t>ELCBIO000</t>
  </si>
  <si>
    <t>ELCCOA000</t>
  </si>
  <si>
    <t>ELCGEO000</t>
  </si>
  <si>
    <t>ELCHYD000</t>
  </si>
  <si>
    <t>ELCNGA000</t>
  </si>
  <si>
    <t>ELCNUC000</t>
  </si>
  <si>
    <t>ELCOIL000</t>
  </si>
  <si>
    <t>ELCSOL000</t>
  </si>
  <si>
    <t>ELCTDL000</t>
  </si>
  <si>
    <t>ELCWIN000</t>
  </si>
  <si>
    <t>EEU</t>
  </si>
  <si>
    <t>WEU</t>
  </si>
  <si>
    <t>Region</t>
  </si>
  <si>
    <t>Factor</t>
  </si>
  <si>
    <t>Tiny</t>
  </si>
  <si>
    <t>RegIndex</t>
  </si>
  <si>
    <t>Current</t>
  </si>
  <si>
    <t>CommGrp</t>
  </si>
  <si>
    <t>Emissions on flows</t>
  </si>
  <si>
    <t>OTHER</t>
  </si>
  <si>
    <t>^IEA_Table</t>
  </si>
  <si>
    <t>AutoElc</t>
  </si>
  <si>
    <t>POWERPLT</t>
  </si>
  <si>
    <t>Thermal</t>
  </si>
  <si>
    <t>Other</t>
  </si>
  <si>
    <t>Own use+OTHER</t>
  </si>
  <si>
    <t>Total</t>
  </si>
  <si>
    <t>Efficiency adjustments related to POWERPLT and other energy sources</t>
  </si>
  <si>
    <t>Electricity generation</t>
  </si>
  <si>
    <t>Heat generation</t>
  </si>
  <si>
    <t>Net output</t>
  </si>
  <si>
    <t>Coeff.</t>
  </si>
  <si>
    <t>Gross</t>
  </si>
  <si>
    <t>COM_IE</t>
  </si>
  <si>
    <t>Inputs</t>
  </si>
  <si>
    <t>Elec</t>
  </si>
  <si>
    <t>Eff</t>
  </si>
  <si>
    <t>Net</t>
  </si>
  <si>
    <t>CapAct</t>
  </si>
  <si>
    <t>NUCURA</t>
  </si>
  <si>
    <t>Parameters for electric and head grids</t>
  </si>
  <si>
    <t>FX</t>
  </si>
  <si>
    <t>Transmission efficiency:</t>
  </si>
  <si>
    <t>ELCNUC</t>
  </si>
  <si>
    <t>Fuel Tech - Lithium (ELC)</t>
  </si>
  <si>
    <t>NUCLIT</t>
  </si>
  <si>
    <t>ELCLIT</t>
  </si>
  <si>
    <t>Lithium (ELC)</t>
  </si>
  <si>
    <t>VAROM</t>
  </si>
  <si>
    <t>ELCLIT000</t>
  </si>
  <si>
    <t>FIN</t>
  </si>
  <si>
    <t>RUS</t>
  </si>
  <si>
    <t>PEAT</t>
  </si>
  <si>
    <t>BIOM</t>
  </si>
  <si>
    <t>HPL</t>
  </si>
  <si>
    <t>FINLAND</t>
  </si>
  <si>
    <t>Capacities</t>
  </si>
  <si>
    <t>CHP PLANTS</t>
  </si>
  <si>
    <t>ELECTRICITY PLANTS</t>
  </si>
  <si>
    <t>ELCBCO</t>
  </si>
  <si>
    <t>HETOILP100</t>
  </si>
  <si>
    <t>HETGASP100</t>
  </si>
  <si>
    <t>HETCOAP100</t>
  </si>
  <si>
    <t>HETBIOP100</t>
  </si>
  <si>
    <t>HETOILP200</t>
  </si>
  <si>
    <t>HETGASP200</t>
  </si>
  <si>
    <t>HETCOAP200</t>
  </si>
  <si>
    <t>HETBIOP200</t>
  </si>
  <si>
    <t>HETOILP300</t>
  </si>
  <si>
    <t>HETGASP300</t>
  </si>
  <si>
    <t>HETCOAP300</t>
  </si>
  <si>
    <t>HETBIOP300</t>
  </si>
  <si>
    <t>HETOILP400</t>
  </si>
  <si>
    <t>HETGASP400</t>
  </si>
  <si>
    <t>HETCOAP400</t>
  </si>
  <si>
    <t>HETBIOP400</t>
  </si>
  <si>
    <t>HETBCOP100</t>
  </si>
  <si>
    <t>HETBCOP400</t>
  </si>
  <si>
    <t>HETBCOP300</t>
  </si>
  <si>
    <t>HETBCOP200</t>
  </si>
  <si>
    <t>MWe</t>
  </si>
  <si>
    <t>Prim</t>
  </si>
  <si>
    <t>MW(h)</t>
  </si>
  <si>
    <t>MW(e)</t>
  </si>
  <si>
    <t>Adjust</t>
  </si>
  <si>
    <t>CHP CAP</t>
  </si>
  <si>
    <t>HPL PLANTS</t>
  </si>
  <si>
    <t>NRG</t>
  </si>
  <si>
    <t>CalIndex</t>
  </si>
  <si>
    <t>POW</t>
  </si>
  <si>
    <t>Statist</t>
  </si>
  <si>
    <t>CAP</t>
  </si>
  <si>
    <t>MW(tot)</t>
  </si>
  <si>
    <t>Default Existing electrical availabilities - MAINELC</t>
  </si>
  <si>
    <t>CHPR RATIOS:</t>
  </si>
  <si>
    <t>EBCOGEN00</t>
  </si>
  <si>
    <t>ELCIMP</t>
  </si>
  <si>
    <t>ELCEXP</t>
  </si>
  <si>
    <t>INDCON</t>
  </si>
  <si>
    <t xml:space="preserve">Calibration of Losses </t>
  </si>
  <si>
    <t>ELCC+IMP</t>
  </si>
  <si>
    <t>ELCM</t>
  </si>
  <si>
    <t>INDELC</t>
  </si>
  <si>
    <t>EXP</t>
  </si>
  <si>
    <t>SUPPLY</t>
  </si>
  <si>
    <t>Loss%</t>
  </si>
  <si>
    <t>Volume</t>
  </si>
  <si>
    <t>Loss</t>
  </si>
  <si>
    <t>ELCIND</t>
  </si>
  <si>
    <t>LOSS</t>
  </si>
  <si>
    <t>TRACON</t>
  </si>
  <si>
    <t>AutoHet</t>
  </si>
  <si>
    <t>Electricity (Intermediate)</t>
  </si>
  <si>
    <t>Electricity (IND)</t>
  </si>
  <si>
    <t>HET1</t>
  </si>
  <si>
    <t>HET2</t>
  </si>
  <si>
    <t>HET3</t>
  </si>
  <si>
    <t>HET4</t>
  </si>
  <si>
    <t>Heat 1</t>
  </si>
  <si>
    <t>Heat 2</t>
  </si>
  <si>
    <t>Heat 3</t>
  </si>
  <si>
    <t>Heat 4</t>
  </si>
  <si>
    <t>ELCE</t>
  </si>
  <si>
    <t>NRGO</t>
  </si>
  <si>
    <t>ELCELC100</t>
  </si>
  <si>
    <t>ELCHET000</t>
  </si>
  <si>
    <t>PRODUCT</t>
  </si>
  <si>
    <t>PRODUCTION</t>
  </si>
  <si>
    <t>WEEKLY</t>
  </si>
  <si>
    <t>ELCHYR</t>
  </si>
  <si>
    <t>ANNUAL</t>
  </si>
  <si>
    <t>ELCHYSS00</t>
  </si>
  <si>
    <t>Hydro seasonal storage</t>
  </si>
  <si>
    <t>ELCHYSW00</t>
  </si>
  <si>
    <t>Hydro weekly storage</t>
  </si>
  <si>
    <t>Hydro daynite storage</t>
  </si>
  <si>
    <t>ELCHYSD00</t>
  </si>
  <si>
    <t>ROR Share:</t>
  </si>
  <si>
    <t>ACT</t>
  </si>
  <si>
    <t>ROR</t>
  </si>
  <si>
    <t>RES</t>
  </si>
  <si>
    <t>EHYDDAM00</t>
  </si>
  <si>
    <t>EHYDRUN00</t>
  </si>
  <si>
    <t>Hydro, runriver (ELC)</t>
  </si>
  <si>
    <t>ELCHYM</t>
  </si>
  <si>
    <t>Hydro, mini (ELC)</t>
  </si>
  <si>
    <t>EPLT: Existing HYDRO-Dam capacity</t>
  </si>
  <si>
    <t>EPLT: Existing HYDRO-Run capacity</t>
  </si>
  <si>
    <t>PEAK</t>
  </si>
  <si>
    <t>Brown Coal (ELC)</t>
  </si>
  <si>
    <t>ELCHYM000</t>
  </si>
  <si>
    <t>EPLT: Existing BCO-based capacity</t>
  </si>
  <si>
    <t>ELE,STGTSS</t>
  </si>
  <si>
    <t>\I: Calc-CHPR</t>
  </si>
  <si>
    <t>\I: Calc-Eff</t>
  </si>
  <si>
    <t>\I: CEH Default</t>
  </si>
  <si>
    <t>\I: CEFF</t>
  </si>
  <si>
    <t>Proportional phase-out</t>
  </si>
  <si>
    <t>Absolute phase-out</t>
  </si>
  <si>
    <t>HFO+DST - mixed fuel (ELC)</t>
  </si>
  <si>
    <t>BIORDF</t>
  </si>
  <si>
    <t>ELCRDF</t>
  </si>
  <si>
    <t>Refuse derived fuel (ELC)</t>
  </si>
  <si>
    <t>ELCBLQ</t>
  </si>
  <si>
    <t>ELCBCR</t>
  </si>
  <si>
    <t>RESID~2050</t>
  </si>
  <si>
    <t>RESID~2100</t>
  </si>
  <si>
    <t>Share~UP</t>
  </si>
  <si>
    <t>INVCOST</t>
  </si>
  <si>
    <t>BIODST</t>
  </si>
  <si>
    <t>Fuel Tech - Light oil (ELC)</t>
  </si>
  <si>
    <t>Fuel Tech - Mixed oil (ELC)</t>
  </si>
  <si>
    <t>Fuel Tech - Bio-oils (ELC)</t>
  </si>
  <si>
    <t>ELCDST</t>
  </si>
  <si>
    <t>Distillate oil (ELC)</t>
  </si>
  <si>
    <t>Bio-oil (ELC)</t>
  </si>
  <si>
    <t>ELCRDF111</t>
  </si>
  <si>
    <t>Fuel Tech - Refuse derived fuel (ELC)</t>
  </si>
  <si>
    <t>Heavy Oil (ELC)</t>
  </si>
  <si>
    <t>ELCDST000</t>
  </si>
  <si>
    <t>Refuse derived fuel</t>
  </si>
  <si>
    <t>Market share constraints</t>
  </si>
  <si>
    <t>BD</t>
  </si>
  <si>
    <t>\I:Description</t>
  </si>
  <si>
    <t>\I: Constraints for HPL</t>
  </si>
  <si>
    <t>LO</t>
  </si>
  <si>
    <t>BIOGLQ</t>
  </si>
  <si>
    <t>ELCMP</t>
  </si>
  <si>
    <t>ELCDP</t>
  </si>
  <si>
    <t>Electricity (Decentralized Production)</t>
  </si>
  <si>
    <t>Electricity (Intermediate Production)</t>
  </si>
  <si>
    <t>~COMAGG_R1C2</t>
  </si>
  <si>
    <t>ELCBIOL00</t>
  </si>
  <si>
    <t>ELCHOIL00</t>
  </si>
  <si>
    <t>Default</t>
  </si>
  <si>
    <t>NewEff</t>
  </si>
  <si>
    <t>Share~UP~2030</t>
  </si>
  <si>
    <t>Share~UP~2050</t>
  </si>
  <si>
    <t>DHPGEOP00</t>
  </si>
  <si>
    <t>DHPOILP100</t>
  </si>
  <si>
    <t>DHPGASP100</t>
  </si>
  <si>
    <t>DHPCOAP100</t>
  </si>
  <si>
    <t>DHPBCOP100</t>
  </si>
  <si>
    <t>DHPBIOP100</t>
  </si>
  <si>
    <t>DHPOILP200</t>
  </si>
  <si>
    <t>DHPGASP200</t>
  </si>
  <si>
    <t>DHPCOAP200</t>
  </si>
  <si>
    <t>DHPBCOP200</t>
  </si>
  <si>
    <t>DHPBIOP200</t>
  </si>
  <si>
    <t>DHPOILP300</t>
  </si>
  <si>
    <t>DHPGASP300</t>
  </si>
  <si>
    <t>DHPCOAP300</t>
  </si>
  <si>
    <t>DHPBCOP300</t>
  </si>
  <si>
    <t>DHPBIOP300</t>
  </si>
  <si>
    <t>DHPOILP400</t>
  </si>
  <si>
    <t>DHPGASP400</t>
  </si>
  <si>
    <t>DHPCOAP400</t>
  </si>
  <si>
    <t>DHPBCOP400</t>
  </si>
  <si>
    <t>DHPBIOP400</t>
  </si>
  <si>
    <t>TRANO2N</t>
  </si>
  <si>
    <t>N2O+NO2</t>
  </si>
  <si>
    <t>ELCBSL</t>
  </si>
  <si>
    <t>Bio solids</t>
  </si>
  <si>
    <t>ELCBIO101</t>
  </si>
  <si>
    <t>Bio-charcoal</t>
  </si>
  <si>
    <t>ELCBIO201</t>
  </si>
  <si>
    <t>ELCBIO202</t>
  </si>
  <si>
    <t>ELCBIO203</t>
  </si>
  <si>
    <t>EL1BIO</t>
  </si>
  <si>
    <t>EL2BIO</t>
  </si>
  <si>
    <t>EL3BIO</t>
  </si>
  <si>
    <t>ELCBIO901</t>
  </si>
  <si>
    <t>Biomass 2 (ELC)</t>
  </si>
  <si>
    <t>Biomass 1 (ELC)</t>
  </si>
  <si>
    <t>Biomass 3 (ELC)</t>
  </si>
  <si>
    <t>Fuel Tech - Imported Biomass 1 (ELC)</t>
  </si>
  <si>
    <t>BIOTRD</t>
  </si>
  <si>
    <t>SYNGAS</t>
  </si>
  <si>
    <t>Synthetic methane gas</t>
  </si>
  <si>
    <t>Improvements</t>
  </si>
  <si>
    <t>Dummy Tech - Biofuels 1 (ELC)</t>
  </si>
  <si>
    <t>Dummy Tech - Biofuels 2 (ELC)</t>
  </si>
  <si>
    <t>Dummy Tech - Biofuels 3 (ELC)</t>
  </si>
  <si>
    <t>BIOWOO</t>
  </si>
  <si>
    <t>BIOSLD</t>
  </si>
  <si>
    <t>ELCBIO112</t>
  </si>
  <si>
    <t>Fuel Tech - Biowood (ELC)</t>
  </si>
  <si>
    <t>Fuel Tech - Biosolid (ELC)</t>
  </si>
  <si>
    <t>BIOAGR</t>
  </si>
  <si>
    <t>Bio agricultural</t>
  </si>
  <si>
    <t>ESOLGEN00</t>
  </si>
  <si>
    <t>EPLT: Existing SOL-based capacity</t>
  </si>
  <si>
    <t>ACT_BND~UP</t>
  </si>
  <si>
    <t>UPSHET</t>
  </si>
  <si>
    <t>MSW</t>
  </si>
  <si>
    <t>CHP: Existing BMU-based capacity</t>
  </si>
  <si>
    <t>HET: Existing BMU-based capacity</t>
  </si>
  <si>
    <t>FIM</t>
  </si>
  <si>
    <t>FIMWAY</t>
  </si>
  <si>
    <t>Fuel Tech - Waste Mix (ELC)</t>
  </si>
  <si>
    <t>ELCBMU000</t>
  </si>
  <si>
    <t>AFA~LO</t>
  </si>
  <si>
    <t>AFA~LO~0</t>
  </si>
  <si>
    <t>ACTFLO</t>
  </si>
  <si>
    <t>YES</t>
  </si>
  <si>
    <t>Electricity (UPS)</t>
  </si>
  <si>
    <t>AFA~FX</t>
  </si>
  <si>
    <t>Lower Bounds</t>
  </si>
  <si>
    <t xml:space="preserve">\I: Constraints </t>
  </si>
  <si>
    <t>INPUT</t>
  </si>
  <si>
    <t>INPUT~0</t>
  </si>
  <si>
    <t>Input~2030</t>
  </si>
  <si>
    <t>Input~2050</t>
  </si>
  <si>
    <t>Distr Tech - heat small (ELC)</t>
  </si>
  <si>
    <t>Distr Tech - heat large (ELC)</t>
  </si>
  <si>
    <t>DHET1+3</t>
  </si>
  <si>
    <t>BIG</t>
  </si>
  <si>
    <t>DH Large potential</t>
  </si>
  <si>
    <t>Shares</t>
  </si>
  <si>
    <t>ELCHET100</t>
  </si>
  <si>
    <t>District heat</t>
  </si>
  <si>
    <t>Distr pump to heat 1</t>
  </si>
  <si>
    <t>ELCDHC101</t>
  </si>
  <si>
    <t>ELCDHC103</t>
  </si>
  <si>
    <t>Distr pump to heat 3</t>
  </si>
  <si>
    <t>DHC1</t>
  </si>
  <si>
    <t>DHC3</t>
  </si>
  <si>
    <t>Distr pump to cool</t>
  </si>
  <si>
    <t>ELCDHC201</t>
  </si>
  <si>
    <t>DCOOL</t>
  </si>
  <si>
    <t>ELCDHC203</t>
  </si>
  <si>
    <t>District COOL</t>
  </si>
  <si>
    <t>District cool</t>
  </si>
  <si>
    <t>District heat and cool 1</t>
  </si>
  <si>
    <t>District heat and cool 3</t>
  </si>
  <si>
    <t>CEFF</t>
  </si>
  <si>
    <t>RECHET</t>
  </si>
  <si>
    <t>Recovered heat</t>
  </si>
  <si>
    <t>HETRECP00</t>
  </si>
  <si>
    <t>Heat Recovery</t>
  </si>
  <si>
    <t>HET: Existing REC-based capacity</t>
  </si>
  <si>
    <t>AuxY</t>
  </si>
  <si>
    <t>WASTE</t>
  </si>
  <si>
    <t>PUMP</t>
  </si>
  <si>
    <t>UP</t>
  </si>
  <si>
    <t>Attribute</t>
  </si>
  <si>
    <t>2010~UP</t>
  </si>
  <si>
    <t>\I: Calc</t>
  </si>
  <si>
    <t>ELE</t>
  </si>
  <si>
    <t>PRE</t>
  </si>
  <si>
    <t>ELE,PKNO</t>
  </si>
  <si>
    <t>HPL,PKNO</t>
  </si>
  <si>
    <t>SHARE-I</t>
  </si>
  <si>
    <t>Shares, tranmission Eff</t>
  </si>
  <si>
    <t>Distr Tech - Electricity (ELC)</t>
  </si>
  <si>
    <t>FT-ELCHOIL0</t>
  </si>
  <si>
    <t>FT-ELCBIOL0</t>
  </si>
  <si>
    <t>FT-ELCDST0</t>
  </si>
  <si>
    <t>FT-ELCNGA1</t>
  </si>
  <si>
    <t>FT-ELCOIL1</t>
  </si>
  <si>
    <t>FT-ELCBIO11</t>
  </si>
  <si>
    <t>FT-ELCBIO12</t>
  </si>
  <si>
    <t>FT-ELCBIO10</t>
  </si>
  <si>
    <t>FT-ELCBGS1</t>
  </si>
  <si>
    <t>FT-ELCRDF1</t>
  </si>
  <si>
    <t>FT-ELCHCO1</t>
  </si>
  <si>
    <t>FT-ELCBCO1</t>
  </si>
  <si>
    <t>FT-ELCBIO19</t>
  </si>
  <si>
    <t>FT-ELCNGA0</t>
  </si>
  <si>
    <t>FT-ELCOIL0</t>
  </si>
  <si>
    <t>FT-ELCCOA0</t>
  </si>
  <si>
    <t>FT-ELCBIO0</t>
  </si>
  <si>
    <t>FT-ELCBMU0</t>
  </si>
  <si>
    <t>FT-ELCNUC0</t>
  </si>
  <si>
    <t>FT-ELCLIT0</t>
  </si>
  <si>
    <t>FT-ELCHYD0</t>
  </si>
  <si>
    <t>FT-ELCGEO0</t>
  </si>
  <si>
    <t>FT-ELCSOL0</t>
  </si>
  <si>
    <t>FT-ELCTDL0</t>
  </si>
  <si>
    <t>FT-ELCWIN0</t>
  </si>
  <si>
    <t>FT-ELCHYM0</t>
  </si>
  <si>
    <t>Fuel Tech - Hydro Small (ELC)</t>
  </si>
  <si>
    <t>~FI_T: FLO_EMIS</t>
  </si>
  <si>
    <t>CH4 (ELC)</t>
  </si>
  <si>
    <t>CH4 process (ELC)</t>
  </si>
  <si>
    <t>CO2 (ELC)</t>
  </si>
  <si>
    <t>CO2 process (ELC)</t>
  </si>
  <si>
    <t>N2O (ELC)</t>
  </si>
  <si>
    <t>ECAP</t>
  </si>
  <si>
    <t>SCAP</t>
  </si>
  <si>
    <t>ELCWOF</t>
  </si>
  <si>
    <t>Load Tech - Wind Offshore (ELC)</t>
  </si>
  <si>
    <t>Wind-off (ELC)</t>
  </si>
  <si>
    <t>PUMPS</t>
  </si>
  <si>
    <t>HETGEOP100</t>
  </si>
  <si>
    <t>HETGEOP200</t>
  </si>
  <si>
    <t>HETGEOP400</t>
  </si>
  <si>
    <t>HETGEOP300</t>
  </si>
  <si>
    <t>DHPBMUP100</t>
  </si>
  <si>
    <t>DHPBMUP200</t>
  </si>
  <si>
    <t>DHPBMUP300</t>
  </si>
  <si>
    <t>DHPBMUP400</t>
  </si>
  <si>
    <t>NUC1</t>
  </si>
  <si>
    <t>NUC2</t>
  </si>
  <si>
    <t>ENUCGEN10</t>
  </si>
  <si>
    <t>ENUCGEN30</t>
  </si>
  <si>
    <t>ENUCGEN20</t>
  </si>
  <si>
    <t>HET: Existing BCO-based capacity</t>
  </si>
  <si>
    <t>HET: Existing GEO-based capacity</t>
  </si>
  <si>
    <t>Wind-Off (ELC)</t>
  </si>
  <si>
    <t>HETBMUP100</t>
  </si>
  <si>
    <t>HETBMUP400</t>
  </si>
  <si>
    <t>HETBMUP300</t>
  </si>
  <si>
    <t>HETBMUP200</t>
  </si>
  <si>
    <t>NUC1+2</t>
  </si>
  <si>
    <t>EPLT: Existing NUC-based capacity Gen3</t>
  </si>
  <si>
    <t>EPLT: Existing NUC-based capacity Gen2</t>
  </si>
  <si>
    <t>EPLT: Existing NUC-based capacity Gen1</t>
  </si>
  <si>
    <t>TOTHET</t>
  </si>
  <si>
    <t>ELCBMU CO2 factor</t>
  </si>
  <si>
    <t>ELCWOF000</t>
  </si>
  <si>
    <t>ETXGAS</t>
  </si>
  <si>
    <t>ETXCOA</t>
  </si>
  <si>
    <t>ETXPET</t>
  </si>
  <si>
    <t>VA_Attrib_TC~HET</t>
  </si>
  <si>
    <t>ETXHET</t>
  </si>
  <si>
    <t>ELCHYN</t>
  </si>
  <si>
    <t>Hydrogen (ELC)</t>
  </si>
  <si>
    <t>XXX</t>
  </si>
  <si>
    <t>SUPELC</t>
  </si>
  <si>
    <t>Energy crop (ELC)</t>
  </si>
  <si>
    <t>SHCAP</t>
  </si>
  <si>
    <t>SYNHY0</t>
  </si>
  <si>
    <t>Hydrogen from supply</t>
  </si>
  <si>
    <t>DUM1</t>
  </si>
  <si>
    <t>Dummy 1</t>
  </si>
  <si>
    <t>DUM2</t>
  </si>
  <si>
    <t>Dummy 2</t>
  </si>
  <si>
    <t>DUM4</t>
  </si>
  <si>
    <t>DUM3</t>
  </si>
  <si>
    <t>Dummy 3</t>
  </si>
  <si>
    <t>Dummy 4</t>
  </si>
  <si>
    <t>Natural gas (ELC)</t>
  </si>
  <si>
    <t>Peat (ELC)</t>
  </si>
  <si>
    <t>ACT_EFF</t>
  </si>
  <si>
    <t>ELCBIO301</t>
  </si>
  <si>
    <t>Dummy Tech - Biofuels steps for 1 (ELC)</t>
  </si>
</sst>
</file>

<file path=xl/styles.xml><?xml version="1.0" encoding="utf-8"?>
<styleSheet xmlns="http://schemas.openxmlformats.org/spreadsheetml/2006/main">
  <numFmts count="6">
    <numFmt numFmtId="186" formatCode="0.000"/>
    <numFmt numFmtId="187" formatCode="0.0000"/>
    <numFmt numFmtId="188" formatCode="0.0"/>
    <numFmt numFmtId="189" formatCode="0.00000"/>
    <numFmt numFmtId="190" formatCode="0.0%"/>
    <numFmt numFmtId="191" formatCode=";;;"/>
  </numFmts>
  <fonts count="46">
    <font>
      <sz val="10"/>
      <name val="Arial"/>
    </font>
    <font>
      <sz val="10"/>
      <name val="Arial"/>
    </font>
    <font>
      <sz val="10"/>
      <name val="Geneva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8"/>
      <color indexed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Courier"/>
      <family val="3"/>
    </font>
    <font>
      <b/>
      <sz val="8"/>
      <color indexed="10"/>
      <name val="Arial"/>
      <family val="2"/>
    </font>
    <font>
      <sz val="8"/>
      <color indexed="12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4"/>
      <color indexed="9"/>
      <name val="Arial"/>
      <family val="2"/>
    </font>
    <font>
      <sz val="8"/>
      <color indexed="9"/>
      <name val="Arial"/>
      <family val="2"/>
    </font>
    <font>
      <sz val="10"/>
      <color indexed="9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8"/>
      <color indexed="12"/>
      <name val="Arial"/>
      <family val="2"/>
    </font>
    <font>
      <b/>
      <sz val="10"/>
      <color indexed="12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b/>
      <sz val="11"/>
      <color indexed="9"/>
      <name val="Calibri"/>
      <family val="2"/>
    </font>
    <font>
      <sz val="8"/>
      <name val="Arial"/>
    </font>
    <font>
      <sz val="9"/>
      <color indexed="8"/>
      <name val="Arial"/>
      <family val="2"/>
    </font>
    <font>
      <sz val="9"/>
      <name val="Arial"/>
      <family val="2"/>
    </font>
    <font>
      <sz val="9"/>
      <name val="Arial"/>
    </font>
    <font>
      <b/>
      <sz val="9"/>
      <name val="Arial"/>
      <family val="2"/>
    </font>
    <font>
      <b/>
      <sz val="12"/>
      <color indexed="56"/>
      <name val="Calibri"/>
      <family val="2"/>
    </font>
    <font>
      <b/>
      <sz val="14"/>
      <color indexed="9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u/>
      <sz val="10"/>
      <name val="Arial"/>
    </font>
    <font>
      <b/>
      <sz val="9"/>
      <color indexed="56"/>
      <name val="Calibri"/>
      <family val="2"/>
    </font>
    <font>
      <sz val="11"/>
      <color indexed="12"/>
      <name val="Calibri"/>
      <family val="2"/>
    </font>
    <font>
      <b/>
      <sz val="11"/>
      <color indexed="9"/>
      <name val="Arial"/>
      <family val="2"/>
    </font>
    <font>
      <sz val="10"/>
      <color indexed="12"/>
      <name val="Arial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3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9">
    <xf numFmtId="0" fontId="0" fillId="0" borderId="0"/>
    <xf numFmtId="0" fontId="41" fillId="12" borderId="0" applyNumberFormat="0" applyBorder="0" applyAlignment="0" applyProtection="0"/>
    <xf numFmtId="0" fontId="42" fillId="13" borderId="0" applyNumberFormat="0" applyBorder="0" applyAlignment="0" applyProtection="0"/>
    <xf numFmtId="0" fontId="43" fillId="0" borderId="29" applyNumberFormat="0" applyFill="0" applyAlignment="0" applyProtection="0"/>
    <xf numFmtId="0" fontId="44" fillId="0" borderId="30" applyNumberFormat="0" applyFill="0" applyAlignment="0" applyProtection="0"/>
    <xf numFmtId="0" fontId="45" fillId="14" borderId="28" applyNumberFormat="0" applyAlignment="0" applyProtection="0"/>
    <xf numFmtId="0" fontId="2" fillId="0" borderId="0"/>
    <xf numFmtId="0" fontId="11" fillId="0" borderId="0"/>
    <xf numFmtId="9" fontId="1" fillId="0" borderId="0" applyFont="0" applyFill="0" applyBorder="0" applyAlignment="0" applyProtection="0"/>
  </cellStyleXfs>
  <cellXfs count="61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/>
    <xf numFmtId="0" fontId="3" fillId="0" borderId="0" xfId="0" applyFont="1" applyFill="1"/>
    <xf numFmtId="0" fontId="0" fillId="2" borderId="0" xfId="0" applyFill="1"/>
    <xf numFmtId="0" fontId="3" fillId="2" borderId="0" xfId="0" applyFont="1" applyFill="1" applyBorder="1" applyAlignment="1">
      <alignment horizontal="right"/>
    </xf>
    <xf numFmtId="0" fontId="0" fillId="0" borderId="0" xfId="0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/>
    </xf>
    <xf numFmtId="0" fontId="3" fillId="0" borderId="0" xfId="6" applyFont="1" applyFill="1" applyBorder="1" applyAlignment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3" fontId="3" fillId="0" borderId="0" xfId="0" quotePrefix="1" applyNumberFormat="1" applyFont="1" applyFill="1" applyBorder="1" applyAlignment="1">
      <alignment horizontal="right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3" fillId="3" borderId="0" xfId="0" applyFont="1" applyFill="1" applyBorder="1" applyAlignment="1">
      <alignment horizontal="right"/>
    </xf>
    <xf numFmtId="0" fontId="3" fillId="2" borderId="0" xfId="0" applyFont="1" applyFill="1" applyBorder="1"/>
    <xf numFmtId="186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wrapText="1"/>
    </xf>
    <xf numFmtId="0" fontId="3" fillId="0" borderId="0" xfId="0" applyFont="1" applyBorder="1"/>
    <xf numFmtId="1" fontId="3" fillId="2" borderId="0" xfId="0" applyNumberFormat="1" applyFont="1" applyFill="1" applyBorder="1" applyAlignment="1">
      <alignment horizontal="left"/>
    </xf>
    <xf numFmtId="1" fontId="3" fillId="2" borderId="0" xfId="0" applyNumberFormat="1" applyFont="1" applyFill="1" applyBorder="1" applyAlignment="1">
      <alignment horizontal="left" wrapText="1"/>
    </xf>
    <xf numFmtId="2" fontId="3" fillId="2" borderId="0" xfId="0" applyNumberFormat="1" applyFont="1" applyFill="1" applyBorder="1" applyAlignment="1">
      <alignment horizontal="right"/>
    </xf>
    <xf numFmtId="0" fontId="14" fillId="2" borderId="0" xfId="0" applyNumberFormat="1" applyFont="1" applyFill="1" applyBorder="1" applyAlignment="1"/>
    <xf numFmtId="0" fontId="15" fillId="0" borderId="0" xfId="0" applyNumberFormat="1" applyFont="1" applyFill="1" applyBorder="1" applyAlignment="1"/>
    <xf numFmtId="2" fontId="14" fillId="2" borderId="0" xfId="0" applyNumberFormat="1" applyFont="1" applyFill="1" applyBorder="1" applyAlignment="1"/>
    <xf numFmtId="1" fontId="14" fillId="2" borderId="0" xfId="0" applyNumberFormat="1" applyFont="1" applyFill="1" applyBorder="1" applyAlignment="1"/>
    <xf numFmtId="0" fontId="14" fillId="2" borderId="1" xfId="0" applyNumberFormat="1" applyFont="1" applyFill="1" applyBorder="1" applyAlignment="1"/>
    <xf numFmtId="2" fontId="3" fillId="3" borderId="0" xfId="0" applyNumberFormat="1" applyFont="1" applyFill="1" applyBorder="1" applyAlignment="1">
      <alignment horizontal="right"/>
    </xf>
    <xf numFmtId="0" fontId="16" fillId="4" borderId="0" xfId="0" applyFont="1" applyFill="1" applyBorder="1"/>
    <xf numFmtId="0" fontId="17" fillId="4" borderId="0" xfId="0" applyFont="1" applyFill="1" applyBorder="1"/>
    <xf numFmtId="0" fontId="17" fillId="4" borderId="0" xfId="0" applyFont="1" applyFill="1" applyBorder="1" applyAlignment="1">
      <alignment horizontal="right"/>
    </xf>
    <xf numFmtId="0" fontId="3" fillId="5" borderId="0" xfId="0" applyFont="1" applyFill="1" applyBorder="1" applyAlignment="1">
      <alignment horizontal="left"/>
    </xf>
    <xf numFmtId="0" fontId="3" fillId="5" borderId="0" xfId="0" applyFont="1" applyFill="1" applyBorder="1"/>
    <xf numFmtId="0" fontId="4" fillId="2" borderId="0" xfId="0" applyFont="1" applyFill="1" applyBorder="1"/>
    <xf numFmtId="0" fontId="0" fillId="0" borderId="0" xfId="0" applyBorder="1" applyAlignment="1">
      <alignment horizontal="right"/>
    </xf>
    <xf numFmtId="0" fontId="3" fillId="0" borderId="0" xfId="0" applyFont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0" fillId="2" borderId="0" xfId="0" applyFill="1" applyBorder="1"/>
    <xf numFmtId="0" fontId="0" fillId="3" borderId="0" xfId="0" applyFill="1" applyBorder="1"/>
    <xf numFmtId="0" fontId="3" fillId="3" borderId="0" xfId="0" applyFont="1" applyFill="1" applyBorder="1" applyAlignment="1">
      <alignment horizontal="left" wrapText="1"/>
    </xf>
    <xf numFmtId="2" fontId="12" fillId="5" borderId="0" xfId="0" applyNumberFormat="1" applyFont="1" applyFill="1" applyBorder="1"/>
    <xf numFmtId="0" fontId="3" fillId="3" borderId="0" xfId="0" applyFont="1" applyFill="1" applyBorder="1" applyAlignment="1">
      <alignment horizontal="center"/>
    </xf>
    <xf numFmtId="10" fontId="3" fillId="2" borderId="0" xfId="8" applyNumberFormat="1" applyFont="1" applyFill="1" applyBorder="1"/>
    <xf numFmtId="0" fontId="4" fillId="2" borderId="0" xfId="6" applyFont="1" applyFill="1" applyBorder="1"/>
    <xf numFmtId="0" fontId="18" fillId="4" borderId="0" xfId="0" applyFont="1" applyFill="1" applyBorder="1"/>
    <xf numFmtId="0" fontId="0" fillId="4" borderId="0" xfId="0" applyFill="1" applyBorder="1"/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left"/>
    </xf>
    <xf numFmtId="2" fontId="3" fillId="6" borderId="2" xfId="0" applyNumberFormat="1" applyFont="1" applyFill="1" applyBorder="1" applyAlignment="1"/>
    <xf numFmtId="2" fontId="3" fillId="6" borderId="0" xfId="0" applyNumberFormat="1" applyFont="1" applyFill="1" applyBorder="1" applyAlignment="1"/>
    <xf numFmtId="0" fontId="5" fillId="2" borderId="3" xfId="0" applyFont="1" applyFill="1" applyBorder="1" applyAlignment="1"/>
    <xf numFmtId="2" fontId="5" fillId="6" borderId="2" xfId="0" applyNumberFormat="1" applyFont="1" applyFill="1" applyBorder="1" applyAlignment="1"/>
    <xf numFmtId="2" fontId="5" fillId="6" borderId="0" xfId="0" applyNumberFormat="1" applyFont="1" applyFill="1" applyBorder="1" applyAlignment="1"/>
    <xf numFmtId="0" fontId="10" fillId="2" borderId="3" xfId="0" applyFont="1" applyFill="1" applyBorder="1"/>
    <xf numFmtId="0" fontId="5" fillId="2" borderId="3" xfId="0" applyFont="1" applyFill="1" applyBorder="1" applyAlignment="1">
      <alignment wrapText="1"/>
    </xf>
    <xf numFmtId="2" fontId="5" fillId="6" borderId="4" xfId="0" applyNumberFormat="1" applyFont="1" applyFill="1" applyBorder="1" applyAlignment="1"/>
    <xf numFmtId="0" fontId="16" fillId="4" borderId="0" xfId="0" applyFont="1" applyFill="1" applyBorder="1" applyAlignment="1">
      <alignment horizontal="left"/>
    </xf>
    <xf numFmtId="0" fontId="17" fillId="4" borderId="0" xfId="0" applyFont="1" applyFill="1" applyBorder="1" applyAlignment="1">
      <alignment horizontal="left"/>
    </xf>
    <xf numFmtId="2" fontId="3" fillId="6" borderId="2" xfId="0" applyNumberFormat="1" applyFont="1" applyFill="1" applyBorder="1" applyAlignment="1">
      <alignment horizontal="right"/>
    </xf>
    <xf numFmtId="2" fontId="3" fillId="6" borderId="0" xfId="0" applyNumberFormat="1" applyFont="1" applyFill="1" applyBorder="1" applyAlignment="1">
      <alignment horizontal="right"/>
    </xf>
    <xf numFmtId="2" fontId="5" fillId="6" borderId="5" xfId="0" applyNumberFormat="1" applyFont="1" applyFill="1" applyBorder="1" applyAlignment="1"/>
    <xf numFmtId="2" fontId="5" fillId="6" borderId="3" xfId="0" applyNumberFormat="1" applyFont="1" applyFill="1" applyBorder="1" applyAlignment="1"/>
    <xf numFmtId="2" fontId="5" fillId="6" borderId="5" xfId="0" applyNumberFormat="1" applyFont="1" applyFill="1" applyBorder="1" applyAlignment="1">
      <alignment horizontal="right"/>
    </xf>
    <xf numFmtId="2" fontId="5" fillId="6" borderId="3" xfId="0" applyNumberFormat="1" applyFont="1" applyFill="1" applyBorder="1" applyAlignment="1">
      <alignment horizontal="right"/>
    </xf>
    <xf numFmtId="2" fontId="3" fillId="6" borderId="4" xfId="0" applyNumberFormat="1" applyFont="1" applyFill="1" applyBorder="1" applyAlignment="1"/>
    <xf numFmtId="2" fontId="3" fillId="6" borderId="1" xfId="0" applyNumberFormat="1" applyFont="1" applyFill="1" applyBorder="1" applyAlignment="1"/>
    <xf numFmtId="2" fontId="3" fillId="3" borderId="0" xfId="0" applyNumberFormat="1" applyFont="1" applyFill="1" applyBorder="1"/>
    <xf numFmtId="0" fontId="4" fillId="0" borderId="0" xfId="0" applyFont="1" applyBorder="1" applyAlignment="1">
      <alignment horizontal="left"/>
    </xf>
    <xf numFmtId="0" fontId="17" fillId="0" borderId="0" xfId="0" applyFont="1" applyFill="1" applyAlignment="1">
      <alignment horizontal="right"/>
    </xf>
    <xf numFmtId="0" fontId="3" fillId="2" borderId="1" xfId="0" applyFont="1" applyFill="1" applyBorder="1"/>
    <xf numFmtId="1" fontId="3" fillId="2" borderId="1" xfId="0" applyNumberFormat="1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left" wrapText="1"/>
    </xf>
    <xf numFmtId="1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0" fillId="0" borderId="1" xfId="0" applyBorder="1"/>
    <xf numFmtId="0" fontId="19" fillId="0" borderId="0" xfId="0" applyFont="1" applyBorder="1"/>
    <xf numFmtId="0" fontId="17" fillId="0" borderId="0" xfId="0" applyFont="1" applyFill="1" applyBorder="1" applyAlignment="1">
      <alignment horizontal="right"/>
    </xf>
    <xf numFmtId="0" fontId="3" fillId="0" borderId="0" xfId="0" applyFont="1" applyFill="1" applyBorder="1" applyProtection="1">
      <protection locked="0"/>
    </xf>
    <xf numFmtId="1" fontId="3" fillId="2" borderId="0" xfId="0" applyNumberFormat="1" applyFont="1" applyFill="1" applyBorder="1"/>
    <xf numFmtId="2" fontId="3" fillId="2" borderId="0" xfId="0" applyNumberFormat="1" applyFont="1" applyFill="1" applyBorder="1"/>
    <xf numFmtId="0" fontId="14" fillId="2" borderId="1" xfId="0" applyNumberFormat="1" applyFont="1" applyFill="1" applyBorder="1" applyAlignment="1">
      <alignment wrapText="1"/>
    </xf>
    <xf numFmtId="2" fontId="14" fillId="2" borderId="1" xfId="0" applyNumberFormat="1" applyFont="1" applyFill="1" applyBorder="1" applyAlignment="1"/>
    <xf numFmtId="0" fontId="3" fillId="2" borderId="0" xfId="0" applyFont="1" applyFill="1" applyBorder="1" applyAlignment="1">
      <alignment horizontal="left" vertical="center" wrapText="1"/>
    </xf>
    <xf numFmtId="2" fontId="0" fillId="0" borderId="0" xfId="0" applyNumberFormat="1" applyBorder="1"/>
    <xf numFmtId="0" fontId="3" fillId="3" borderId="0" xfId="0" quotePrefix="1" applyFont="1" applyFill="1" applyBorder="1" applyAlignment="1">
      <alignment horizontal="left" wrapText="1"/>
    </xf>
    <xf numFmtId="188" fontId="7" fillId="3" borderId="0" xfId="0" applyNumberFormat="1" applyFont="1" applyFill="1" applyBorder="1"/>
    <xf numFmtId="1" fontId="14" fillId="5" borderId="0" xfId="0" applyNumberFormat="1" applyFont="1" applyFill="1" applyBorder="1" applyAlignment="1"/>
    <xf numFmtId="0" fontId="14" fillId="5" borderId="0" xfId="0" applyNumberFormat="1" applyFont="1" applyFill="1" applyBorder="1" applyAlignment="1">
      <alignment wrapText="1"/>
    </xf>
    <xf numFmtId="0" fontId="3" fillId="5" borderId="0" xfId="0" applyFont="1" applyFill="1" applyBorder="1" applyAlignment="1">
      <alignment wrapText="1"/>
    </xf>
    <xf numFmtId="0" fontId="22" fillId="2" borderId="1" xfId="0" applyFont="1" applyFill="1" applyBorder="1"/>
    <xf numFmtId="0" fontId="22" fillId="0" borderId="0" xfId="0" applyFont="1" applyBorder="1"/>
    <xf numFmtId="0" fontId="22" fillId="0" borderId="0" xfId="0" applyFont="1" applyFill="1" applyBorder="1"/>
    <xf numFmtId="0" fontId="14" fillId="5" borderId="1" xfId="0" applyNumberFormat="1" applyFont="1" applyFill="1" applyBorder="1" applyAlignment="1"/>
    <xf numFmtId="0" fontId="3" fillId="5" borderId="1" xfId="0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Fill="1"/>
    <xf numFmtId="0" fontId="3" fillId="2" borderId="6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22" fillId="2" borderId="0" xfId="0" applyFont="1" applyFill="1" applyBorder="1"/>
    <xf numFmtId="0" fontId="23" fillId="0" borderId="0" xfId="0" applyFont="1"/>
    <xf numFmtId="0" fontId="4" fillId="2" borderId="6" xfId="0" applyFont="1" applyFill="1" applyBorder="1"/>
    <xf numFmtId="0" fontId="4" fillId="2" borderId="6" xfId="0" applyFont="1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4" fillId="2" borderId="7" xfId="0" applyFont="1" applyFill="1" applyBorder="1"/>
    <xf numFmtId="0" fontId="3" fillId="2" borderId="7" xfId="0" applyFont="1" applyFill="1" applyBorder="1"/>
    <xf numFmtId="0" fontId="3" fillId="2" borderId="8" xfId="0" applyFont="1" applyFill="1" applyBorder="1" applyAlignment="1">
      <alignment wrapText="1"/>
    </xf>
    <xf numFmtId="0" fontId="3" fillId="2" borderId="8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left" vertical="center" wrapText="1"/>
    </xf>
    <xf numFmtId="2" fontId="7" fillId="3" borderId="0" xfId="0" applyNumberFormat="1" applyFont="1" applyFill="1" applyBorder="1" applyAlignment="1">
      <alignment horizontal="right"/>
    </xf>
    <xf numFmtId="0" fontId="7" fillId="3" borderId="0" xfId="0" applyFont="1" applyFill="1" applyBorder="1" applyAlignment="1">
      <alignment horizontal="right"/>
    </xf>
    <xf numFmtId="0" fontId="6" fillId="2" borderId="0" xfId="0" applyFont="1" applyFill="1" applyBorder="1" applyAlignment="1"/>
    <xf numFmtId="2" fontId="3" fillId="3" borderId="0" xfId="0" applyNumberFormat="1" applyFont="1" applyFill="1" applyBorder="1" applyAlignment="1"/>
    <xf numFmtId="0" fontId="24" fillId="0" borderId="0" xfId="0" applyFont="1"/>
    <xf numFmtId="188" fontId="3" fillId="3" borderId="0" xfId="0" applyNumberFormat="1" applyFont="1" applyFill="1" applyBorder="1" applyAlignment="1">
      <alignment horizontal="right"/>
    </xf>
    <xf numFmtId="188" fontId="7" fillId="3" borderId="0" xfId="0" applyNumberFormat="1" applyFont="1" applyFill="1" applyBorder="1" applyAlignment="1">
      <alignment horizontal="right"/>
    </xf>
    <xf numFmtId="0" fontId="4" fillId="2" borderId="8" xfId="0" applyFont="1" applyFill="1" applyBorder="1" applyAlignment="1">
      <alignment horizontal="center" vertical="center" wrapText="1"/>
    </xf>
    <xf numFmtId="188" fontId="0" fillId="0" borderId="0" xfId="0" applyNumberFormat="1"/>
    <xf numFmtId="0" fontId="43" fillId="5" borderId="29" xfId="3" applyFill="1"/>
    <xf numFmtId="2" fontId="0" fillId="0" borderId="0" xfId="0" applyNumberFormat="1"/>
    <xf numFmtId="0" fontId="42" fillId="13" borderId="0" xfId="2" applyBorder="1"/>
    <xf numFmtId="186" fontId="42" fillId="13" borderId="0" xfId="2" applyNumberFormat="1"/>
    <xf numFmtId="186" fontId="42" fillId="13" borderId="0" xfId="2" applyNumberFormat="1" applyBorder="1"/>
    <xf numFmtId="0" fontId="9" fillId="2" borderId="9" xfId="0" applyFont="1" applyFill="1" applyBorder="1"/>
    <xf numFmtId="0" fontId="9" fillId="2" borderId="10" xfId="0" applyFont="1" applyFill="1" applyBorder="1"/>
    <xf numFmtId="0" fontId="9" fillId="2" borderId="11" xfId="0" applyFont="1" applyFill="1" applyBorder="1"/>
    <xf numFmtId="0" fontId="0" fillId="7" borderId="0" xfId="0" applyFill="1"/>
    <xf numFmtId="0" fontId="0" fillId="6" borderId="0" xfId="0" applyFill="1" applyAlignment="1">
      <alignment horizontal="center"/>
    </xf>
    <xf numFmtId="11" fontId="0" fillId="6" borderId="0" xfId="0" applyNumberFormat="1" applyFill="1"/>
    <xf numFmtId="0" fontId="16" fillId="4" borderId="0" xfId="0" applyFont="1" applyFill="1"/>
    <xf numFmtId="1" fontId="28" fillId="2" borderId="6" xfId="0" applyNumberFormat="1" applyFont="1" applyFill="1" applyBorder="1" applyAlignment="1">
      <alignment horizontal="right"/>
    </xf>
    <xf numFmtId="0" fontId="3" fillId="2" borderId="12" xfId="0" applyFont="1" applyFill="1" applyBorder="1" applyAlignment="1">
      <alignment horizontal="right" vertical="center" wrapText="1"/>
    </xf>
    <xf numFmtId="0" fontId="29" fillId="2" borderId="0" xfId="0" applyFont="1" applyFill="1"/>
    <xf numFmtId="0" fontId="30" fillId="2" borderId="0" xfId="0" applyFont="1" applyFill="1"/>
    <xf numFmtId="2" fontId="0" fillId="3" borderId="0" xfId="0" applyNumberFormat="1" applyFill="1"/>
    <xf numFmtId="186" fontId="0" fillId="0" borderId="0" xfId="0" applyNumberFormat="1"/>
    <xf numFmtId="187" fontId="0" fillId="0" borderId="0" xfId="0" applyNumberFormat="1"/>
    <xf numFmtId="0" fontId="30" fillId="2" borderId="0" xfId="0" applyFont="1" applyFill="1" applyBorder="1"/>
    <xf numFmtId="0" fontId="30" fillId="2" borderId="10" xfId="0" applyFont="1" applyFill="1" applyBorder="1"/>
    <xf numFmtId="1" fontId="30" fillId="2" borderId="13" xfId="0" applyNumberFormat="1" applyFont="1" applyFill="1" applyBorder="1"/>
    <xf numFmtId="186" fontId="30" fillId="2" borderId="14" xfId="0" applyNumberFormat="1" applyFont="1" applyFill="1" applyBorder="1"/>
    <xf numFmtId="186" fontId="30" fillId="2" borderId="13" xfId="0" applyNumberFormat="1" applyFont="1" applyFill="1" applyBorder="1"/>
    <xf numFmtId="2" fontId="30" fillId="2" borderId="15" xfId="0" applyNumberFormat="1" applyFont="1" applyFill="1" applyBorder="1"/>
    <xf numFmtId="0" fontId="30" fillId="2" borderId="13" xfId="0" applyFont="1" applyFill="1" applyBorder="1"/>
    <xf numFmtId="0" fontId="30" fillId="2" borderId="14" xfId="0" applyFont="1" applyFill="1" applyBorder="1"/>
    <xf numFmtId="0" fontId="3" fillId="2" borderId="16" xfId="0" applyFont="1" applyFill="1" applyBorder="1" applyAlignment="1">
      <alignment horizontal="left"/>
    </xf>
    <xf numFmtId="0" fontId="3" fillId="2" borderId="17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186" fontId="30" fillId="2" borderId="15" xfId="0" applyNumberFormat="1" applyFont="1" applyFill="1" applyBorder="1"/>
    <xf numFmtId="188" fontId="30" fillId="2" borderId="13" xfId="0" applyNumberFormat="1" applyFont="1" applyFill="1" applyBorder="1"/>
    <xf numFmtId="188" fontId="30" fillId="2" borderId="14" xfId="0" applyNumberFormat="1" applyFont="1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11" xfId="0" applyFill="1" applyBorder="1"/>
    <xf numFmtId="0" fontId="0" fillId="2" borderId="0" xfId="0" applyFill="1" applyAlignment="1">
      <alignment horizontal="center"/>
    </xf>
    <xf numFmtId="0" fontId="31" fillId="2" borderId="7" xfId="0" applyFont="1" applyFill="1" applyBorder="1"/>
    <xf numFmtId="0" fontId="23" fillId="0" borderId="0" xfId="0" applyFont="1" applyBorder="1"/>
    <xf numFmtId="0" fontId="9" fillId="2" borderId="6" xfId="0" applyFont="1" applyFill="1" applyBorder="1"/>
    <xf numFmtId="0" fontId="4" fillId="2" borderId="6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32" fillId="5" borderId="29" xfId="3" applyFont="1" applyFill="1"/>
    <xf numFmtId="0" fontId="0" fillId="8" borderId="0" xfId="0" applyFill="1"/>
    <xf numFmtId="188" fontId="0" fillId="8" borderId="0" xfId="0" applyNumberFormat="1" applyFill="1"/>
    <xf numFmtId="9" fontId="0" fillId="8" borderId="0" xfId="8" applyFont="1" applyFill="1"/>
    <xf numFmtId="0" fontId="9" fillId="2" borderId="0" xfId="0" applyFont="1" applyFill="1" applyAlignment="1">
      <alignment horizontal="right"/>
    </xf>
    <xf numFmtId="0" fontId="32" fillId="5" borderId="29" xfId="3" applyFont="1" applyFill="1" applyAlignment="1">
      <alignment horizontal="right"/>
    </xf>
    <xf numFmtId="0" fontId="31" fillId="2" borderId="6" xfId="0" applyFont="1" applyFill="1" applyBorder="1" applyAlignment="1">
      <alignment horizontal="left" vertical="center" wrapText="1"/>
    </xf>
    <xf numFmtId="186" fontId="0" fillId="3" borderId="9" xfId="0" applyNumberFormat="1" applyFill="1" applyBorder="1"/>
    <xf numFmtId="186" fontId="0" fillId="3" borderId="15" xfId="0" applyNumberFormat="1" applyFill="1" applyBorder="1"/>
    <xf numFmtId="0" fontId="4" fillId="2" borderId="10" xfId="0" applyFont="1" applyFill="1" applyBorder="1"/>
    <xf numFmtId="187" fontId="0" fillId="2" borderId="0" xfId="0" applyNumberFormat="1" applyFill="1"/>
    <xf numFmtId="188" fontId="30" fillId="2" borderId="15" xfId="0" applyNumberFormat="1" applyFont="1" applyFill="1" applyBorder="1"/>
    <xf numFmtId="188" fontId="30" fillId="2" borderId="11" xfId="0" applyNumberFormat="1" applyFont="1" applyFill="1" applyBorder="1"/>
    <xf numFmtId="188" fontId="0" fillId="3" borderId="0" xfId="0" applyNumberFormat="1" applyFill="1"/>
    <xf numFmtId="0" fontId="0" fillId="3" borderId="0" xfId="0" applyFill="1" applyAlignment="1">
      <alignment horizontal="center"/>
    </xf>
    <xf numFmtId="0" fontId="31" fillId="2" borderId="6" xfId="0" applyFont="1" applyFill="1" applyBorder="1" applyAlignment="1">
      <alignment horizontal="center" vertical="center" wrapText="1"/>
    </xf>
    <xf numFmtId="9" fontId="1" fillId="8" borderId="0" xfId="8" applyFill="1"/>
    <xf numFmtId="0" fontId="9" fillId="2" borderId="10" xfId="0" applyFont="1" applyFill="1" applyBorder="1" applyAlignment="1">
      <alignment horizontal="center"/>
    </xf>
    <xf numFmtId="2" fontId="0" fillId="3" borderId="0" xfId="0" applyNumberFormat="1" applyFill="1" applyBorder="1"/>
    <xf numFmtId="2" fontId="0" fillId="3" borderId="20" xfId="0" applyNumberFormat="1" applyFill="1" applyBorder="1"/>
    <xf numFmtId="1" fontId="0" fillId="3" borderId="0" xfId="0" applyNumberFormat="1" applyFill="1"/>
    <xf numFmtId="1" fontId="0" fillId="2" borderId="0" xfId="0" applyNumberFormat="1" applyFill="1"/>
    <xf numFmtId="188" fontId="30" fillId="2" borderId="0" xfId="0" applyNumberFormat="1" applyFont="1" applyFill="1" applyBorder="1"/>
    <xf numFmtId="2" fontId="30" fillId="2" borderId="0" xfId="0" applyNumberFormat="1" applyFont="1" applyFill="1" applyBorder="1"/>
    <xf numFmtId="186" fontId="30" fillId="2" borderId="0" xfId="0" applyNumberFormat="1" applyFont="1" applyFill="1" applyBorder="1"/>
    <xf numFmtId="190" fontId="0" fillId="2" borderId="0" xfId="8" applyNumberFormat="1" applyFont="1" applyFill="1"/>
    <xf numFmtId="0" fontId="9" fillId="2" borderId="10" xfId="0" applyFont="1" applyFill="1" applyBorder="1" applyAlignment="1">
      <alignment horizontal="right"/>
    </xf>
    <xf numFmtId="188" fontId="0" fillId="9" borderId="0" xfId="0" applyNumberFormat="1" applyFill="1"/>
    <xf numFmtId="190" fontId="0" fillId="9" borderId="0" xfId="8" applyNumberFormat="1" applyFont="1" applyFill="1"/>
    <xf numFmtId="2" fontId="0" fillId="9" borderId="0" xfId="0" applyNumberFormat="1" applyFill="1"/>
    <xf numFmtId="1" fontId="0" fillId="9" borderId="0" xfId="0" applyNumberFormat="1" applyFill="1"/>
    <xf numFmtId="2" fontId="3" fillId="3" borderId="0" xfId="0" applyNumberFormat="1" applyFont="1" applyFill="1" applyBorder="1" applyAlignment="1">
      <alignment horizontal="center"/>
    </xf>
    <xf numFmtId="0" fontId="13" fillId="2" borderId="0" xfId="0" applyFont="1" applyFill="1" applyBorder="1"/>
    <xf numFmtId="0" fontId="3" fillId="2" borderId="1" xfId="0" applyFont="1" applyFill="1" applyBorder="1" applyAlignment="1"/>
    <xf numFmtId="0" fontId="0" fillId="9" borderId="0" xfId="0" applyFill="1"/>
    <xf numFmtId="0" fontId="7" fillId="9" borderId="0" xfId="0" applyFont="1" applyFill="1"/>
    <xf numFmtId="9" fontId="0" fillId="9" borderId="0" xfId="0" applyNumberFormat="1" applyFill="1"/>
    <xf numFmtId="0" fontId="0" fillId="6" borderId="0" xfId="0" applyFill="1"/>
    <xf numFmtId="9" fontId="0" fillId="0" borderId="0" xfId="0" applyNumberFormat="1" applyBorder="1"/>
    <xf numFmtId="0" fontId="3" fillId="10" borderId="10" xfId="0" applyFont="1" applyFill="1" applyBorder="1"/>
    <xf numFmtId="1" fontId="28" fillId="2" borderId="7" xfId="0" applyNumberFormat="1" applyFont="1" applyFill="1" applyBorder="1" applyAlignment="1">
      <alignment horizontal="center"/>
    </xf>
    <xf numFmtId="0" fontId="14" fillId="2" borderId="7" xfId="0" applyNumberFormat="1" applyFont="1" applyFill="1" applyBorder="1" applyAlignment="1"/>
    <xf numFmtId="0" fontId="23" fillId="0" borderId="0" xfId="0" applyFont="1" applyFill="1" applyAlignment="1">
      <alignment horizontal="left"/>
    </xf>
    <xf numFmtId="0" fontId="9" fillId="7" borderId="6" xfId="0" applyFont="1" applyFill="1" applyBorder="1" applyAlignment="1">
      <alignment horizontal="center" vertical="center" wrapText="1"/>
    </xf>
    <xf numFmtId="1" fontId="7" fillId="2" borderId="0" xfId="0" applyNumberFormat="1" applyFont="1" applyFill="1" applyBorder="1" applyAlignment="1">
      <alignment horizontal="left"/>
    </xf>
    <xf numFmtId="186" fontId="7" fillId="2" borderId="0" xfId="0" applyNumberFormat="1" applyFont="1" applyFill="1" applyBorder="1" applyAlignment="1"/>
    <xf numFmtId="2" fontId="7" fillId="2" borderId="0" xfId="0" applyNumberFormat="1" applyFont="1" applyFill="1" applyBorder="1" applyAlignment="1"/>
    <xf numFmtId="9" fontId="0" fillId="2" borderId="0" xfId="8" applyFont="1" applyFill="1"/>
    <xf numFmtId="9" fontId="0" fillId="2" borderId="0" xfId="0" applyNumberFormat="1" applyFill="1"/>
    <xf numFmtId="186" fontId="0" fillId="5" borderId="0" xfId="0" applyNumberFormat="1" applyFill="1" applyAlignment="1">
      <alignment horizontal="center"/>
    </xf>
    <xf numFmtId="1" fontId="3" fillId="3" borderId="13" xfId="0" applyNumberFormat="1" applyFont="1" applyFill="1" applyBorder="1" applyAlignment="1">
      <alignment horizontal="right"/>
    </xf>
    <xf numFmtId="2" fontId="0" fillId="6" borderId="0" xfId="0" applyNumberFormat="1" applyFill="1"/>
    <xf numFmtId="1" fontId="3" fillId="3" borderId="21" xfId="0" applyNumberFormat="1" applyFont="1" applyFill="1" applyBorder="1" applyAlignment="1">
      <alignment horizontal="right"/>
    </xf>
    <xf numFmtId="1" fontId="3" fillId="3" borderId="14" xfId="0" applyNumberFormat="1" applyFont="1" applyFill="1" applyBorder="1" applyAlignment="1">
      <alignment horizontal="right"/>
    </xf>
    <xf numFmtId="0" fontId="3" fillId="3" borderId="21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2" fontId="14" fillId="3" borderId="0" xfId="0" applyNumberFormat="1" applyFont="1" applyFill="1" applyBorder="1" applyAlignment="1"/>
    <xf numFmtId="0" fontId="9" fillId="0" borderId="0" xfId="0" applyFont="1" applyAlignment="1">
      <alignment horizontal="centerContinuous" wrapText="1"/>
    </xf>
    <xf numFmtId="0" fontId="26" fillId="12" borderId="0" xfId="1" applyFont="1"/>
    <xf numFmtId="0" fontId="3" fillId="2" borderId="0" xfId="7" applyFont="1" applyFill="1" applyBorder="1" applyAlignment="1" applyProtection="1">
      <alignment horizontal="left"/>
    </xf>
    <xf numFmtId="2" fontId="0" fillId="8" borderId="0" xfId="0" applyNumberFormat="1" applyFill="1"/>
    <xf numFmtId="0" fontId="3" fillId="2" borderId="0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29" fillId="2" borderId="6" xfId="0" applyFont="1" applyFill="1" applyBorder="1" applyAlignment="1">
      <alignment horizontal="right" vertical="center" wrapText="1"/>
    </xf>
    <xf numFmtId="0" fontId="29" fillId="2" borderId="6" xfId="0" applyFont="1" applyFill="1" applyBorder="1" applyAlignment="1">
      <alignment horizontal="right" vertical="center"/>
    </xf>
    <xf numFmtId="186" fontId="0" fillId="6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9" fillId="2" borderId="0" xfId="0" applyFont="1" applyFill="1" applyBorder="1" applyAlignment="1">
      <alignment wrapText="1"/>
    </xf>
    <xf numFmtId="0" fontId="29" fillId="2" borderId="0" xfId="0" quotePrefix="1" applyFont="1" applyFill="1" applyBorder="1" applyAlignment="1">
      <alignment horizontal="left"/>
    </xf>
    <xf numFmtId="0" fontId="29" fillId="2" borderId="0" xfId="0" applyFont="1" applyFill="1" applyBorder="1" applyAlignment="1">
      <alignment horizontal="left"/>
    </xf>
    <xf numFmtId="1" fontId="29" fillId="2" borderId="0" xfId="0" applyNumberFormat="1" applyFont="1" applyFill="1" applyBorder="1" applyAlignment="1">
      <alignment horizontal="left"/>
    </xf>
    <xf numFmtId="0" fontId="29" fillId="5" borderId="1" xfId="0" applyFont="1" applyFill="1" applyBorder="1" applyAlignment="1">
      <alignment horizontal="left"/>
    </xf>
    <xf numFmtId="1" fontId="29" fillId="2" borderId="1" xfId="0" applyNumberFormat="1" applyFont="1" applyFill="1" applyBorder="1" applyAlignment="1">
      <alignment horizontal="left"/>
    </xf>
    <xf numFmtId="0" fontId="29" fillId="2" borderId="1" xfId="0" applyFont="1" applyFill="1" applyBorder="1" applyAlignment="1">
      <alignment wrapText="1"/>
    </xf>
    <xf numFmtId="0" fontId="29" fillId="5" borderId="0" xfId="0" applyFont="1" applyFill="1" applyBorder="1" applyAlignment="1">
      <alignment horizontal="left"/>
    </xf>
    <xf numFmtId="0" fontId="0" fillId="0" borderId="0" xfId="0" quotePrefix="1"/>
    <xf numFmtId="0" fontId="29" fillId="2" borderId="12" xfId="0" applyFont="1" applyFill="1" applyBorder="1" applyAlignment="1">
      <alignment horizontal="center" vertical="center" wrapText="1"/>
    </xf>
    <xf numFmtId="9" fontId="1" fillId="2" borderId="0" xfId="8" applyFill="1"/>
    <xf numFmtId="0" fontId="0" fillId="6" borderId="15" xfId="0" applyFill="1" applyBorder="1" applyAlignment="1">
      <alignment horizontal="center"/>
    </xf>
    <xf numFmtId="2" fontId="0" fillId="2" borderId="20" xfId="0" applyNumberFormat="1" applyFill="1" applyBorder="1"/>
    <xf numFmtId="0" fontId="9" fillId="5" borderId="10" xfId="0" applyFont="1" applyFill="1" applyBorder="1" applyAlignment="1">
      <alignment horizontal="center"/>
    </xf>
    <xf numFmtId="2" fontId="0" fillId="2" borderId="0" xfId="0" applyNumberFormat="1" applyFill="1" applyBorder="1"/>
    <xf numFmtId="0" fontId="31" fillId="2" borderId="12" xfId="0" applyFont="1" applyFill="1" applyBorder="1" applyAlignment="1">
      <alignment horizontal="left" vertical="center" wrapText="1"/>
    </xf>
    <xf numFmtId="0" fontId="0" fillId="2" borderId="21" xfId="0" applyFill="1" applyBorder="1"/>
    <xf numFmtId="188" fontId="0" fillId="2" borderId="0" xfId="0" applyNumberFormat="1" applyFill="1"/>
    <xf numFmtId="2" fontId="0" fillId="2" borderId="0" xfId="0" applyNumberFormat="1" applyFill="1" applyAlignment="1">
      <alignment horizontal="center"/>
    </xf>
    <xf numFmtId="2" fontId="0" fillId="2" borderId="0" xfId="0" applyNumberFormat="1" applyFill="1"/>
    <xf numFmtId="0" fontId="31" fillId="2" borderId="22" xfId="0" applyFont="1" applyFill="1" applyBorder="1" applyAlignment="1">
      <alignment horizontal="left" vertical="center" wrapText="1"/>
    </xf>
    <xf numFmtId="0" fontId="0" fillId="2" borderId="20" xfId="0" applyFill="1" applyBorder="1"/>
    <xf numFmtId="0" fontId="0" fillId="3" borderId="0" xfId="0" applyFill="1"/>
    <xf numFmtId="0" fontId="0" fillId="3" borderId="21" xfId="0" applyFill="1" applyBorder="1"/>
    <xf numFmtId="0" fontId="0" fillId="3" borderId="20" xfId="0" applyFill="1" applyBorder="1"/>
    <xf numFmtId="0" fontId="7" fillId="2" borderId="0" xfId="0" applyFont="1" applyFill="1"/>
    <xf numFmtId="2" fontId="0" fillId="11" borderId="0" xfId="0" applyNumberFormat="1" applyFill="1" applyAlignment="1">
      <alignment horizontal="center"/>
    </xf>
    <xf numFmtId="0" fontId="29" fillId="2" borderId="0" xfId="0" applyFont="1" applyFill="1" applyBorder="1" applyAlignment="1"/>
    <xf numFmtId="0" fontId="3" fillId="2" borderId="6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right" vertical="center"/>
    </xf>
    <xf numFmtId="188" fontId="0" fillId="2" borderId="0" xfId="0" applyNumberFormat="1" applyFill="1" applyAlignment="1">
      <alignment horizontal="center"/>
    </xf>
    <xf numFmtId="186" fontId="29" fillId="2" borderId="0" xfId="0" applyNumberFormat="1" applyFont="1" applyFill="1" applyBorder="1" applyAlignment="1">
      <alignment horizontal="right"/>
    </xf>
    <xf numFmtId="2" fontId="29" fillId="2" borderId="0" xfId="0" applyNumberFormat="1" applyFont="1" applyFill="1" applyBorder="1" applyAlignment="1">
      <alignment horizontal="right"/>
    </xf>
    <xf numFmtId="0" fontId="29" fillId="2" borderId="0" xfId="0" applyFont="1" applyFill="1" applyBorder="1" applyAlignment="1" applyProtection="1">
      <alignment horizontal="right"/>
      <protection locked="0"/>
    </xf>
    <xf numFmtId="0" fontId="29" fillId="3" borderId="0" xfId="0" applyFont="1" applyFill="1" applyBorder="1" applyAlignment="1">
      <alignment horizontal="right"/>
    </xf>
    <xf numFmtId="188" fontId="29" fillId="3" borderId="0" xfId="0" applyNumberFormat="1" applyFont="1" applyFill="1" applyBorder="1" applyAlignment="1">
      <alignment horizontal="right"/>
    </xf>
    <xf numFmtId="0" fontId="29" fillId="2" borderId="0" xfId="0" applyFont="1" applyFill="1" applyBorder="1" applyAlignment="1">
      <alignment horizontal="right"/>
    </xf>
    <xf numFmtId="1" fontId="29" fillId="2" borderId="1" xfId="0" applyNumberFormat="1" applyFont="1" applyFill="1" applyBorder="1" applyAlignment="1">
      <alignment horizontal="right"/>
    </xf>
    <xf numFmtId="186" fontId="29" fillId="2" borderId="1" xfId="0" applyNumberFormat="1" applyFont="1" applyFill="1" applyBorder="1" applyAlignment="1">
      <alignment horizontal="right"/>
    </xf>
    <xf numFmtId="0" fontId="29" fillId="2" borderId="1" xfId="0" applyFont="1" applyFill="1" applyBorder="1" applyAlignment="1" applyProtection="1">
      <alignment horizontal="right"/>
      <protection locked="0"/>
    </xf>
    <xf numFmtId="0" fontId="29" fillId="2" borderId="1" xfId="0" applyFont="1" applyFill="1" applyBorder="1" applyAlignment="1">
      <alignment horizontal="right"/>
    </xf>
    <xf numFmtId="2" fontId="29" fillId="3" borderId="0" xfId="0" applyNumberFormat="1" applyFont="1" applyFill="1" applyBorder="1" applyAlignment="1">
      <alignment horizontal="right"/>
    </xf>
    <xf numFmtId="1" fontId="29" fillId="2" borderId="0" xfId="0" applyNumberFormat="1" applyFont="1" applyFill="1" applyBorder="1" applyAlignment="1">
      <alignment horizontal="right"/>
    </xf>
    <xf numFmtId="0" fontId="29" fillId="2" borderId="6" xfId="0" applyFont="1" applyFill="1" applyBorder="1" applyAlignment="1">
      <alignment horizontal="center" vertical="center" wrapText="1"/>
    </xf>
    <xf numFmtId="0" fontId="14" fillId="2" borderId="1" xfId="0" applyNumberFormat="1" applyFont="1" applyFill="1" applyBorder="1" applyAlignment="1">
      <alignment horizontal="center"/>
    </xf>
    <xf numFmtId="0" fontId="14" fillId="3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88" fontId="14" fillId="3" borderId="0" xfId="0" applyNumberFormat="1" applyFont="1" applyFill="1" applyBorder="1" applyAlignment="1">
      <alignment horizontal="center"/>
    </xf>
    <xf numFmtId="2" fontId="14" fillId="3" borderId="0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4" fillId="2" borderId="0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9" fillId="2" borderId="6" xfId="0" applyFont="1" applyFill="1" applyBorder="1" applyAlignment="1">
      <alignment horizontal="left" vertical="center" wrapText="1"/>
    </xf>
    <xf numFmtId="0" fontId="29" fillId="2" borderId="6" xfId="0" applyFont="1" applyFill="1" applyBorder="1" applyAlignment="1">
      <alignment horizontal="center" vertical="center"/>
    </xf>
    <xf numFmtId="0" fontId="29" fillId="2" borderId="0" xfId="0" applyFont="1" applyFill="1" applyBorder="1" applyAlignment="1" applyProtection="1">
      <alignment horizontal="center"/>
      <protection locked="0"/>
    </xf>
    <xf numFmtId="0" fontId="29" fillId="3" borderId="0" xfId="0" applyFont="1" applyFill="1" applyBorder="1"/>
    <xf numFmtId="0" fontId="29" fillId="3" borderId="0" xfId="0" applyFont="1" applyFill="1" applyBorder="1" applyAlignment="1">
      <alignment horizontal="center"/>
    </xf>
    <xf numFmtId="2" fontId="29" fillId="2" borderId="1" xfId="0" applyNumberFormat="1" applyFont="1" applyFill="1" applyBorder="1" applyAlignment="1">
      <alignment horizontal="right"/>
    </xf>
    <xf numFmtId="0" fontId="29" fillId="2" borderId="1" xfId="0" applyFont="1" applyFill="1" applyBorder="1" applyAlignment="1" applyProtection="1">
      <alignment horizontal="center"/>
      <protection locked="0"/>
    </xf>
    <xf numFmtId="2" fontId="29" fillId="3" borderId="0" xfId="0" applyNumberFormat="1" applyFont="1" applyFill="1" applyBorder="1"/>
    <xf numFmtId="186" fontId="29" fillId="6" borderId="0" xfId="0" applyNumberFormat="1" applyFont="1" applyFill="1" applyBorder="1" applyAlignment="1">
      <alignment horizontal="right"/>
    </xf>
    <xf numFmtId="188" fontId="29" fillId="3" borderId="0" xfId="0" applyNumberFormat="1" applyFont="1" applyFill="1" applyBorder="1" applyAlignment="1">
      <alignment horizontal="center"/>
    </xf>
    <xf numFmtId="1" fontId="29" fillId="2" borderId="0" xfId="0" applyNumberFormat="1" applyFont="1" applyFill="1" applyBorder="1" applyAlignment="1">
      <alignment horizontal="center"/>
    </xf>
    <xf numFmtId="188" fontId="29" fillId="3" borderId="0" xfId="0" applyNumberFormat="1" applyFont="1" applyFill="1" applyBorder="1"/>
    <xf numFmtId="188" fontId="29" fillId="2" borderId="0" xfId="0" applyNumberFormat="1" applyFont="1" applyFill="1" applyBorder="1" applyAlignment="1">
      <alignment horizontal="center"/>
    </xf>
    <xf numFmtId="187" fontId="29" fillId="2" borderId="1" xfId="0" applyNumberFormat="1" applyFont="1" applyFill="1" applyBorder="1" applyAlignment="1">
      <alignment horizontal="right"/>
    </xf>
    <xf numFmtId="0" fontId="38" fillId="13" borderId="0" xfId="2" applyFont="1" applyBorder="1"/>
    <xf numFmtId="0" fontId="14" fillId="2" borderId="0" xfId="0" applyNumberFormat="1" applyFont="1" applyFill="1" applyBorder="1" applyAlignment="1">
      <alignment horizontal="left"/>
    </xf>
    <xf numFmtId="0" fontId="22" fillId="2" borderId="1" xfId="0" applyFont="1" applyFill="1" applyBorder="1" applyAlignment="1"/>
    <xf numFmtId="0" fontId="22" fillId="2" borderId="0" xfId="0" applyFont="1" applyFill="1" applyBorder="1" applyAlignment="1"/>
    <xf numFmtId="0" fontId="25" fillId="2" borderId="0" xfId="0" applyFont="1" applyFill="1"/>
    <xf numFmtId="0" fontId="9" fillId="5" borderId="10" xfId="0" applyFont="1" applyFill="1" applyBorder="1"/>
    <xf numFmtId="0" fontId="39" fillId="12" borderId="0" xfId="1" applyFont="1"/>
    <xf numFmtId="0" fontId="7" fillId="6" borderId="1" xfId="0" applyFont="1" applyFill="1" applyBorder="1"/>
    <xf numFmtId="0" fontId="29" fillId="6" borderId="0" xfId="0" applyFont="1" applyFill="1" applyBorder="1" applyAlignment="1"/>
    <xf numFmtId="1" fontId="29" fillId="6" borderId="0" xfId="0" applyNumberFormat="1" applyFont="1" applyFill="1" applyBorder="1" applyAlignment="1">
      <alignment horizontal="left"/>
    </xf>
    <xf numFmtId="1" fontId="29" fillId="6" borderId="0" xfId="0" applyNumberFormat="1" applyFont="1" applyFill="1" applyBorder="1" applyAlignment="1">
      <alignment horizontal="right"/>
    </xf>
    <xf numFmtId="0" fontId="29" fillId="6" borderId="0" xfId="0" applyFont="1" applyFill="1" applyBorder="1" applyAlignment="1" applyProtection="1">
      <alignment horizontal="center"/>
      <protection locked="0"/>
    </xf>
    <xf numFmtId="0" fontId="29" fillId="6" borderId="0" xfId="0" applyFont="1" applyFill="1" applyBorder="1" applyAlignment="1">
      <alignment horizontal="center"/>
    </xf>
    <xf numFmtId="0" fontId="29" fillId="6" borderId="0" xfId="0" applyFont="1" applyFill="1" applyBorder="1" applyAlignment="1">
      <alignment horizontal="left"/>
    </xf>
    <xf numFmtId="0" fontId="29" fillId="6" borderId="1" xfId="0" applyFont="1" applyFill="1" applyBorder="1" applyAlignment="1"/>
    <xf numFmtId="0" fontId="29" fillId="6" borderId="1" xfId="0" applyFont="1" applyFill="1" applyBorder="1" applyAlignment="1">
      <alignment horizontal="center"/>
    </xf>
    <xf numFmtId="0" fontId="25" fillId="9" borderId="0" xfId="0" applyFont="1" applyFill="1"/>
    <xf numFmtId="0" fontId="0" fillId="9" borderId="0" xfId="0" applyFill="1" applyAlignment="1">
      <alignment horizontal="center"/>
    </xf>
    <xf numFmtId="0" fontId="0" fillId="9" borderId="0" xfId="0" applyFill="1" applyBorder="1"/>
    <xf numFmtId="186" fontId="0" fillId="2" borderId="0" xfId="0" applyNumberFormat="1" applyFill="1"/>
    <xf numFmtId="0" fontId="0" fillId="3" borderId="10" xfId="0" applyFill="1" applyBorder="1"/>
    <xf numFmtId="188" fontId="0" fillId="3" borderId="10" xfId="0" applyNumberFormat="1" applyFill="1" applyBorder="1"/>
    <xf numFmtId="2" fontId="0" fillId="3" borderId="10" xfId="0" applyNumberFormat="1" applyFill="1" applyBorder="1"/>
    <xf numFmtId="0" fontId="0" fillId="0" borderId="10" xfId="0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186" fontId="0" fillId="2" borderId="0" xfId="0" applyNumberFormat="1" applyFill="1" applyAlignment="1">
      <alignment horizontal="center"/>
    </xf>
    <xf numFmtId="0" fontId="0" fillId="10" borderId="0" xfId="0" applyFill="1"/>
    <xf numFmtId="186" fontId="0" fillId="3" borderId="0" xfId="0" applyNumberFormat="1" applyFill="1" applyAlignment="1">
      <alignment horizontal="center"/>
    </xf>
    <xf numFmtId="0" fontId="9" fillId="5" borderId="15" xfId="0" applyFont="1" applyFill="1" applyBorder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10" borderId="10" xfId="0" applyFill="1" applyBorder="1" applyAlignment="1">
      <alignment horizontal="center"/>
    </xf>
    <xf numFmtId="0" fontId="3" fillId="6" borderId="0" xfId="0" applyFont="1" applyFill="1" applyBorder="1" applyAlignment="1"/>
    <xf numFmtId="0" fontId="3" fillId="6" borderId="0" xfId="0" applyFont="1" applyFill="1" applyBorder="1" applyAlignment="1">
      <alignment horizontal="center"/>
    </xf>
    <xf numFmtId="2" fontId="3" fillId="2" borderId="0" xfId="0" applyNumberFormat="1" applyFont="1" applyFill="1" applyBorder="1" applyAlignment="1">
      <alignment horizontal="center"/>
    </xf>
    <xf numFmtId="186" fontId="3" fillId="2" borderId="0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186" fontId="0" fillId="10" borderId="0" xfId="0" applyNumberFormat="1" applyFill="1" applyAlignment="1">
      <alignment horizontal="center"/>
    </xf>
    <xf numFmtId="1" fontId="0" fillId="6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9" fontId="0" fillId="6" borderId="0" xfId="0" applyNumberFormat="1" applyFill="1" applyAlignment="1">
      <alignment horizontal="center"/>
    </xf>
    <xf numFmtId="9" fontId="0" fillId="11" borderId="0" xfId="0" applyNumberFormat="1" applyFill="1"/>
    <xf numFmtId="0" fontId="0" fillId="2" borderId="20" xfId="0" applyFill="1" applyBorder="1" applyAlignment="1">
      <alignment horizontal="center"/>
    </xf>
    <xf numFmtId="2" fontId="0" fillId="2" borderId="20" xfId="0" applyNumberFormat="1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186" fontId="0" fillId="9" borderId="0" xfId="0" applyNumberFormat="1" applyFill="1" applyAlignment="1">
      <alignment horizontal="center"/>
    </xf>
    <xf numFmtId="2" fontId="29" fillId="6" borderId="0" xfId="0" applyNumberFormat="1" applyFont="1" applyFill="1" applyBorder="1" applyAlignment="1">
      <alignment horizontal="right"/>
    </xf>
    <xf numFmtId="0" fontId="31" fillId="2" borderId="22" xfId="0" applyFont="1" applyFill="1" applyBorder="1" applyAlignment="1">
      <alignment horizontal="center" vertical="center" wrapText="1"/>
    </xf>
    <xf numFmtId="2" fontId="0" fillId="2" borderId="0" xfId="0" applyNumberFormat="1" applyFill="1" applyBorder="1" applyAlignment="1">
      <alignment horizontal="center"/>
    </xf>
    <xf numFmtId="186" fontId="0" fillId="10" borderId="0" xfId="0" applyNumberFormat="1" applyFill="1" applyBorder="1" applyAlignment="1">
      <alignment horizontal="center"/>
    </xf>
    <xf numFmtId="0" fontId="0" fillId="2" borderId="25" xfId="0" applyFill="1" applyBorder="1"/>
    <xf numFmtId="188" fontId="29" fillId="2" borderId="0" xfId="0" applyNumberFormat="1" applyFont="1" applyFill="1" applyBorder="1" applyAlignment="1">
      <alignment horizontal="right"/>
    </xf>
    <xf numFmtId="1" fontId="3" fillId="3" borderId="0" xfId="0" applyNumberFormat="1" applyFont="1" applyFill="1" applyBorder="1" applyAlignment="1">
      <alignment horizontal="center"/>
    </xf>
    <xf numFmtId="0" fontId="0" fillId="0" borderId="0" xfId="0" applyProtection="1">
      <protection hidden="1"/>
    </xf>
    <xf numFmtId="0" fontId="9" fillId="2" borderId="9" xfId="0" applyFont="1" applyFill="1" applyBorder="1" applyAlignment="1" applyProtection="1">
      <alignment horizontal="center"/>
      <protection hidden="1"/>
    </xf>
    <xf numFmtId="0" fontId="9" fillId="2" borderId="10" xfId="0" applyFont="1" applyFill="1" applyBorder="1" applyAlignment="1" applyProtection="1">
      <alignment horizontal="center"/>
      <protection hidden="1"/>
    </xf>
    <xf numFmtId="0" fontId="9" fillId="2" borderId="11" xfId="0" applyFont="1" applyFill="1" applyBorder="1" applyAlignment="1" applyProtection="1">
      <alignment horizontal="center"/>
      <protection hidden="1"/>
    </xf>
    <xf numFmtId="0" fontId="16" fillId="4" borderId="0" xfId="0" applyFont="1" applyFill="1" applyBorder="1" applyAlignment="1" applyProtection="1">
      <alignment horizontal="left"/>
      <protection hidden="1"/>
    </xf>
    <xf numFmtId="0" fontId="33" fillId="4" borderId="0" xfId="0" applyFont="1" applyFill="1" applyBorder="1" applyAlignment="1" applyProtection="1">
      <alignment horizontal="left"/>
      <protection hidden="1"/>
    </xf>
    <xf numFmtId="0" fontId="17" fillId="4" borderId="0" xfId="0" applyFont="1" applyFill="1" applyBorder="1" applyAlignment="1" applyProtection="1">
      <alignment horizontal="right"/>
      <protection hidden="1"/>
    </xf>
    <xf numFmtId="0" fontId="17" fillId="4" borderId="0" xfId="0" applyFont="1" applyFill="1" applyBorder="1" applyAlignment="1" applyProtection="1">
      <alignment horizontal="left"/>
      <protection hidden="1"/>
    </xf>
    <xf numFmtId="0" fontId="9" fillId="8" borderId="0" xfId="0" applyFont="1" applyFill="1" applyProtection="1">
      <protection hidden="1"/>
    </xf>
    <xf numFmtId="0" fontId="9" fillId="2" borderId="0" xfId="0" applyFont="1" applyFill="1" applyAlignment="1" applyProtection="1">
      <alignment horizontal="right"/>
      <protection hidden="1"/>
    </xf>
    <xf numFmtId="0" fontId="36" fillId="8" borderId="0" xfId="0" applyFont="1" applyFill="1" applyProtection="1">
      <protection hidden="1"/>
    </xf>
    <xf numFmtId="0" fontId="1" fillId="8" borderId="0" xfId="0" applyFont="1" applyFill="1" applyProtection="1">
      <protection hidden="1"/>
    </xf>
    <xf numFmtId="0" fontId="0" fillId="2" borderId="0" xfId="0" applyFill="1" applyProtection="1">
      <protection hidden="1"/>
    </xf>
    <xf numFmtId="9" fontId="0" fillId="8" borderId="0" xfId="8" applyFont="1" applyFill="1" applyProtection="1">
      <protection hidden="1"/>
    </xf>
    <xf numFmtId="9" fontId="0" fillId="8" borderId="0" xfId="8" applyNumberFormat="1" applyFont="1" applyFill="1" applyProtection="1">
      <protection hidden="1"/>
    </xf>
    <xf numFmtId="0" fontId="9" fillId="2" borderId="0" xfId="0" applyFont="1" applyFill="1" applyAlignment="1" applyProtection="1">
      <alignment horizontal="center"/>
      <protection hidden="1"/>
    </xf>
    <xf numFmtId="0" fontId="9" fillId="2" borderId="0" xfId="0" applyFont="1" applyFill="1" applyAlignment="1" applyProtection="1">
      <alignment horizontal="left"/>
      <protection hidden="1"/>
    </xf>
    <xf numFmtId="9" fontId="0" fillId="8" borderId="0" xfId="8" applyFont="1" applyFill="1" applyAlignment="1" applyProtection="1">
      <alignment horizontal="center"/>
      <protection hidden="1"/>
    </xf>
    <xf numFmtId="0" fontId="0" fillId="8" borderId="0" xfId="0" applyFill="1" applyProtection="1">
      <protection hidden="1"/>
    </xf>
    <xf numFmtId="1" fontId="0" fillId="2" borderId="0" xfId="0" applyNumberFormat="1" applyFill="1" applyProtection="1">
      <protection hidden="1"/>
    </xf>
    <xf numFmtId="0" fontId="0" fillId="6" borderId="0" xfId="0" applyFill="1" applyProtection="1">
      <protection hidden="1"/>
    </xf>
    <xf numFmtId="1" fontId="0" fillId="0" borderId="10" xfId="0" applyNumberFormat="1" applyBorder="1" applyProtection="1">
      <protection hidden="1"/>
    </xf>
    <xf numFmtId="1" fontId="0" fillId="0" borderId="0" xfId="0" applyNumberFormat="1" applyProtection="1">
      <protection hidden="1"/>
    </xf>
    <xf numFmtId="0" fontId="9" fillId="0" borderId="0" xfId="0" applyFont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2" fontId="0" fillId="2" borderId="9" xfId="0" applyNumberFormat="1" applyFill="1" applyBorder="1" applyProtection="1">
      <protection hidden="1"/>
    </xf>
    <xf numFmtId="2" fontId="0" fillId="2" borderId="10" xfId="0" applyNumberFormat="1" applyFill="1" applyBorder="1" applyProtection="1">
      <protection hidden="1"/>
    </xf>
    <xf numFmtId="2" fontId="0" fillId="2" borderId="11" xfId="0" applyNumberFormat="1" applyFill="1" applyBorder="1" applyProtection="1">
      <protection hidden="1"/>
    </xf>
    <xf numFmtId="0" fontId="0" fillId="2" borderId="9" xfId="0" applyFill="1" applyBorder="1" applyProtection="1">
      <protection hidden="1"/>
    </xf>
    <xf numFmtId="0" fontId="0" fillId="2" borderId="10" xfId="0" applyFill="1" applyBorder="1" applyProtection="1">
      <protection hidden="1"/>
    </xf>
    <xf numFmtId="0" fontId="0" fillId="2" borderId="11" xfId="0" applyFill="1" applyBorder="1" applyProtection="1">
      <protection hidden="1"/>
    </xf>
    <xf numFmtId="2" fontId="0" fillId="3" borderId="16" xfId="0" applyNumberFormat="1" applyFill="1" applyBorder="1" applyProtection="1">
      <protection hidden="1"/>
    </xf>
    <xf numFmtId="2" fontId="0" fillId="3" borderId="7" xfId="0" applyNumberFormat="1" applyFill="1" applyBorder="1" applyProtection="1">
      <protection hidden="1"/>
    </xf>
    <xf numFmtId="2" fontId="0" fillId="3" borderId="18" xfId="0" applyNumberFormat="1" applyFill="1" applyBorder="1" applyProtection="1">
      <protection hidden="1"/>
    </xf>
    <xf numFmtId="2" fontId="0" fillId="3" borderId="20" xfId="0" applyNumberFormat="1" applyFill="1" applyBorder="1" applyProtection="1">
      <protection hidden="1"/>
    </xf>
    <xf numFmtId="2" fontId="0" fillId="3" borderId="0" xfId="0" applyNumberFormat="1" applyFill="1" applyBorder="1" applyProtection="1">
      <protection hidden="1"/>
    </xf>
    <xf numFmtId="2" fontId="0" fillId="3" borderId="23" xfId="0" applyNumberFormat="1" applyFill="1" applyBorder="1" applyProtection="1">
      <protection hidden="1"/>
    </xf>
    <xf numFmtId="2" fontId="0" fillId="3" borderId="17" xfId="0" applyNumberFormat="1" applyFill="1" applyBorder="1" applyProtection="1">
      <protection hidden="1"/>
    </xf>
    <xf numFmtId="2" fontId="0" fillId="3" borderId="24" xfId="0" applyNumberFormat="1" applyFill="1" applyBorder="1" applyProtection="1">
      <protection hidden="1"/>
    </xf>
    <xf numFmtId="2" fontId="0" fillId="3" borderId="19" xfId="0" applyNumberFormat="1" applyFill="1" applyBorder="1" applyProtection="1">
      <protection hidden="1"/>
    </xf>
    <xf numFmtId="1" fontId="0" fillId="3" borderId="9" xfId="0" applyNumberFormat="1" applyFill="1" applyBorder="1" applyProtection="1">
      <protection hidden="1"/>
    </xf>
    <xf numFmtId="1" fontId="0" fillId="3" borderId="10" xfId="0" applyNumberFormat="1" applyFill="1" applyBorder="1" applyProtection="1">
      <protection hidden="1"/>
    </xf>
    <xf numFmtId="1" fontId="0" fillId="3" borderId="11" xfId="0" applyNumberFormat="1" applyFill="1" applyBorder="1" applyProtection="1">
      <protection hidden="1"/>
    </xf>
    <xf numFmtId="1" fontId="0" fillId="3" borderId="15" xfId="0" applyNumberFormat="1" applyFill="1" applyBorder="1" applyProtection="1">
      <protection hidden="1"/>
    </xf>
    <xf numFmtId="1" fontId="0" fillId="9" borderId="10" xfId="0" applyNumberFormat="1" applyFill="1" applyBorder="1" applyProtection="1">
      <protection hidden="1"/>
    </xf>
    <xf numFmtId="0" fontId="9" fillId="0" borderId="24" xfId="0" applyFont="1" applyBorder="1" applyAlignment="1" applyProtection="1">
      <alignment horizontal="center"/>
      <protection hidden="1"/>
    </xf>
    <xf numFmtId="0" fontId="0" fillId="0" borderId="24" xfId="0" applyBorder="1" applyAlignment="1" applyProtection="1">
      <alignment horizontal="center"/>
      <protection hidden="1"/>
    </xf>
    <xf numFmtId="0" fontId="0" fillId="0" borderId="24" xfId="0" applyBorder="1" applyProtection="1">
      <protection hidden="1"/>
    </xf>
    <xf numFmtId="188" fontId="0" fillId="3" borderId="0" xfId="0" applyNumberFormat="1" applyFill="1" applyProtection="1">
      <protection hidden="1"/>
    </xf>
    <xf numFmtId="188" fontId="0" fillId="2" borderId="21" xfId="0" applyNumberFormat="1" applyFill="1" applyBorder="1" applyAlignment="1" applyProtection="1">
      <alignment horizontal="center"/>
      <protection hidden="1"/>
    </xf>
    <xf numFmtId="1" fontId="0" fillId="8" borderId="13" xfId="0" applyNumberFormat="1" applyFill="1" applyBorder="1" applyAlignment="1" applyProtection="1">
      <alignment horizontal="center"/>
      <protection hidden="1"/>
    </xf>
    <xf numFmtId="188" fontId="0" fillId="0" borderId="0" xfId="0" applyNumberFormat="1" applyProtection="1">
      <protection hidden="1"/>
    </xf>
    <xf numFmtId="0" fontId="0" fillId="2" borderId="21" xfId="0" applyFill="1" applyBorder="1" applyAlignment="1" applyProtection="1">
      <alignment horizontal="center"/>
      <protection hidden="1"/>
    </xf>
    <xf numFmtId="0" fontId="0" fillId="2" borderId="21" xfId="0" applyFill="1" applyBorder="1" applyAlignment="1" applyProtection="1">
      <protection hidden="1"/>
    </xf>
    <xf numFmtId="1" fontId="0" fillId="8" borderId="21" xfId="0" applyNumberFormat="1" applyFill="1" applyBorder="1" applyAlignment="1" applyProtection="1">
      <alignment horizontal="center"/>
      <protection hidden="1"/>
    </xf>
    <xf numFmtId="2" fontId="0" fillId="2" borderId="21" xfId="0" applyNumberFormat="1" applyFill="1" applyBorder="1" applyAlignment="1" applyProtection="1">
      <alignment horizontal="center"/>
      <protection hidden="1"/>
    </xf>
    <xf numFmtId="1" fontId="0" fillId="8" borderId="14" xfId="0" applyNumberFormat="1" applyFill="1" applyBorder="1" applyAlignment="1" applyProtection="1">
      <alignment horizontal="center"/>
      <protection hidden="1"/>
    </xf>
    <xf numFmtId="188" fontId="0" fillId="0" borderId="10" xfId="0" applyNumberFormat="1" applyBorder="1" applyProtection="1">
      <protection hidden="1"/>
    </xf>
    <xf numFmtId="0" fontId="0" fillId="0" borderId="10" xfId="0" applyBorder="1" applyProtection="1">
      <protection hidden="1"/>
    </xf>
    <xf numFmtId="1" fontId="0" fillId="0" borderId="10" xfId="0" applyNumberFormat="1" applyBorder="1" applyAlignment="1" applyProtection="1">
      <alignment horizontal="center"/>
      <protection hidden="1"/>
    </xf>
    <xf numFmtId="1" fontId="0" fillId="3" borderId="16" xfId="0" applyNumberFormat="1" applyFill="1" applyBorder="1" applyProtection="1">
      <protection hidden="1"/>
    </xf>
    <xf numFmtId="1" fontId="0" fillId="3" borderId="7" xfId="0" applyNumberFormat="1" applyFill="1" applyBorder="1" applyProtection="1">
      <protection hidden="1"/>
    </xf>
    <xf numFmtId="1" fontId="0" fillId="3" borderId="18" xfId="0" applyNumberFormat="1" applyFill="1" applyBorder="1" applyProtection="1">
      <protection hidden="1"/>
    </xf>
    <xf numFmtId="1" fontId="0" fillId="3" borderId="20" xfId="0" applyNumberFormat="1" applyFill="1" applyBorder="1" applyProtection="1">
      <protection hidden="1"/>
    </xf>
    <xf numFmtId="1" fontId="0" fillId="3" borderId="0" xfId="0" applyNumberFormat="1" applyFill="1" applyBorder="1" applyProtection="1">
      <protection hidden="1"/>
    </xf>
    <xf numFmtId="1" fontId="0" fillId="3" borderId="23" xfId="0" applyNumberFormat="1" applyFill="1" applyBorder="1" applyProtection="1">
      <protection hidden="1"/>
    </xf>
    <xf numFmtId="1" fontId="0" fillId="3" borderId="17" xfId="0" applyNumberFormat="1" applyFill="1" applyBorder="1" applyProtection="1">
      <protection hidden="1"/>
    </xf>
    <xf numFmtId="1" fontId="0" fillId="3" borderId="24" xfId="0" applyNumberFormat="1" applyFill="1" applyBorder="1" applyProtection="1">
      <protection hidden="1"/>
    </xf>
    <xf numFmtId="1" fontId="0" fillId="3" borderId="19" xfId="0" applyNumberFormat="1" applyFill="1" applyBorder="1" applyProtection="1">
      <protection hidden="1"/>
    </xf>
    <xf numFmtId="1" fontId="0" fillId="2" borderId="24" xfId="0" applyNumberFormat="1" applyFill="1" applyBorder="1" applyProtection="1">
      <protection hidden="1"/>
    </xf>
    <xf numFmtId="0" fontId="0" fillId="2" borderId="24" xfId="0" applyFill="1" applyBorder="1" applyProtection="1">
      <protection hidden="1"/>
    </xf>
    <xf numFmtId="0" fontId="9" fillId="0" borderId="0" xfId="0" applyFont="1" applyProtection="1">
      <protection hidden="1"/>
    </xf>
    <xf numFmtId="186" fontId="0" fillId="2" borderId="9" xfId="0" applyNumberFormat="1" applyFill="1" applyBorder="1" applyProtection="1">
      <protection hidden="1"/>
    </xf>
    <xf numFmtId="186" fontId="0" fillId="2" borderId="10" xfId="0" applyNumberFormat="1" applyFill="1" applyBorder="1" applyProtection="1">
      <protection hidden="1"/>
    </xf>
    <xf numFmtId="186" fontId="0" fillId="2" borderId="11" xfId="0" applyNumberFormat="1" applyFill="1" applyBorder="1" applyProtection="1">
      <protection hidden="1"/>
    </xf>
    <xf numFmtId="191" fontId="0" fillId="3" borderId="0" xfId="0" applyNumberFormat="1" applyFill="1" applyProtection="1">
      <protection hidden="1"/>
    </xf>
    <xf numFmtId="1" fontId="0" fillId="3" borderId="0" xfId="0" applyNumberFormat="1" applyFill="1" applyProtection="1">
      <protection hidden="1"/>
    </xf>
    <xf numFmtId="0" fontId="9" fillId="2" borderId="9" xfId="0" applyFont="1" applyFill="1" applyBorder="1" applyProtection="1">
      <protection hidden="1"/>
    </xf>
    <xf numFmtId="0" fontId="9" fillId="2" borderId="15" xfId="0" applyFont="1" applyFill="1" applyBorder="1" applyAlignment="1" applyProtection="1">
      <alignment horizontal="center"/>
      <protection hidden="1"/>
    </xf>
    <xf numFmtId="0" fontId="16" fillId="4" borderId="0" xfId="0" applyFont="1" applyFill="1" applyBorder="1" applyProtection="1">
      <protection hidden="1"/>
    </xf>
    <xf numFmtId="0" fontId="17" fillId="4" borderId="0" xfId="0" applyFont="1" applyFill="1" applyBorder="1" applyProtection="1">
      <protection hidden="1"/>
    </xf>
    <xf numFmtId="0" fontId="7" fillId="2" borderId="6" xfId="0" applyFont="1" applyFill="1" applyBorder="1" applyAlignment="1" applyProtection="1">
      <alignment horizontal="left" vertical="center" wrapText="1"/>
      <protection hidden="1"/>
    </xf>
    <xf numFmtId="0" fontId="7" fillId="2" borderId="22" xfId="0" applyFont="1" applyFill="1" applyBorder="1" applyAlignment="1" applyProtection="1">
      <alignment horizontal="left" vertical="center" wrapText="1"/>
      <protection hidden="1"/>
    </xf>
    <xf numFmtId="0" fontId="7" fillId="2" borderId="22" xfId="0" applyFont="1" applyFill="1" applyBorder="1" applyAlignment="1" applyProtection="1">
      <alignment horizontal="center" vertical="center" wrapText="1"/>
      <protection hidden="1"/>
    </xf>
    <xf numFmtId="0" fontId="7" fillId="2" borderId="6" xfId="0" applyFont="1" applyFill="1" applyBorder="1" applyAlignment="1" applyProtection="1">
      <alignment horizontal="center" vertical="center" wrapText="1"/>
      <protection hidden="1"/>
    </xf>
    <xf numFmtId="0" fontId="43" fillId="5" borderId="26" xfId="3" applyFill="1" applyBorder="1" applyAlignment="1" applyProtection="1">
      <alignment horizontal="centerContinuous" wrapText="1"/>
      <protection hidden="1"/>
    </xf>
    <xf numFmtId="0" fontId="43" fillId="5" borderId="29" xfId="3" applyFill="1" applyAlignment="1" applyProtection="1">
      <alignment horizontal="centerContinuous" wrapText="1"/>
      <protection hidden="1"/>
    </xf>
    <xf numFmtId="0" fontId="0" fillId="6" borderId="12" xfId="0" applyFill="1" applyBorder="1" applyAlignment="1" applyProtection="1">
      <alignment horizontal="center"/>
      <protection hidden="1"/>
    </xf>
    <xf numFmtId="0" fontId="0" fillId="10" borderId="0" xfId="0" applyFill="1" applyProtection="1">
      <protection hidden="1"/>
    </xf>
    <xf numFmtId="188" fontId="0" fillId="10" borderId="0" xfId="0" applyNumberFormat="1" applyFill="1" applyProtection="1">
      <protection hidden="1"/>
    </xf>
    <xf numFmtId="0" fontId="0" fillId="10" borderId="20" xfId="0" applyFill="1" applyBorder="1" applyProtection="1">
      <protection hidden="1"/>
    </xf>
    <xf numFmtId="0" fontId="0" fillId="10" borderId="20" xfId="0" applyFill="1" applyBorder="1" applyAlignment="1" applyProtection="1">
      <alignment horizontal="center"/>
      <protection hidden="1"/>
    </xf>
    <xf numFmtId="0" fontId="0" fillId="10" borderId="0" xfId="0" applyFill="1" applyAlignment="1" applyProtection="1">
      <alignment horizontal="center"/>
      <protection hidden="1"/>
    </xf>
    <xf numFmtId="2" fontId="0" fillId="10" borderId="0" xfId="0" applyNumberFormat="1" applyFill="1" applyAlignment="1" applyProtection="1">
      <alignment horizontal="center"/>
      <protection hidden="1"/>
    </xf>
    <xf numFmtId="0" fontId="0" fillId="2" borderId="20" xfId="0" applyFill="1" applyBorder="1" applyAlignment="1" applyProtection="1">
      <alignment horizontal="center"/>
      <protection hidden="1"/>
    </xf>
    <xf numFmtId="0" fontId="0" fillId="6" borderId="14" xfId="0" applyFill="1" applyBorder="1" applyAlignment="1" applyProtection="1">
      <alignment horizontal="center"/>
      <protection hidden="1"/>
    </xf>
    <xf numFmtId="0" fontId="0" fillId="6" borderId="15" xfId="0" applyFill="1" applyBorder="1" applyAlignment="1" applyProtection="1">
      <alignment horizontal="center"/>
      <protection hidden="1"/>
    </xf>
    <xf numFmtId="0" fontId="9" fillId="2" borderId="9" xfId="0" applyFont="1" applyFill="1" applyBorder="1" applyAlignment="1" applyProtection="1">
      <alignment horizontal="right"/>
      <protection hidden="1"/>
    </xf>
    <xf numFmtId="0" fontId="9" fillId="2" borderId="10" xfId="0" applyFont="1" applyFill="1" applyBorder="1" applyAlignment="1" applyProtection="1">
      <alignment horizontal="right"/>
      <protection hidden="1"/>
    </xf>
    <xf numFmtId="0" fontId="9" fillId="2" borderId="20" xfId="0" applyFont="1" applyFill="1" applyBorder="1" applyAlignment="1" applyProtection="1">
      <alignment horizontal="center"/>
      <protection hidden="1"/>
    </xf>
    <xf numFmtId="2" fontId="0" fillId="8" borderId="0" xfId="8" applyNumberFormat="1" applyFont="1" applyFill="1" applyProtection="1">
      <protection hidden="1"/>
    </xf>
    <xf numFmtId="0" fontId="7" fillId="2" borderId="6" xfId="0" applyFont="1" applyFill="1" applyBorder="1" applyAlignment="1" applyProtection="1">
      <alignment vertical="center" wrapText="1"/>
      <protection hidden="1"/>
    </xf>
    <xf numFmtId="2" fontId="7" fillId="2" borderId="6" xfId="0" applyNumberFormat="1" applyFont="1" applyFill="1" applyBorder="1" applyAlignment="1" applyProtection="1">
      <alignment horizontal="center" vertical="center" wrapText="1"/>
      <protection hidden="1"/>
    </xf>
    <xf numFmtId="2" fontId="0" fillId="8" borderId="10" xfId="8" applyNumberFormat="1" applyFont="1" applyFill="1" applyBorder="1" applyProtection="1">
      <protection hidden="1"/>
    </xf>
    <xf numFmtId="189" fontId="0" fillId="0" borderId="0" xfId="0" applyNumberFormat="1" applyProtection="1">
      <protection hidden="1"/>
    </xf>
    <xf numFmtId="0" fontId="9" fillId="2" borderId="7" xfId="0" applyFont="1" applyFill="1" applyBorder="1" applyAlignment="1" applyProtection="1">
      <alignment horizontal="left" vertical="center" wrapText="1"/>
      <protection hidden="1"/>
    </xf>
    <xf numFmtId="0" fontId="9" fillId="2" borderId="7" xfId="0" applyFont="1" applyFill="1" applyBorder="1" applyAlignment="1" applyProtection="1">
      <alignment vertical="center" wrapText="1"/>
      <protection hidden="1"/>
    </xf>
    <xf numFmtId="0" fontId="9" fillId="5" borderId="9" xfId="0" applyFont="1" applyFill="1" applyBorder="1" applyAlignment="1" applyProtection="1">
      <alignment horizontal="center"/>
      <protection hidden="1"/>
    </xf>
    <xf numFmtId="0" fontId="9" fillId="5" borderId="11" xfId="0" applyFont="1" applyFill="1" applyBorder="1" applyAlignment="1" applyProtection="1">
      <alignment horizontal="center"/>
      <protection hidden="1"/>
    </xf>
    <xf numFmtId="0" fontId="0" fillId="6" borderId="0" xfId="0" applyFill="1" applyAlignment="1" applyProtection="1">
      <alignment horizontal="center"/>
      <protection hidden="1"/>
    </xf>
    <xf numFmtId="0" fontId="43" fillId="5" borderId="29" xfId="3" applyFill="1" applyProtection="1">
      <protection hidden="1"/>
    </xf>
    <xf numFmtId="0" fontId="44" fillId="8" borderId="30" xfId="4" applyFill="1" applyProtection="1">
      <protection hidden="1"/>
    </xf>
    <xf numFmtId="0" fontId="44" fillId="8" borderId="30" xfId="4" applyFill="1" applyAlignment="1" applyProtection="1">
      <alignment horizontal="right"/>
      <protection hidden="1"/>
    </xf>
    <xf numFmtId="0" fontId="44" fillId="8" borderId="27" xfId="4" applyFill="1" applyBorder="1" applyAlignment="1" applyProtection="1">
      <alignment horizontal="right"/>
      <protection hidden="1"/>
    </xf>
    <xf numFmtId="9" fontId="7" fillId="8" borderId="0" xfId="8" applyFont="1" applyFill="1" applyProtection="1">
      <protection hidden="1"/>
    </xf>
    <xf numFmtId="2" fontId="7" fillId="8" borderId="0" xfId="0" applyNumberFormat="1" applyFont="1" applyFill="1" applyProtection="1">
      <protection hidden="1"/>
    </xf>
    <xf numFmtId="2" fontId="45" fillId="14" borderId="28" xfId="5" applyNumberFormat="1" applyProtection="1">
      <protection hidden="1"/>
    </xf>
    <xf numFmtId="1" fontId="7" fillId="8" borderId="0" xfId="0" applyNumberFormat="1" applyFont="1" applyFill="1" applyAlignment="1" applyProtection="1">
      <alignment horizontal="center"/>
      <protection hidden="1"/>
    </xf>
    <xf numFmtId="1" fontId="7" fillId="8" borderId="0" xfId="0" applyNumberFormat="1" applyFont="1" applyFill="1" applyProtection="1">
      <protection hidden="1"/>
    </xf>
    <xf numFmtId="1" fontId="7" fillId="8" borderId="21" xfId="0" applyNumberFormat="1" applyFont="1" applyFill="1" applyBorder="1" applyProtection="1">
      <protection hidden="1"/>
    </xf>
    <xf numFmtId="9" fontId="21" fillId="8" borderId="0" xfId="8" applyFont="1" applyFill="1" applyProtection="1">
      <protection hidden="1"/>
    </xf>
    <xf numFmtId="0" fontId="37" fillId="5" borderId="29" xfId="3" applyFont="1" applyFill="1" applyProtection="1">
      <protection hidden="1"/>
    </xf>
    <xf numFmtId="188" fontId="7" fillId="8" borderId="0" xfId="0" applyNumberFormat="1" applyFont="1" applyFill="1" applyProtection="1">
      <protection hidden="1"/>
    </xf>
    <xf numFmtId="0" fontId="0" fillId="9" borderId="10" xfId="0" applyFill="1" applyBorder="1" applyProtection="1">
      <protection hidden="1"/>
    </xf>
    <xf numFmtId="0" fontId="9" fillId="9" borderId="10" xfId="0" applyFont="1" applyFill="1" applyBorder="1" applyProtection="1">
      <protection hidden="1"/>
    </xf>
    <xf numFmtId="0" fontId="9" fillId="5" borderId="10" xfId="0" applyFont="1" applyFill="1" applyBorder="1" applyAlignment="1" applyProtection="1">
      <alignment horizontal="center"/>
      <protection hidden="1"/>
    </xf>
    <xf numFmtId="9" fontId="1" fillId="8" borderId="0" xfId="8" applyFill="1" applyAlignment="1" applyProtection="1">
      <alignment horizontal="center"/>
      <protection hidden="1"/>
    </xf>
    <xf numFmtId="0" fontId="0" fillId="6" borderId="21" xfId="0" applyFill="1" applyBorder="1" applyAlignment="1" applyProtection="1">
      <alignment horizontal="center"/>
      <protection hidden="1"/>
    </xf>
    <xf numFmtId="0" fontId="0" fillId="0" borderId="0" xfId="0" applyAlignment="1" applyProtection="1">
      <alignment horizontal="right"/>
      <protection hidden="1"/>
    </xf>
    <xf numFmtId="0" fontId="0" fillId="2" borderId="15" xfId="0" applyFill="1" applyBorder="1" applyAlignment="1" applyProtection="1">
      <alignment horizontal="center"/>
      <protection hidden="1"/>
    </xf>
    <xf numFmtId="0" fontId="0" fillId="2" borderId="0" xfId="0" applyFill="1" applyAlignment="1" applyProtection="1">
      <alignment horizontal="center"/>
      <protection hidden="1"/>
    </xf>
    <xf numFmtId="188" fontId="0" fillId="3" borderId="16" xfId="0" applyNumberFormat="1" applyFill="1" applyBorder="1" applyProtection="1">
      <protection hidden="1"/>
    </xf>
    <xf numFmtId="188" fontId="0" fillId="3" borderId="7" xfId="0" applyNumberFormat="1" applyFill="1" applyBorder="1" applyProtection="1">
      <protection hidden="1"/>
    </xf>
    <xf numFmtId="188" fontId="0" fillId="3" borderId="18" xfId="0" applyNumberFormat="1" applyFill="1" applyBorder="1" applyProtection="1">
      <protection hidden="1"/>
    </xf>
    <xf numFmtId="188" fontId="0" fillId="2" borderId="13" xfId="0" applyNumberFormat="1" applyFill="1" applyBorder="1" applyAlignment="1" applyProtection="1">
      <alignment horizontal="center"/>
      <protection hidden="1"/>
    </xf>
    <xf numFmtId="1" fontId="0" fillId="2" borderId="0" xfId="0" applyNumberFormat="1" applyFill="1" applyAlignment="1" applyProtection="1">
      <alignment horizontal="center"/>
      <protection hidden="1"/>
    </xf>
    <xf numFmtId="1" fontId="0" fillId="3" borderId="9" xfId="0" applyNumberFormat="1" applyFill="1" applyBorder="1" applyAlignment="1" applyProtection="1">
      <alignment horizontal="center"/>
      <protection hidden="1"/>
    </xf>
    <xf numFmtId="1" fontId="0" fillId="3" borderId="10" xfId="0" applyNumberFormat="1" applyFill="1" applyBorder="1" applyAlignment="1" applyProtection="1">
      <alignment horizontal="center"/>
      <protection hidden="1"/>
    </xf>
    <xf numFmtId="1" fontId="0" fillId="3" borderId="11" xfId="0" applyNumberFormat="1" applyFill="1" applyBorder="1" applyAlignment="1" applyProtection="1">
      <alignment horizontal="center"/>
      <protection hidden="1"/>
    </xf>
    <xf numFmtId="188" fontId="0" fillId="3" borderId="20" xfId="0" applyNumberFormat="1" applyFill="1" applyBorder="1" applyProtection="1">
      <protection hidden="1"/>
    </xf>
    <xf numFmtId="188" fontId="0" fillId="3" borderId="0" xfId="0" applyNumberFormat="1" applyFill="1" applyBorder="1" applyProtection="1">
      <protection hidden="1"/>
    </xf>
    <xf numFmtId="188" fontId="0" fillId="3" borderId="23" xfId="0" applyNumberFormat="1" applyFill="1" applyBorder="1" applyProtection="1">
      <protection hidden="1"/>
    </xf>
    <xf numFmtId="188" fontId="0" fillId="3" borderId="17" xfId="0" applyNumberFormat="1" applyFill="1" applyBorder="1" applyProtection="1">
      <protection hidden="1"/>
    </xf>
    <xf numFmtId="188" fontId="0" fillId="3" borderId="24" xfId="0" applyNumberFormat="1" applyFill="1" applyBorder="1" applyProtection="1">
      <protection hidden="1"/>
    </xf>
    <xf numFmtId="188" fontId="0" fillId="3" borderId="19" xfId="0" applyNumberFormat="1" applyFill="1" applyBorder="1" applyProtection="1">
      <protection hidden="1"/>
    </xf>
    <xf numFmtId="188" fontId="0" fillId="2" borderId="14" xfId="0" applyNumberFormat="1" applyFill="1" applyBorder="1" applyAlignment="1" applyProtection="1">
      <alignment horizontal="center"/>
      <protection hidden="1"/>
    </xf>
    <xf numFmtId="1" fontId="0" fillId="2" borderId="9" xfId="0" applyNumberFormat="1" applyFill="1" applyBorder="1" applyProtection="1">
      <protection hidden="1"/>
    </xf>
    <xf numFmtId="1" fontId="0" fillId="2" borderId="10" xfId="0" applyNumberFormat="1" applyFill="1" applyBorder="1" applyProtection="1">
      <protection hidden="1"/>
    </xf>
    <xf numFmtId="1" fontId="0" fillId="2" borderId="11" xfId="0" applyNumberFormat="1" applyFill="1" applyBorder="1" applyProtection="1">
      <protection hidden="1"/>
    </xf>
    <xf numFmtId="1" fontId="0" fillId="3" borderId="16" xfId="0" applyNumberFormat="1" applyFill="1" applyBorder="1" applyAlignment="1" applyProtection="1">
      <alignment horizontal="center"/>
      <protection hidden="1"/>
    </xf>
    <xf numFmtId="1" fontId="0" fillId="3" borderId="7" xfId="0" applyNumberFormat="1" applyFill="1" applyBorder="1" applyAlignment="1" applyProtection="1">
      <alignment horizontal="center"/>
      <protection hidden="1"/>
    </xf>
    <xf numFmtId="1" fontId="0" fillId="3" borderId="18" xfId="0" applyNumberFormat="1" applyFill="1" applyBorder="1" applyAlignment="1" applyProtection="1">
      <alignment horizontal="center"/>
      <protection hidden="1"/>
    </xf>
    <xf numFmtId="1" fontId="0" fillId="9" borderId="16" xfId="0" applyNumberFormat="1" applyFill="1" applyBorder="1" applyAlignment="1" applyProtection="1">
      <alignment horizontal="center"/>
      <protection hidden="1"/>
    </xf>
    <xf numFmtId="1" fontId="0" fillId="9" borderId="13" xfId="0" applyNumberFormat="1" applyFill="1" applyBorder="1" applyAlignment="1" applyProtection="1">
      <alignment horizontal="center"/>
      <protection hidden="1"/>
    </xf>
    <xf numFmtId="1" fontId="0" fillId="9" borderId="23" xfId="0" applyNumberFormat="1" applyFill="1" applyBorder="1" applyAlignment="1" applyProtection="1">
      <alignment horizontal="center"/>
      <protection hidden="1"/>
    </xf>
    <xf numFmtId="1" fontId="0" fillId="2" borderId="13" xfId="0" applyNumberFormat="1" applyFill="1" applyBorder="1" applyAlignment="1" applyProtection="1">
      <alignment horizontal="center"/>
      <protection hidden="1"/>
    </xf>
    <xf numFmtId="1" fontId="0" fillId="3" borderId="20" xfId="0" applyNumberFormat="1" applyFill="1" applyBorder="1" applyAlignment="1" applyProtection="1">
      <alignment horizontal="center"/>
      <protection hidden="1"/>
    </xf>
    <xf numFmtId="1" fontId="0" fillId="3" borderId="0" xfId="0" applyNumberFormat="1" applyFill="1" applyBorder="1" applyAlignment="1" applyProtection="1">
      <alignment horizontal="center"/>
      <protection hidden="1"/>
    </xf>
    <xf numFmtId="1" fontId="0" fillId="3" borderId="23" xfId="0" applyNumberFormat="1" applyFill="1" applyBorder="1" applyAlignment="1" applyProtection="1">
      <alignment horizontal="center"/>
      <protection hidden="1"/>
    </xf>
    <xf numFmtId="1" fontId="0" fillId="9" borderId="20" xfId="0" applyNumberFormat="1" applyFill="1" applyBorder="1" applyAlignment="1" applyProtection="1">
      <alignment horizontal="center"/>
      <protection hidden="1"/>
    </xf>
    <xf numFmtId="1" fontId="0" fillId="9" borderId="21" xfId="0" applyNumberFormat="1" applyFill="1" applyBorder="1" applyAlignment="1" applyProtection="1">
      <alignment horizontal="center"/>
      <protection hidden="1"/>
    </xf>
    <xf numFmtId="1" fontId="0" fillId="2" borderId="21" xfId="0" applyNumberFormat="1" applyFill="1" applyBorder="1" applyAlignment="1" applyProtection="1">
      <alignment horizontal="center"/>
      <protection hidden="1"/>
    </xf>
    <xf numFmtId="1" fontId="0" fillId="3" borderId="17" xfId="0" applyNumberFormat="1" applyFill="1" applyBorder="1" applyAlignment="1" applyProtection="1">
      <alignment horizontal="center"/>
      <protection hidden="1"/>
    </xf>
    <xf numFmtId="1" fontId="0" fillId="3" borderId="24" xfId="0" applyNumberFormat="1" applyFill="1" applyBorder="1" applyAlignment="1" applyProtection="1">
      <alignment horizontal="center"/>
      <protection hidden="1"/>
    </xf>
    <xf numFmtId="1" fontId="0" fillId="3" borderId="19" xfId="0" applyNumberFormat="1" applyFill="1" applyBorder="1" applyAlignment="1" applyProtection="1">
      <alignment horizontal="center"/>
      <protection hidden="1"/>
    </xf>
    <xf numFmtId="1" fontId="0" fillId="9" borderId="14" xfId="0" applyNumberFormat="1" applyFill="1" applyBorder="1" applyAlignment="1" applyProtection="1">
      <alignment horizontal="center"/>
      <protection hidden="1"/>
    </xf>
    <xf numFmtId="1" fontId="0" fillId="2" borderId="14" xfId="0" applyNumberFormat="1" applyFill="1" applyBorder="1" applyAlignment="1" applyProtection="1">
      <alignment horizontal="center"/>
      <protection hidden="1"/>
    </xf>
    <xf numFmtId="1" fontId="0" fillId="0" borderId="9" xfId="0" applyNumberFormat="1" applyBorder="1" applyAlignment="1" applyProtection="1">
      <alignment horizontal="center"/>
      <protection hidden="1"/>
    </xf>
    <xf numFmtId="1" fontId="0" fillId="0" borderId="11" xfId="0" applyNumberFormat="1" applyBorder="1" applyAlignment="1" applyProtection="1">
      <alignment horizontal="center"/>
      <protection hidden="1"/>
    </xf>
    <xf numFmtId="1" fontId="0" fillId="0" borderId="15" xfId="0" applyNumberFormat="1" applyBorder="1" applyAlignment="1" applyProtection="1">
      <alignment horizontal="center"/>
      <protection hidden="1"/>
    </xf>
    <xf numFmtId="1" fontId="0" fillId="0" borderId="0" xfId="0" applyNumberFormat="1" applyBorder="1" applyProtection="1">
      <protection hidden="1"/>
    </xf>
    <xf numFmtId="1" fontId="0" fillId="0" borderId="0" xfId="0" applyNumberFormat="1" applyBorder="1" applyAlignment="1" applyProtection="1">
      <alignment horizontal="center"/>
      <protection hidden="1"/>
    </xf>
    <xf numFmtId="0" fontId="0" fillId="0" borderId="0" xfId="0" applyBorder="1" applyProtection="1">
      <protection hidden="1"/>
    </xf>
    <xf numFmtId="188" fontId="0" fillId="0" borderId="0" xfId="0" applyNumberFormat="1" applyBorder="1" applyProtection="1">
      <protection hidden="1"/>
    </xf>
    <xf numFmtId="0" fontId="9" fillId="6" borderId="13" xfId="0" applyFont="1" applyFill="1" applyBorder="1" applyAlignment="1" applyProtection="1">
      <alignment horizontal="center"/>
      <protection hidden="1"/>
    </xf>
    <xf numFmtId="188" fontId="0" fillId="6" borderId="14" xfId="0" applyNumberFormat="1" applyFill="1" applyBorder="1" applyAlignment="1" applyProtection="1">
      <alignment horizontal="center"/>
      <protection hidden="1"/>
    </xf>
    <xf numFmtId="9" fontId="1" fillId="8" borderId="0" xfId="8" applyNumberFormat="1" applyFill="1" applyAlignment="1" applyProtection="1">
      <alignment horizontal="center"/>
      <protection hidden="1"/>
    </xf>
    <xf numFmtId="2" fontId="0" fillId="0" borderId="0" xfId="0" applyNumberFormat="1" applyProtection="1">
      <protection hidden="1"/>
    </xf>
    <xf numFmtId="190" fontId="0" fillId="0" borderId="0" xfId="0" applyNumberFormat="1" applyProtection="1">
      <protection hidden="1"/>
    </xf>
    <xf numFmtId="186" fontId="0" fillId="2" borderId="15" xfId="0" applyNumberFormat="1" applyFill="1" applyBorder="1" applyAlignment="1" applyProtection="1">
      <alignment horizontal="center"/>
      <protection hidden="1"/>
    </xf>
    <xf numFmtId="0" fontId="0" fillId="2" borderId="13" xfId="0" applyFill="1" applyBorder="1" applyAlignment="1" applyProtection="1">
      <alignment horizontal="center"/>
      <protection hidden="1"/>
    </xf>
    <xf numFmtId="0" fontId="0" fillId="2" borderId="14" xfId="0" applyFill="1" applyBorder="1" applyAlignment="1" applyProtection="1">
      <alignment horizontal="center"/>
      <protection hidden="1"/>
    </xf>
    <xf numFmtId="0" fontId="9" fillId="0" borderId="24" xfId="0" applyFont="1" applyBorder="1" applyProtection="1">
      <protection hidden="1"/>
    </xf>
    <xf numFmtId="0" fontId="0" fillId="0" borderId="21" xfId="0" applyBorder="1" applyProtection="1">
      <protection hidden="1"/>
    </xf>
    <xf numFmtId="0" fontId="0" fillId="0" borderId="13" xfId="0" applyBorder="1" applyProtection="1">
      <protection hidden="1"/>
    </xf>
    <xf numFmtId="191" fontId="0" fillId="8" borderId="0" xfId="0" applyNumberFormat="1" applyFill="1" applyProtection="1">
      <protection hidden="1"/>
    </xf>
    <xf numFmtId="1" fontId="0" fillId="2" borderId="16" xfId="0" applyNumberFormat="1" applyFill="1" applyBorder="1" applyProtection="1">
      <protection hidden="1"/>
    </xf>
    <xf numFmtId="1" fontId="0" fillId="2" borderId="13" xfId="0" applyNumberFormat="1" applyFill="1" applyBorder="1" applyProtection="1">
      <protection hidden="1"/>
    </xf>
    <xf numFmtId="1" fontId="0" fillId="2" borderId="20" xfId="0" applyNumberFormat="1" applyFill="1" applyBorder="1" applyProtection="1">
      <protection hidden="1"/>
    </xf>
    <xf numFmtId="1" fontId="0" fillId="2" borderId="21" xfId="0" applyNumberFormat="1" applyFill="1" applyBorder="1" applyProtection="1">
      <protection hidden="1"/>
    </xf>
    <xf numFmtId="188" fontId="0" fillId="2" borderId="17" xfId="0" applyNumberFormat="1" applyFill="1" applyBorder="1" applyProtection="1">
      <protection hidden="1"/>
    </xf>
    <xf numFmtId="188" fontId="0" fillId="2" borderId="24" xfId="0" applyNumberFormat="1" applyFill="1" applyBorder="1" applyProtection="1">
      <protection hidden="1"/>
    </xf>
    <xf numFmtId="2" fontId="0" fillId="2" borderId="24" xfId="0" applyNumberFormat="1" applyFill="1" applyBorder="1" applyProtection="1">
      <protection hidden="1"/>
    </xf>
    <xf numFmtId="1" fontId="0" fillId="2" borderId="14" xfId="0" applyNumberFormat="1" applyFill="1" applyBorder="1" applyProtection="1">
      <protection hidden="1"/>
    </xf>
    <xf numFmtId="1" fontId="0" fillId="2" borderId="17" xfId="0" applyNumberFormat="1" applyFill="1" applyBorder="1" applyProtection="1">
      <protection hidden="1"/>
    </xf>
    <xf numFmtId="1" fontId="0" fillId="2" borderId="0" xfId="0" applyNumberFormat="1" applyFill="1" applyBorder="1" applyProtection="1">
      <protection hidden="1"/>
    </xf>
    <xf numFmtId="1" fontId="0" fillId="2" borderId="15" xfId="0" applyNumberFormat="1" applyFill="1" applyBorder="1" applyProtection="1">
      <protection hidden="1"/>
    </xf>
    <xf numFmtId="0" fontId="0" fillId="7" borderId="24" xfId="0" applyFill="1" applyBorder="1" applyProtection="1">
      <protection hidden="1"/>
    </xf>
    <xf numFmtId="1" fontId="0" fillId="2" borderId="7" xfId="0" applyNumberFormat="1" applyFill="1" applyBorder="1" applyProtection="1">
      <protection hidden="1"/>
    </xf>
    <xf numFmtId="2" fontId="0" fillId="7" borderId="16" xfId="0" applyNumberFormat="1" applyFill="1" applyBorder="1" applyProtection="1">
      <protection hidden="1"/>
    </xf>
    <xf numFmtId="2" fontId="0" fillId="7" borderId="7" xfId="0" applyNumberFormat="1" applyFill="1" applyBorder="1" applyProtection="1">
      <protection hidden="1"/>
    </xf>
    <xf numFmtId="2" fontId="0" fillId="6" borderId="16" xfId="0" applyNumberFormat="1" applyFill="1" applyBorder="1" applyAlignment="1" applyProtection="1">
      <alignment horizontal="center"/>
      <protection hidden="1"/>
    </xf>
    <xf numFmtId="2" fontId="0" fillId="6" borderId="18" xfId="0" applyNumberFormat="1" applyFill="1" applyBorder="1" applyAlignment="1" applyProtection="1">
      <alignment horizontal="center"/>
      <protection hidden="1"/>
    </xf>
    <xf numFmtId="0" fontId="0" fillId="0" borderId="0" xfId="0" applyFill="1" applyAlignment="1" applyProtection="1">
      <alignment horizontal="center"/>
      <protection hidden="1"/>
    </xf>
    <xf numFmtId="188" fontId="0" fillId="2" borderId="16" xfId="0" applyNumberFormat="1" applyFill="1" applyBorder="1" applyProtection="1">
      <protection hidden="1"/>
    </xf>
    <xf numFmtId="188" fontId="0" fillId="9" borderId="16" xfId="0" applyNumberFormat="1" applyFill="1" applyBorder="1" applyProtection="1">
      <protection hidden="1"/>
    </xf>
    <xf numFmtId="188" fontId="0" fillId="9" borderId="7" xfId="0" applyNumberFormat="1" applyFill="1" applyBorder="1" applyProtection="1">
      <protection hidden="1"/>
    </xf>
    <xf numFmtId="188" fontId="0" fillId="9" borderId="18" xfId="0" applyNumberFormat="1" applyFill="1" applyBorder="1" applyProtection="1">
      <protection hidden="1"/>
    </xf>
    <xf numFmtId="2" fontId="0" fillId="2" borderId="16" xfId="0" applyNumberFormat="1" applyFill="1" applyBorder="1" applyProtection="1">
      <protection hidden="1"/>
    </xf>
    <xf numFmtId="0" fontId="0" fillId="3" borderId="0" xfId="0" applyFill="1" applyAlignment="1" applyProtection="1">
      <alignment horizontal="center"/>
      <protection hidden="1"/>
    </xf>
    <xf numFmtId="1" fontId="0" fillId="0" borderId="0" xfId="0" applyNumberFormat="1" applyAlignment="1" applyProtection="1">
      <alignment horizontal="center"/>
      <protection hidden="1"/>
    </xf>
    <xf numFmtId="2" fontId="0" fillId="7" borderId="20" xfId="0" applyNumberFormat="1" applyFill="1" applyBorder="1" applyProtection="1">
      <protection hidden="1"/>
    </xf>
    <xf numFmtId="2" fontId="0" fillId="7" borderId="0" xfId="0" applyNumberFormat="1" applyFill="1" applyBorder="1" applyProtection="1">
      <protection hidden="1"/>
    </xf>
    <xf numFmtId="2" fontId="0" fillId="6" borderId="20" xfId="0" applyNumberFormat="1" applyFill="1" applyBorder="1" applyAlignment="1" applyProtection="1">
      <alignment horizontal="center"/>
      <protection hidden="1"/>
    </xf>
    <xf numFmtId="2" fontId="0" fillId="6" borderId="23" xfId="0" applyNumberFormat="1" applyFill="1" applyBorder="1" applyAlignment="1" applyProtection="1">
      <alignment horizontal="center"/>
      <protection hidden="1"/>
    </xf>
    <xf numFmtId="188" fontId="0" fillId="2" borderId="20" xfId="0" applyNumberFormat="1" applyFill="1" applyBorder="1" applyProtection="1">
      <protection hidden="1"/>
    </xf>
    <xf numFmtId="188" fontId="0" fillId="9" borderId="20" xfId="0" applyNumberFormat="1" applyFill="1" applyBorder="1" applyProtection="1">
      <protection hidden="1"/>
    </xf>
    <xf numFmtId="188" fontId="0" fillId="9" borderId="0" xfId="0" applyNumberFormat="1" applyFill="1" applyBorder="1" applyProtection="1">
      <protection hidden="1"/>
    </xf>
    <xf numFmtId="188" fontId="0" fillId="9" borderId="23" xfId="0" applyNumberFormat="1" applyFill="1" applyBorder="1" applyProtection="1">
      <protection hidden="1"/>
    </xf>
    <xf numFmtId="2" fontId="0" fillId="2" borderId="20" xfId="0" applyNumberFormat="1" applyFill="1" applyBorder="1" applyProtection="1">
      <protection hidden="1"/>
    </xf>
    <xf numFmtId="2" fontId="0" fillId="7" borderId="17" xfId="0" applyNumberFormat="1" applyFill="1" applyBorder="1" applyProtection="1">
      <protection hidden="1"/>
    </xf>
    <xf numFmtId="2" fontId="0" fillId="7" borderId="24" xfId="0" applyNumberFormat="1" applyFill="1" applyBorder="1" applyProtection="1">
      <protection hidden="1"/>
    </xf>
    <xf numFmtId="2" fontId="0" fillId="6" borderId="17" xfId="0" applyNumberFormat="1" applyFill="1" applyBorder="1" applyAlignment="1" applyProtection="1">
      <alignment horizontal="center"/>
      <protection hidden="1"/>
    </xf>
    <xf numFmtId="2" fontId="0" fillId="6" borderId="19" xfId="0" applyNumberFormat="1" applyFill="1" applyBorder="1" applyAlignment="1" applyProtection="1">
      <alignment horizontal="center"/>
      <protection hidden="1"/>
    </xf>
    <xf numFmtId="188" fontId="0" fillId="9" borderId="17" xfId="0" applyNumberFormat="1" applyFill="1" applyBorder="1" applyProtection="1">
      <protection hidden="1"/>
    </xf>
    <xf numFmtId="188" fontId="0" fillId="9" borderId="24" xfId="0" applyNumberFormat="1" applyFill="1" applyBorder="1" applyProtection="1">
      <protection hidden="1"/>
    </xf>
    <xf numFmtId="188" fontId="0" fillId="9" borderId="19" xfId="0" applyNumberFormat="1" applyFill="1" applyBorder="1" applyProtection="1">
      <protection hidden="1"/>
    </xf>
    <xf numFmtId="2" fontId="0" fillId="2" borderId="13" xfId="0" applyNumberFormat="1" applyFill="1" applyBorder="1" applyProtection="1">
      <protection hidden="1"/>
    </xf>
    <xf numFmtId="2" fontId="0" fillId="2" borderId="21" xfId="0" applyNumberFormat="1" applyFill="1" applyBorder="1" applyProtection="1">
      <protection hidden="1"/>
    </xf>
    <xf numFmtId="2" fontId="0" fillId="2" borderId="17" xfId="0" applyNumberFormat="1" applyFill="1" applyBorder="1" applyProtection="1">
      <protection hidden="1"/>
    </xf>
    <xf numFmtId="2" fontId="0" fillId="2" borderId="14" xfId="0" applyNumberFormat="1" applyFill="1" applyBorder="1" applyProtection="1">
      <protection hidden="1"/>
    </xf>
    <xf numFmtId="1" fontId="0" fillId="9" borderId="16" xfId="0" applyNumberFormat="1" applyFill="1" applyBorder="1" applyProtection="1">
      <protection hidden="1"/>
    </xf>
    <xf numFmtId="1" fontId="0" fillId="9" borderId="7" xfId="0" applyNumberFormat="1" applyFill="1" applyBorder="1" applyProtection="1">
      <protection hidden="1"/>
    </xf>
    <xf numFmtId="1" fontId="0" fillId="9" borderId="18" xfId="0" applyNumberFormat="1" applyFill="1" applyBorder="1" applyProtection="1">
      <protection hidden="1"/>
    </xf>
    <xf numFmtId="188" fontId="0" fillId="2" borderId="13" xfId="0" applyNumberFormat="1" applyFill="1" applyBorder="1" applyProtection="1">
      <protection hidden="1"/>
    </xf>
    <xf numFmtId="1" fontId="0" fillId="9" borderId="20" xfId="0" applyNumberFormat="1" applyFill="1" applyBorder="1" applyProtection="1">
      <protection hidden="1"/>
    </xf>
    <xf numFmtId="1" fontId="0" fillId="9" borderId="0" xfId="0" applyNumberFormat="1" applyFill="1" applyBorder="1" applyProtection="1">
      <protection hidden="1"/>
    </xf>
    <xf numFmtId="1" fontId="0" fillId="9" borderId="23" xfId="0" applyNumberFormat="1" applyFill="1" applyBorder="1" applyProtection="1">
      <protection hidden="1"/>
    </xf>
    <xf numFmtId="188" fontId="0" fillId="2" borderId="21" xfId="0" applyNumberFormat="1" applyFill="1" applyBorder="1" applyProtection="1">
      <protection hidden="1"/>
    </xf>
    <xf numFmtId="1" fontId="0" fillId="9" borderId="17" xfId="0" applyNumberFormat="1" applyFill="1" applyBorder="1" applyProtection="1">
      <protection hidden="1"/>
    </xf>
    <xf numFmtId="1" fontId="0" fillId="9" borderId="24" xfId="0" applyNumberFormat="1" applyFill="1" applyBorder="1" applyProtection="1">
      <protection hidden="1"/>
    </xf>
    <xf numFmtId="1" fontId="0" fillId="9" borderId="19" xfId="0" applyNumberFormat="1" applyFill="1" applyBorder="1" applyProtection="1">
      <protection hidden="1"/>
    </xf>
    <xf numFmtId="188" fontId="0" fillId="2" borderId="14" xfId="0" applyNumberFormat="1" applyFill="1" applyBorder="1" applyProtection="1">
      <protection hidden="1"/>
    </xf>
    <xf numFmtId="0" fontId="0" fillId="0" borderId="0" xfId="0" quotePrefix="1" applyProtection="1">
      <protection hidden="1"/>
    </xf>
    <xf numFmtId="0" fontId="40" fillId="2" borderId="0" xfId="0" applyFont="1" applyFill="1"/>
    <xf numFmtId="2" fontId="14" fillId="2" borderId="1" xfId="0" applyNumberFormat="1" applyFont="1" applyFill="1" applyBorder="1" applyAlignment="1">
      <alignment horizontal="center"/>
    </xf>
    <xf numFmtId="2" fontId="14" fillId="2" borderId="0" xfId="0" applyNumberFormat="1" applyFont="1" applyFill="1" applyBorder="1" applyAlignment="1">
      <alignment horizontal="center"/>
    </xf>
    <xf numFmtId="188" fontId="14" fillId="2" borderId="1" xfId="0" applyNumberFormat="1" applyFont="1" applyFill="1" applyBorder="1" applyAlignment="1">
      <alignment horizontal="center"/>
    </xf>
    <xf numFmtId="9" fontId="1" fillId="8" borderId="0" xfId="8" applyFill="1" applyProtection="1">
      <protection hidden="1"/>
    </xf>
    <xf numFmtId="9" fontId="1" fillId="8" borderId="0" xfId="8" applyNumberFormat="1" applyFill="1" applyProtection="1">
      <protection hidden="1"/>
    </xf>
    <xf numFmtId="2" fontId="1" fillId="8" borderId="0" xfId="8" applyNumberFormat="1" applyFill="1" applyProtection="1">
      <protection hidden="1"/>
    </xf>
    <xf numFmtId="2" fontId="1" fillId="8" borderId="10" xfId="8" applyNumberFormat="1" applyFill="1" applyBorder="1" applyProtection="1">
      <protection hidden="1"/>
    </xf>
    <xf numFmtId="190" fontId="1" fillId="2" borderId="0" xfId="8" applyNumberFormat="1" applyFill="1"/>
    <xf numFmtId="190" fontId="1" fillId="9" borderId="0" xfId="8" applyNumberFormat="1" applyFill="1"/>
  </cellXfs>
  <cellStyles count="9">
    <cellStyle name="Accent1" xfId="1" builtinId="29"/>
    <cellStyle name="Good" xfId="2" builtinId="26"/>
    <cellStyle name="Heading 1" xfId="3" builtinId="16"/>
    <cellStyle name="Heading 3" xfId="4" builtinId="18"/>
    <cellStyle name="Input" xfId="5" builtinId="20"/>
    <cellStyle name="Normal" xfId="0" builtinId="0"/>
    <cellStyle name="Normal_cooking" xfId="6"/>
    <cellStyle name="Normal_Sheet1" xfId="7"/>
    <cellStyle name="Percent" xfId="8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0"/>
  <sheetViews>
    <sheetView topLeftCell="A31" zoomScale="80" zoomScaleNormal="100" workbookViewId="0">
      <selection activeCell="D25" sqref="D25"/>
    </sheetView>
  </sheetViews>
  <sheetFormatPr defaultColWidth="9.140625" defaultRowHeight="12.75"/>
  <cols>
    <col min="1" max="1" width="12.5703125" customWidth="1"/>
    <col min="2" max="2" width="22.42578125" customWidth="1"/>
    <col min="3" max="3" width="9.140625" customWidth="1"/>
    <col min="4" max="4" width="9.7109375" customWidth="1"/>
    <col min="5" max="5" width="9.140625" customWidth="1"/>
    <col min="6" max="6" width="9.85546875" customWidth="1"/>
    <col min="7" max="15" width="9.140625" customWidth="1"/>
    <col min="16" max="16" width="10" customWidth="1"/>
    <col min="17" max="251" width="9.140625" customWidth="1"/>
  </cols>
  <sheetData>
    <row r="1" spans="1:26" ht="15.75">
      <c r="A1" s="121" t="s">
        <v>211</v>
      </c>
      <c r="C1" s="13"/>
      <c r="D1" s="17"/>
      <c r="E1" s="135" t="s">
        <v>307</v>
      </c>
      <c r="F1" s="135" t="str">
        <f ca="1">MID(CELL("filename",E1),FIND("VT_",CELL("filename",E1))+3,3)</f>
        <v>FI_</v>
      </c>
      <c r="G1" s="135" t="s">
        <v>309</v>
      </c>
      <c r="H1" s="136">
        <v>1.0000000000000001E-9</v>
      </c>
      <c r="I1" s="8"/>
      <c r="J1" s="42" t="s">
        <v>268</v>
      </c>
      <c r="K1" s="37" t="s">
        <v>85</v>
      </c>
      <c r="L1" s="17"/>
      <c r="M1" s="38"/>
      <c r="N1" s="40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C2" s="12"/>
      <c r="D2" s="17"/>
      <c r="G2" s="17"/>
      <c r="H2" s="17"/>
      <c r="I2" s="8"/>
      <c r="J2" s="42" t="s">
        <v>118</v>
      </c>
      <c r="K2" s="37" t="s">
        <v>125</v>
      </c>
      <c r="L2" s="17"/>
      <c r="M2" s="40"/>
      <c r="N2" s="40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>
      <c r="C3" s="12"/>
      <c r="D3" s="17"/>
      <c r="G3" s="17"/>
      <c r="H3" s="17"/>
      <c r="I3" s="17"/>
      <c r="J3" s="17"/>
      <c r="K3" s="17"/>
      <c r="L3" s="17"/>
      <c r="M3" s="40"/>
      <c r="N3" s="40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3.5" thickBot="1">
      <c r="A4" s="37" t="s">
        <v>238</v>
      </c>
      <c r="B4" s="43" t="s">
        <v>126</v>
      </c>
      <c r="C4" s="10"/>
      <c r="D4" s="17"/>
      <c r="G4" s="17"/>
      <c r="H4" s="17"/>
      <c r="I4" s="17"/>
      <c r="J4" s="17"/>
      <c r="K4" s="17"/>
      <c r="L4" s="106" t="s">
        <v>111</v>
      </c>
      <c r="M4" s="114"/>
      <c r="N4" s="40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23.25" thickBot="1">
      <c r="A5" s="37" t="s">
        <v>239</v>
      </c>
      <c r="B5" s="88" t="s">
        <v>237</v>
      </c>
      <c r="C5" s="14"/>
      <c r="D5" s="17"/>
      <c r="E5" s="108"/>
      <c r="F5" s="107" t="s">
        <v>150</v>
      </c>
      <c r="G5" s="108"/>
      <c r="H5" s="17"/>
      <c r="I5" s="37" t="s">
        <v>64</v>
      </c>
      <c r="J5" s="44">
        <f ca="1">(C26+C36+C42+C47)/(D26+D36+D42+D47+Tiny)</f>
        <v>2.4139166377231067</v>
      </c>
      <c r="K5" s="17"/>
      <c r="L5" s="37" t="s">
        <v>58</v>
      </c>
      <c r="M5" s="70">
        <f>IF(D49,C49/D49,1)</f>
        <v>1.0001800000000001</v>
      </c>
      <c r="N5" s="8"/>
      <c r="O5" s="8"/>
      <c r="P5" s="8"/>
      <c r="Q5" s="8"/>
      <c r="R5" s="8"/>
    </row>
    <row r="6" spans="1:26">
      <c r="A6" s="37" t="s">
        <v>240</v>
      </c>
      <c r="B6" s="43">
        <v>2010</v>
      </c>
      <c r="C6" s="10"/>
      <c r="D6" s="17"/>
      <c r="E6" s="7" t="s">
        <v>139</v>
      </c>
      <c r="F6" s="45">
        <v>4.1868000000000002E-2</v>
      </c>
      <c r="G6" s="19" t="s">
        <v>137</v>
      </c>
      <c r="H6" s="17"/>
      <c r="I6" s="37" t="s">
        <v>71</v>
      </c>
      <c r="J6" s="46">
        <f>IF(J5,1/J5,1)</f>
        <v>0.41426451285543814</v>
      </c>
      <c r="K6" s="17"/>
      <c r="L6" s="37" t="s">
        <v>112</v>
      </c>
      <c r="M6" s="70">
        <f>IF(D48&gt;0,C48/D48,1)</f>
        <v>3.0308483921052636</v>
      </c>
      <c r="N6" s="8"/>
      <c r="O6" s="8"/>
      <c r="P6" s="8"/>
      <c r="Q6" s="8"/>
      <c r="R6" s="8"/>
    </row>
    <row r="7" spans="1:26">
      <c r="A7" s="37" t="s">
        <v>241</v>
      </c>
      <c r="B7" s="43">
        <v>1</v>
      </c>
      <c r="C7" s="38"/>
      <c r="D7" s="17"/>
      <c r="E7" s="7" t="s">
        <v>140</v>
      </c>
      <c r="F7" s="45">
        <f>3.6/1000</f>
        <v>3.5999999999999999E-3</v>
      </c>
      <c r="G7" s="19" t="s">
        <v>137</v>
      </c>
      <c r="H7" s="17"/>
      <c r="I7" s="37" t="s">
        <v>72</v>
      </c>
      <c r="J7" s="44">
        <f>IF(I55=0,1,H55/I55)</f>
        <v>1.1053783706409761</v>
      </c>
      <c r="K7" s="17"/>
      <c r="L7" s="37" t="s">
        <v>113</v>
      </c>
      <c r="M7" s="70">
        <v>2.5253149727915649</v>
      </c>
      <c r="N7" s="8"/>
      <c r="O7" s="8"/>
      <c r="P7" s="8"/>
      <c r="Q7" s="8"/>
      <c r="R7" s="8"/>
    </row>
    <row r="8" spans="1:26">
      <c r="A8" s="47" t="s">
        <v>153</v>
      </c>
      <c r="B8" s="43">
        <v>0</v>
      </c>
      <c r="C8" s="38"/>
      <c r="D8" s="17"/>
      <c r="E8" s="7" t="s">
        <v>142</v>
      </c>
      <c r="F8" s="45">
        <f>24*365*F7</f>
        <v>31.535999999999998</v>
      </c>
      <c r="G8" s="19" t="s">
        <v>137</v>
      </c>
      <c r="H8" s="17"/>
      <c r="I8" s="37" t="s">
        <v>73</v>
      </c>
      <c r="J8" s="46">
        <f>1/J7</f>
        <v>0.90466760211720953</v>
      </c>
      <c r="K8" s="17"/>
      <c r="L8" s="37" t="s">
        <v>194</v>
      </c>
      <c r="M8" s="70">
        <v>6.0972348732123196</v>
      </c>
      <c r="N8" s="8"/>
      <c r="O8" s="8"/>
      <c r="P8" s="8"/>
      <c r="Q8" s="8"/>
      <c r="R8" s="8"/>
    </row>
    <row r="9" spans="1:26">
      <c r="A9" s="47" t="s">
        <v>154</v>
      </c>
      <c r="B9" s="43">
        <v>0</v>
      </c>
      <c r="C9" s="38"/>
      <c r="D9" s="17"/>
      <c r="E9" s="7" t="s">
        <v>141</v>
      </c>
      <c r="F9" s="45">
        <f>1/1000</f>
        <v>1E-3</v>
      </c>
      <c r="G9" s="19" t="s">
        <v>137</v>
      </c>
      <c r="H9" s="17"/>
      <c r="I9" s="17"/>
      <c r="J9" s="17"/>
      <c r="K9" s="17"/>
      <c r="L9" s="8"/>
      <c r="M9" s="8"/>
      <c r="N9" s="8"/>
      <c r="O9" s="8"/>
      <c r="P9" s="8"/>
      <c r="Q9" s="8"/>
      <c r="R9" s="8"/>
    </row>
    <row r="10" spans="1:26">
      <c r="A10" s="47" t="s">
        <v>155</v>
      </c>
      <c r="B10" s="43">
        <v>0</v>
      </c>
      <c r="C10" s="8"/>
      <c r="D10" s="8"/>
      <c r="E10" s="22"/>
      <c r="F10" s="22"/>
      <c r="G10" s="22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26">
      <c r="A11" s="8"/>
      <c r="B11" s="8"/>
      <c r="C11" s="8"/>
      <c r="D11" s="8"/>
      <c r="E11" s="22"/>
      <c r="F11" s="22"/>
      <c r="G11" s="22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26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26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26" ht="18">
      <c r="A14" s="32" t="s">
        <v>209</v>
      </c>
      <c r="B14" s="48"/>
      <c r="C14" s="8"/>
      <c r="G14" s="22"/>
      <c r="H14" s="8"/>
      <c r="I14" s="8"/>
      <c r="J14" s="8"/>
      <c r="K14" s="8"/>
      <c r="L14" s="8"/>
      <c r="M14" s="32" t="s">
        <v>74</v>
      </c>
      <c r="N14" s="32"/>
      <c r="O14" s="32"/>
      <c r="P14" s="32"/>
      <c r="Q14" s="48"/>
      <c r="R14" s="49"/>
    </row>
    <row r="15" spans="1:26">
      <c r="A15" s="109"/>
      <c r="B15" s="109"/>
      <c r="C15" s="110" t="s">
        <v>36</v>
      </c>
      <c r="D15" s="111"/>
      <c r="E15" s="110" t="s">
        <v>37</v>
      </c>
      <c r="F15" s="111"/>
      <c r="G15" s="111"/>
      <c r="H15" s="110" t="s">
        <v>38</v>
      </c>
      <c r="I15" s="111"/>
      <c r="J15" s="110" t="s">
        <v>75</v>
      </c>
      <c r="K15" s="111"/>
      <c r="L15" s="8"/>
      <c r="M15" s="110" t="s">
        <v>76</v>
      </c>
      <c r="N15" s="109"/>
      <c r="O15" s="110" t="s">
        <v>77</v>
      </c>
      <c r="P15" s="109"/>
      <c r="Q15" s="110" t="s">
        <v>78</v>
      </c>
      <c r="R15" s="109"/>
    </row>
    <row r="16" spans="1:26">
      <c r="A16" s="41"/>
      <c r="B16" s="19"/>
      <c r="C16" s="7" t="s">
        <v>157</v>
      </c>
      <c r="D16" s="7" t="s">
        <v>163</v>
      </c>
      <c r="E16" s="7" t="s">
        <v>157</v>
      </c>
      <c r="F16" s="7" t="s">
        <v>163</v>
      </c>
      <c r="G16" s="7" t="s">
        <v>162</v>
      </c>
      <c r="H16" s="7" t="s">
        <v>157</v>
      </c>
      <c r="I16" s="7" t="s">
        <v>162</v>
      </c>
      <c r="J16" s="7"/>
      <c r="K16" s="7"/>
      <c r="L16" s="8"/>
      <c r="M16" s="41"/>
      <c r="N16" s="41"/>
      <c r="O16" s="41"/>
      <c r="P16" s="41"/>
      <c r="Q16" s="41"/>
      <c r="R16" s="41"/>
    </row>
    <row r="17" spans="1:26">
      <c r="A17" s="41"/>
      <c r="B17" s="104"/>
      <c r="C17" s="119">
        <f>-$F$6</f>
        <v>-4.1868000000000002E-2</v>
      </c>
      <c r="D17" s="119">
        <f>$F$7</f>
        <v>3.5999999999999999E-3</v>
      </c>
      <c r="E17" s="119">
        <f>-$F$6</f>
        <v>-4.1868000000000002E-2</v>
      </c>
      <c r="F17" s="119">
        <f>$F$7</f>
        <v>3.5999999999999999E-3</v>
      </c>
      <c r="G17" s="119">
        <f>$F$9</f>
        <v>1E-3</v>
      </c>
      <c r="H17" s="119">
        <f>-$F$6</f>
        <v>-4.1868000000000002E-2</v>
      </c>
      <c r="I17" s="119">
        <f>$F$9</f>
        <v>1E-3</v>
      </c>
      <c r="J17" s="119">
        <f>$F$7</f>
        <v>3.5999999999999999E-3</v>
      </c>
      <c r="K17" s="119">
        <f>$F$9</f>
        <v>1E-3</v>
      </c>
      <c r="L17" s="8"/>
      <c r="M17" s="51" t="s">
        <v>79</v>
      </c>
      <c r="N17" s="41"/>
      <c r="O17" s="51" t="s">
        <v>79</v>
      </c>
      <c r="P17" s="41"/>
      <c r="Q17" s="51" t="s">
        <v>79</v>
      </c>
      <c r="R17" s="41"/>
    </row>
    <row r="18" spans="1:26" ht="23.25" thickBot="1">
      <c r="A18" s="112" t="s">
        <v>210</v>
      </c>
      <c r="B18" s="124" t="s">
        <v>242</v>
      </c>
      <c r="C18" s="113" t="s">
        <v>243</v>
      </c>
      <c r="D18" s="113" t="s">
        <v>244</v>
      </c>
      <c r="E18" s="113" t="s">
        <v>245</v>
      </c>
      <c r="F18" s="113" t="s">
        <v>246</v>
      </c>
      <c r="G18" s="113" t="s">
        <v>247</v>
      </c>
      <c r="H18" s="113" t="s">
        <v>248</v>
      </c>
      <c r="I18" s="113" t="s">
        <v>249</v>
      </c>
      <c r="J18" s="113" t="s">
        <v>127</v>
      </c>
      <c r="K18" s="113" t="s">
        <v>250</v>
      </c>
      <c r="L18" s="8"/>
      <c r="M18" s="113" t="s">
        <v>80</v>
      </c>
      <c r="N18" s="113" t="s">
        <v>81</v>
      </c>
      <c r="O18" s="113" t="s">
        <v>80</v>
      </c>
      <c r="P18" s="113" t="s">
        <v>81</v>
      </c>
      <c r="Q18" s="113" t="s">
        <v>80</v>
      </c>
      <c r="R18" s="113" t="s">
        <v>81</v>
      </c>
    </row>
    <row r="19" spans="1:26">
      <c r="A19" s="51" t="s">
        <v>4</v>
      </c>
      <c r="B19" s="50" t="s">
        <v>144</v>
      </c>
      <c r="C19" s="52">
        <v>0</v>
      </c>
      <c r="D19" s="53">
        <v>0</v>
      </c>
      <c r="E19" s="62">
        <v>0</v>
      </c>
      <c r="F19" s="53">
        <v>0</v>
      </c>
      <c r="G19" s="53">
        <v>0</v>
      </c>
      <c r="H19" s="62">
        <v>0</v>
      </c>
      <c r="I19" s="63">
        <v>0</v>
      </c>
      <c r="J19" s="62">
        <v>0</v>
      </c>
      <c r="K19" s="63">
        <v>0</v>
      </c>
      <c r="L19" s="8"/>
      <c r="M19" s="52">
        <f t="shared" ref="M19:M54" si="0">C19+E19-G19</f>
        <v>0</v>
      </c>
      <c r="N19" s="53">
        <f t="shared" ref="N19:N47" si="1">C19+E19-G19</f>
        <v>0</v>
      </c>
      <c r="O19" s="52">
        <f t="shared" ref="O19:O54" si="2">G19+H19</f>
        <v>0</v>
      </c>
      <c r="P19" s="53">
        <f t="shared" ref="P19:P47" si="3">H19+G19</f>
        <v>0</v>
      </c>
      <c r="Q19" s="52">
        <f t="shared" ref="Q19:Q54" si="4">C19+E19+H19</f>
        <v>0</v>
      </c>
      <c r="R19" s="53">
        <f t="shared" ref="R19:R47" si="5">C19+E19+H19</f>
        <v>0</v>
      </c>
    </row>
    <row r="20" spans="1:26">
      <c r="A20" s="51" t="s">
        <v>6</v>
      </c>
      <c r="B20" s="50" t="s">
        <v>173</v>
      </c>
      <c r="C20" s="52">
        <v>1.1011284000000001E-2</v>
      </c>
      <c r="D20" s="53">
        <v>3.5999999999999999E-3</v>
      </c>
      <c r="E20" s="62">
        <v>0.272937492</v>
      </c>
      <c r="F20" s="53">
        <v>6.4799999999999996E-2</v>
      </c>
      <c r="G20" s="53">
        <v>0.16299212399999999</v>
      </c>
      <c r="H20" s="62">
        <v>0</v>
      </c>
      <c r="I20" s="63">
        <v>0</v>
      </c>
      <c r="J20" s="62">
        <v>1.9332</v>
      </c>
      <c r="K20" s="63">
        <v>1.0599721559999999</v>
      </c>
      <c r="L20" s="8"/>
      <c r="M20" s="52">
        <f t="shared" si="0"/>
        <v>0.12095665200000003</v>
      </c>
      <c r="N20" s="53">
        <f t="shared" si="1"/>
        <v>0.12095665200000003</v>
      </c>
      <c r="O20" s="52">
        <f t="shared" si="2"/>
        <v>0.16299212399999999</v>
      </c>
      <c r="P20" s="53">
        <f t="shared" si="3"/>
        <v>0.16299212399999999</v>
      </c>
      <c r="Q20" s="52">
        <f t="shared" si="4"/>
        <v>0.28394877600000001</v>
      </c>
      <c r="R20" s="53">
        <f t="shared" si="5"/>
        <v>0.28394877600000001</v>
      </c>
    </row>
    <row r="21" spans="1:26">
      <c r="A21" s="51" t="s">
        <v>5</v>
      </c>
      <c r="B21" s="50" t="s">
        <v>174</v>
      </c>
      <c r="C21" s="52">
        <v>0</v>
      </c>
      <c r="D21" s="53">
        <v>0</v>
      </c>
      <c r="E21" s="62">
        <v>0</v>
      </c>
      <c r="F21" s="53">
        <v>0</v>
      </c>
      <c r="G21" s="53">
        <v>0</v>
      </c>
      <c r="H21" s="62">
        <v>0</v>
      </c>
      <c r="I21" s="63">
        <v>0</v>
      </c>
      <c r="J21" s="62">
        <v>0.18359999999999999</v>
      </c>
      <c r="K21" s="63">
        <v>0.18999698400000006</v>
      </c>
      <c r="L21" s="8"/>
      <c r="M21" s="52">
        <f t="shared" si="0"/>
        <v>0</v>
      </c>
      <c r="N21" s="53">
        <f t="shared" si="1"/>
        <v>0</v>
      </c>
      <c r="O21" s="52">
        <f t="shared" si="2"/>
        <v>0</v>
      </c>
      <c r="P21" s="53">
        <f t="shared" si="3"/>
        <v>0</v>
      </c>
      <c r="Q21" s="52">
        <f t="shared" si="4"/>
        <v>0</v>
      </c>
      <c r="R21" s="53">
        <f t="shared" si="5"/>
        <v>0</v>
      </c>
    </row>
    <row r="22" spans="1:26">
      <c r="A22" s="51" t="s">
        <v>7</v>
      </c>
      <c r="B22" s="50" t="s">
        <v>175</v>
      </c>
      <c r="C22" s="52">
        <v>0</v>
      </c>
      <c r="D22" s="53">
        <v>0</v>
      </c>
      <c r="E22" s="62">
        <v>0</v>
      </c>
      <c r="F22" s="53">
        <v>0</v>
      </c>
      <c r="G22" s="53">
        <v>0</v>
      </c>
      <c r="H22" s="62">
        <v>0</v>
      </c>
      <c r="I22" s="63">
        <v>0</v>
      </c>
      <c r="J22" s="62">
        <v>0</v>
      </c>
      <c r="K22" s="63">
        <v>0</v>
      </c>
      <c r="L22" s="8"/>
      <c r="M22" s="52">
        <f t="shared" si="0"/>
        <v>0</v>
      </c>
      <c r="N22" s="53">
        <f t="shared" si="1"/>
        <v>0</v>
      </c>
      <c r="O22" s="52">
        <f t="shared" si="2"/>
        <v>0</v>
      </c>
      <c r="P22" s="53">
        <f t="shared" si="3"/>
        <v>0</v>
      </c>
      <c r="Q22" s="52">
        <f t="shared" si="4"/>
        <v>0</v>
      </c>
      <c r="R22" s="53">
        <f t="shared" si="5"/>
        <v>0</v>
      </c>
    </row>
    <row r="23" spans="1:26">
      <c r="A23" s="51" t="s">
        <v>10</v>
      </c>
      <c r="B23" s="50" t="s">
        <v>176</v>
      </c>
      <c r="C23" s="52">
        <v>1.8795801240000001</v>
      </c>
      <c r="D23" s="53">
        <v>0.69479999999999997</v>
      </c>
      <c r="E23" s="62">
        <v>18.980288427675816</v>
      </c>
      <c r="F23" s="53">
        <v>6.5273494876774478</v>
      </c>
      <c r="G23" s="53">
        <v>9.5547935997064393</v>
      </c>
      <c r="H23" s="62">
        <v>9.0267052721631735</v>
      </c>
      <c r="I23" s="63">
        <v>8.2978912015316748</v>
      </c>
      <c r="J23" s="62">
        <v>16.874964804487302</v>
      </c>
      <c r="K23" s="63">
        <v>23.989188632573295</v>
      </c>
      <c r="L23" s="8"/>
      <c r="M23" s="52">
        <f t="shared" si="0"/>
        <v>11.305074951969377</v>
      </c>
      <c r="N23" s="53">
        <f t="shared" si="1"/>
        <v>11.305074951969377</v>
      </c>
      <c r="O23" s="52">
        <f t="shared" si="2"/>
        <v>18.581498871869613</v>
      </c>
      <c r="P23" s="53">
        <f t="shared" si="3"/>
        <v>18.581498871869613</v>
      </c>
      <c r="Q23" s="52">
        <f t="shared" si="4"/>
        <v>29.88657382383899</v>
      </c>
      <c r="R23" s="53">
        <f t="shared" si="5"/>
        <v>29.88657382383899</v>
      </c>
      <c r="S23" s="8"/>
      <c r="T23" s="8"/>
      <c r="U23" s="8"/>
      <c r="V23" s="8"/>
      <c r="W23" s="8"/>
      <c r="X23" s="8"/>
      <c r="Y23" s="8"/>
      <c r="Z23" s="8"/>
    </row>
    <row r="24" spans="1:26">
      <c r="A24" s="51" t="s">
        <v>17</v>
      </c>
      <c r="B24" s="50" t="s">
        <v>177</v>
      </c>
      <c r="C24" s="52">
        <v>0</v>
      </c>
      <c r="D24" s="53">
        <v>0</v>
      </c>
      <c r="E24" s="62">
        <v>0</v>
      </c>
      <c r="F24" s="53">
        <v>0</v>
      </c>
      <c r="G24" s="53">
        <v>0</v>
      </c>
      <c r="H24" s="62">
        <v>0</v>
      </c>
      <c r="I24" s="63">
        <v>0</v>
      </c>
      <c r="J24" s="62">
        <v>4.6800000000000001E-2</v>
      </c>
      <c r="K24" s="63">
        <v>6.3011339999999999E-2</v>
      </c>
      <c r="L24" s="8"/>
      <c r="M24" s="52">
        <f t="shared" si="0"/>
        <v>0</v>
      </c>
      <c r="N24" s="53">
        <f t="shared" si="1"/>
        <v>0</v>
      </c>
      <c r="O24" s="52">
        <f t="shared" si="2"/>
        <v>0</v>
      </c>
      <c r="P24" s="53">
        <f t="shared" si="3"/>
        <v>0</v>
      </c>
      <c r="Q24" s="52">
        <f t="shared" si="4"/>
        <v>0</v>
      </c>
      <c r="R24" s="53">
        <f t="shared" si="5"/>
        <v>0</v>
      </c>
      <c r="S24" s="8"/>
      <c r="T24" s="8"/>
      <c r="U24" s="8"/>
      <c r="V24" s="8"/>
      <c r="W24" s="8"/>
      <c r="X24" s="8"/>
      <c r="Y24" s="8"/>
      <c r="Z24" s="8"/>
    </row>
    <row r="25" spans="1:26">
      <c r="A25" s="51" t="s">
        <v>235</v>
      </c>
      <c r="B25" s="50" t="s">
        <v>178</v>
      </c>
      <c r="C25" s="52">
        <v>0</v>
      </c>
      <c r="D25" s="53">
        <v>0</v>
      </c>
      <c r="E25" s="62">
        <v>0</v>
      </c>
      <c r="F25" s="53">
        <v>0</v>
      </c>
      <c r="G25" s="53">
        <v>0</v>
      </c>
      <c r="H25" s="62">
        <v>0</v>
      </c>
      <c r="I25" s="63">
        <v>0</v>
      </c>
      <c r="J25" s="62">
        <v>1.0800000000000001E-2</v>
      </c>
      <c r="K25" s="63">
        <v>3.0144960000000006E-3</v>
      </c>
      <c r="L25" s="8"/>
      <c r="M25" s="52">
        <f t="shared" si="0"/>
        <v>0</v>
      </c>
      <c r="N25" s="53">
        <f t="shared" si="1"/>
        <v>0</v>
      </c>
      <c r="O25" s="52">
        <f t="shared" si="2"/>
        <v>0</v>
      </c>
      <c r="P25" s="53">
        <f t="shared" si="3"/>
        <v>0</v>
      </c>
      <c r="Q25" s="52">
        <f t="shared" si="4"/>
        <v>0</v>
      </c>
      <c r="R25" s="53">
        <f t="shared" si="5"/>
        <v>0</v>
      </c>
      <c r="S25" s="8"/>
      <c r="T25" s="8"/>
      <c r="U25" s="8"/>
      <c r="V25" s="8"/>
      <c r="W25" s="8"/>
      <c r="X25" s="8"/>
      <c r="Y25" s="8"/>
      <c r="Z25" s="8"/>
    </row>
    <row r="26" spans="1:26">
      <c r="A26" s="51" t="s">
        <v>151</v>
      </c>
      <c r="B26" s="54" t="s">
        <v>83</v>
      </c>
      <c r="C26" s="64">
        <f t="shared" ref="C26:K26" si="6">C19+C23</f>
        <v>1.8795801240000001</v>
      </c>
      <c r="D26" s="65">
        <f t="shared" si="6"/>
        <v>0.69479999999999997</v>
      </c>
      <c r="E26" s="66">
        <f t="shared" si="6"/>
        <v>18.980288427675816</v>
      </c>
      <c r="F26" s="65">
        <f t="shared" si="6"/>
        <v>6.5273494876774478</v>
      </c>
      <c r="G26" s="65">
        <f t="shared" si="6"/>
        <v>9.5547935997064393</v>
      </c>
      <c r="H26" s="66">
        <f t="shared" si="6"/>
        <v>9.0267052721631735</v>
      </c>
      <c r="I26" s="67">
        <f t="shared" si="6"/>
        <v>8.2978912015316748</v>
      </c>
      <c r="J26" s="66">
        <f t="shared" si="6"/>
        <v>16.874964804487302</v>
      </c>
      <c r="K26" s="67">
        <f t="shared" si="6"/>
        <v>23.989188632573295</v>
      </c>
      <c r="L26" s="8"/>
      <c r="M26" s="55">
        <f t="shared" si="0"/>
        <v>11.305074951969377</v>
      </c>
      <c r="N26" s="56">
        <f t="shared" si="1"/>
        <v>11.305074951969377</v>
      </c>
      <c r="O26" s="55">
        <f t="shared" si="2"/>
        <v>18.581498871869613</v>
      </c>
      <c r="P26" s="56">
        <f t="shared" si="3"/>
        <v>18.581498871869613</v>
      </c>
      <c r="Q26" s="55">
        <f t="shared" si="4"/>
        <v>29.88657382383899</v>
      </c>
      <c r="R26" s="56">
        <f t="shared" si="5"/>
        <v>29.88657382383899</v>
      </c>
      <c r="S26" s="8"/>
      <c r="T26" s="8"/>
      <c r="U26" s="8"/>
      <c r="V26" s="8"/>
      <c r="W26" s="8"/>
      <c r="X26" s="8"/>
      <c r="Y26" s="8"/>
      <c r="Z26" s="8"/>
    </row>
    <row r="27" spans="1:26">
      <c r="A27" s="51" t="s">
        <v>13</v>
      </c>
      <c r="B27" s="50" t="s">
        <v>179</v>
      </c>
      <c r="C27" s="52">
        <v>0</v>
      </c>
      <c r="D27" s="53">
        <v>0</v>
      </c>
      <c r="E27" s="62">
        <v>0</v>
      </c>
      <c r="F27" s="53">
        <v>0</v>
      </c>
      <c r="G27" s="53">
        <v>0</v>
      </c>
      <c r="H27" s="62">
        <v>0</v>
      </c>
      <c r="I27" s="63">
        <v>0</v>
      </c>
      <c r="J27" s="62">
        <v>0</v>
      </c>
      <c r="K27" s="63">
        <v>0</v>
      </c>
      <c r="L27" s="8"/>
      <c r="M27" s="52">
        <f t="shared" si="0"/>
        <v>0</v>
      </c>
      <c r="N27" s="53">
        <f t="shared" si="1"/>
        <v>0</v>
      </c>
      <c r="O27" s="52">
        <f t="shared" si="2"/>
        <v>0</v>
      </c>
      <c r="P27" s="53">
        <f t="shared" si="3"/>
        <v>0</v>
      </c>
      <c r="Q27" s="52">
        <f t="shared" si="4"/>
        <v>0</v>
      </c>
      <c r="R27" s="53">
        <f t="shared" si="5"/>
        <v>0</v>
      </c>
      <c r="S27" s="8"/>
      <c r="T27" s="8"/>
      <c r="U27" s="8"/>
      <c r="V27" s="8"/>
      <c r="W27" s="8"/>
      <c r="X27" s="8"/>
      <c r="Y27" s="8"/>
      <c r="Z27" s="8"/>
    </row>
    <row r="28" spans="1:26">
      <c r="A28" s="51" t="s">
        <v>25</v>
      </c>
      <c r="B28" s="50" t="s">
        <v>180</v>
      </c>
      <c r="C28" s="52">
        <v>8.5201380000000007E-2</v>
      </c>
      <c r="D28" s="53">
        <v>2.1600000000000001E-2</v>
      </c>
      <c r="E28" s="62">
        <v>3.4826520558933954E-2</v>
      </c>
      <c r="F28" s="53">
        <v>1.0800000000000001E-2</v>
      </c>
      <c r="G28" s="53">
        <v>2.5356050304707015E-2</v>
      </c>
      <c r="H28" s="62">
        <v>0.69115651503015341</v>
      </c>
      <c r="I28" s="63">
        <v>0.62564948169529311</v>
      </c>
      <c r="J28" s="62">
        <v>7.1999999999999995E-2</v>
      </c>
      <c r="K28" s="63">
        <v>0.67700556000000012</v>
      </c>
      <c r="L28" s="8"/>
      <c r="M28" s="52">
        <f t="shared" si="0"/>
        <v>9.4671850254226947E-2</v>
      </c>
      <c r="N28" s="53">
        <f t="shared" si="1"/>
        <v>9.4671850254226947E-2</v>
      </c>
      <c r="O28" s="52">
        <f t="shared" si="2"/>
        <v>0.71651256533486041</v>
      </c>
      <c r="P28" s="53">
        <f t="shared" si="3"/>
        <v>0.71651256533486041</v>
      </c>
      <c r="Q28" s="52">
        <f t="shared" si="4"/>
        <v>0.81118441558908738</v>
      </c>
      <c r="R28" s="53">
        <f t="shared" si="5"/>
        <v>0.81118441558908738</v>
      </c>
      <c r="S28" s="8"/>
      <c r="T28" s="8"/>
      <c r="U28" s="8"/>
      <c r="V28" s="8"/>
      <c r="W28" s="8"/>
      <c r="X28" s="8"/>
      <c r="Y28" s="8"/>
      <c r="Z28" s="8"/>
    </row>
    <row r="29" spans="1:26">
      <c r="A29" s="51" t="s">
        <v>20</v>
      </c>
      <c r="B29" s="50" t="s">
        <v>181</v>
      </c>
      <c r="C29" s="52">
        <v>0</v>
      </c>
      <c r="D29" s="53">
        <v>0</v>
      </c>
      <c r="E29" s="62">
        <v>0</v>
      </c>
      <c r="F29" s="53">
        <v>0</v>
      </c>
      <c r="G29" s="53">
        <v>0</v>
      </c>
      <c r="H29" s="62">
        <v>0</v>
      </c>
      <c r="I29" s="63">
        <v>0</v>
      </c>
      <c r="J29" s="62">
        <v>0</v>
      </c>
      <c r="K29" s="63">
        <v>0</v>
      </c>
      <c r="L29" s="8"/>
      <c r="M29" s="52">
        <f t="shared" si="0"/>
        <v>0</v>
      </c>
      <c r="N29" s="53">
        <f t="shared" si="1"/>
        <v>0</v>
      </c>
      <c r="O29" s="52">
        <f t="shared" si="2"/>
        <v>0</v>
      </c>
      <c r="P29" s="53">
        <f t="shared" si="3"/>
        <v>0</v>
      </c>
      <c r="Q29" s="52">
        <f t="shared" si="4"/>
        <v>0</v>
      </c>
      <c r="R29" s="53">
        <f t="shared" si="5"/>
        <v>0</v>
      </c>
      <c r="S29" s="8"/>
      <c r="T29" s="8"/>
      <c r="U29" s="8"/>
      <c r="V29" s="8"/>
      <c r="W29" s="8"/>
      <c r="X29" s="8"/>
      <c r="Y29" s="8"/>
      <c r="Z29" s="8"/>
    </row>
    <row r="30" spans="1:26">
      <c r="A30" s="51" t="s">
        <v>27</v>
      </c>
      <c r="B30" s="50" t="s">
        <v>182</v>
      </c>
      <c r="C30" s="52">
        <v>0</v>
      </c>
      <c r="D30" s="53">
        <v>0</v>
      </c>
      <c r="E30" s="62">
        <v>0</v>
      </c>
      <c r="F30" s="53">
        <v>0</v>
      </c>
      <c r="G30" s="53">
        <v>0</v>
      </c>
      <c r="H30" s="62">
        <v>0</v>
      </c>
      <c r="I30" s="63">
        <v>0</v>
      </c>
      <c r="J30" s="62">
        <v>0</v>
      </c>
      <c r="K30" s="63">
        <v>0</v>
      </c>
      <c r="L30" s="8"/>
      <c r="M30" s="52">
        <f t="shared" si="0"/>
        <v>0</v>
      </c>
      <c r="N30" s="53">
        <f t="shared" si="1"/>
        <v>0</v>
      </c>
      <c r="O30" s="52">
        <f t="shared" si="2"/>
        <v>0</v>
      </c>
      <c r="P30" s="53">
        <f t="shared" si="3"/>
        <v>0</v>
      </c>
      <c r="Q30" s="52">
        <f t="shared" si="4"/>
        <v>0</v>
      </c>
      <c r="R30" s="53">
        <f t="shared" si="5"/>
        <v>0</v>
      </c>
      <c r="S30" s="8"/>
      <c r="T30" s="8"/>
      <c r="U30" s="8"/>
      <c r="V30" s="8"/>
      <c r="W30" s="8"/>
      <c r="X30" s="8"/>
      <c r="Y30" s="8"/>
      <c r="Z30" s="8"/>
    </row>
    <row r="31" spans="1:26">
      <c r="A31" s="51" t="s">
        <v>14</v>
      </c>
      <c r="B31" s="50" t="s">
        <v>183</v>
      </c>
      <c r="C31" s="52">
        <v>0</v>
      </c>
      <c r="D31" s="53">
        <v>0</v>
      </c>
      <c r="E31" s="62">
        <v>0</v>
      </c>
      <c r="F31" s="53">
        <v>0</v>
      </c>
      <c r="G31" s="53">
        <v>0</v>
      </c>
      <c r="H31" s="62">
        <v>0</v>
      </c>
      <c r="I31" s="63">
        <v>0</v>
      </c>
      <c r="J31" s="62">
        <v>0</v>
      </c>
      <c r="K31" s="63">
        <v>0</v>
      </c>
      <c r="L31" s="8"/>
      <c r="M31" s="52">
        <f t="shared" si="0"/>
        <v>0</v>
      </c>
      <c r="N31" s="53">
        <f t="shared" si="1"/>
        <v>0</v>
      </c>
      <c r="O31" s="52">
        <f t="shared" si="2"/>
        <v>0</v>
      </c>
      <c r="P31" s="53">
        <f t="shared" si="3"/>
        <v>0</v>
      </c>
      <c r="Q31" s="52">
        <f t="shared" si="4"/>
        <v>0</v>
      </c>
      <c r="R31" s="53">
        <f t="shared" si="5"/>
        <v>0</v>
      </c>
      <c r="S31" s="8"/>
      <c r="T31" s="8"/>
      <c r="U31" s="8"/>
      <c r="V31" s="8"/>
      <c r="W31" s="8"/>
      <c r="X31" s="8"/>
      <c r="Y31" s="8"/>
      <c r="Z31" s="8"/>
    </row>
    <row r="32" spans="1:26">
      <c r="A32" s="51" t="s">
        <v>16</v>
      </c>
      <c r="B32" s="50" t="s">
        <v>184</v>
      </c>
      <c r="C32" s="52">
        <v>0</v>
      </c>
      <c r="D32" s="53">
        <v>0</v>
      </c>
      <c r="E32" s="62">
        <v>0</v>
      </c>
      <c r="F32" s="53">
        <v>0</v>
      </c>
      <c r="G32" s="53">
        <v>0</v>
      </c>
      <c r="H32" s="62">
        <v>0</v>
      </c>
      <c r="I32" s="63">
        <v>0</v>
      </c>
      <c r="J32" s="62">
        <v>0</v>
      </c>
      <c r="K32" s="63">
        <v>0</v>
      </c>
      <c r="L32" s="8"/>
      <c r="M32" s="52">
        <f t="shared" si="0"/>
        <v>0</v>
      </c>
      <c r="N32" s="53">
        <f t="shared" si="1"/>
        <v>0</v>
      </c>
      <c r="O32" s="52">
        <f t="shared" si="2"/>
        <v>0</v>
      </c>
      <c r="P32" s="53">
        <f t="shared" si="3"/>
        <v>0</v>
      </c>
      <c r="Q32" s="52">
        <f t="shared" si="4"/>
        <v>0</v>
      </c>
      <c r="R32" s="53">
        <f t="shared" si="5"/>
        <v>0</v>
      </c>
      <c r="S32" s="8"/>
      <c r="T32" s="8"/>
      <c r="U32" s="8"/>
      <c r="V32" s="8"/>
      <c r="W32" s="8"/>
      <c r="X32" s="8"/>
      <c r="Y32" s="8"/>
      <c r="Z32" s="8"/>
    </row>
    <row r="33" spans="1:26">
      <c r="A33" s="51" t="s">
        <v>34</v>
      </c>
      <c r="B33" s="50" t="s">
        <v>185</v>
      </c>
      <c r="C33" s="52">
        <v>0</v>
      </c>
      <c r="D33" s="53">
        <v>0</v>
      </c>
      <c r="E33" s="62">
        <v>0</v>
      </c>
      <c r="F33" s="53">
        <v>3.5999999999999999E-3</v>
      </c>
      <c r="G33" s="53">
        <v>2.9977596419358049E-3</v>
      </c>
      <c r="H33" s="62">
        <v>0</v>
      </c>
      <c r="I33" s="63">
        <v>0</v>
      </c>
      <c r="J33" s="62">
        <v>3.5999999999999999E-3</v>
      </c>
      <c r="K33" s="63">
        <v>3.2012283641935813E-2</v>
      </c>
      <c r="L33" s="8"/>
      <c r="M33" s="52">
        <f t="shared" si="0"/>
        <v>-2.9977596419358049E-3</v>
      </c>
      <c r="N33" s="53">
        <f t="shared" si="1"/>
        <v>-2.9977596419358049E-3</v>
      </c>
      <c r="O33" s="52">
        <f t="shared" si="2"/>
        <v>2.9977596419358049E-3</v>
      </c>
      <c r="P33" s="53">
        <f t="shared" si="3"/>
        <v>2.9977596419358049E-3</v>
      </c>
      <c r="Q33" s="52">
        <f t="shared" si="4"/>
        <v>0</v>
      </c>
      <c r="R33" s="53">
        <f t="shared" si="5"/>
        <v>0</v>
      </c>
      <c r="S33" s="8"/>
      <c r="T33" s="8"/>
      <c r="U33" s="8"/>
      <c r="V33" s="8"/>
      <c r="W33" s="8"/>
      <c r="X33" s="8"/>
      <c r="Y33" s="8"/>
      <c r="Z33" s="8"/>
    </row>
    <row r="34" spans="1:26">
      <c r="A34" s="51" t="s">
        <v>24</v>
      </c>
      <c r="B34" s="50" t="s">
        <v>186</v>
      </c>
      <c r="C34" s="52">
        <v>0</v>
      </c>
      <c r="D34" s="53">
        <v>0</v>
      </c>
      <c r="E34" s="62">
        <v>0</v>
      </c>
      <c r="F34" s="53">
        <v>0</v>
      </c>
      <c r="G34" s="53">
        <v>0</v>
      </c>
      <c r="H34" s="62">
        <v>0</v>
      </c>
      <c r="I34" s="63">
        <v>0</v>
      </c>
      <c r="J34" s="62">
        <v>0</v>
      </c>
      <c r="K34" s="63">
        <v>0</v>
      </c>
      <c r="L34" s="8"/>
      <c r="M34" s="52">
        <f t="shared" si="0"/>
        <v>0</v>
      </c>
      <c r="N34" s="53">
        <f t="shared" si="1"/>
        <v>0</v>
      </c>
      <c r="O34" s="52">
        <f t="shared" si="2"/>
        <v>0</v>
      </c>
      <c r="P34" s="53">
        <f t="shared" si="3"/>
        <v>0</v>
      </c>
      <c r="Q34" s="52">
        <f t="shared" si="4"/>
        <v>0</v>
      </c>
      <c r="R34" s="53">
        <f t="shared" si="5"/>
        <v>0</v>
      </c>
      <c r="S34" s="8"/>
      <c r="T34" s="8"/>
      <c r="U34" s="8"/>
      <c r="V34" s="8"/>
      <c r="W34" s="8"/>
      <c r="X34" s="8"/>
      <c r="Y34" s="8"/>
      <c r="Z34" s="8"/>
    </row>
    <row r="35" spans="1:26">
      <c r="A35" s="51" t="s">
        <v>26</v>
      </c>
      <c r="B35" s="50" t="s">
        <v>187</v>
      </c>
      <c r="C35" s="52">
        <v>0.48001662</v>
      </c>
      <c r="D35" s="53">
        <v>0.20879999999999999</v>
      </c>
      <c r="E35" s="62">
        <v>0.16465684498337385</v>
      </c>
      <c r="F35" s="53">
        <v>0</v>
      </c>
      <c r="G35" s="53">
        <v>0.13054177548422052</v>
      </c>
      <c r="H35" s="62">
        <v>12.178592530565167</v>
      </c>
      <c r="I35" s="63">
        <v>11.144553710027736</v>
      </c>
      <c r="J35" s="62">
        <v>1.0908</v>
      </c>
      <c r="K35" s="63">
        <v>12.193093253511954</v>
      </c>
      <c r="L35" s="8"/>
      <c r="M35" s="52">
        <f t="shared" si="0"/>
        <v>0.51413168949915333</v>
      </c>
      <c r="N35" s="53">
        <f t="shared" si="1"/>
        <v>0.51413168949915333</v>
      </c>
      <c r="O35" s="52">
        <f t="shared" si="2"/>
        <v>12.309134306049387</v>
      </c>
      <c r="P35" s="53">
        <f t="shared" si="3"/>
        <v>12.309134306049387</v>
      </c>
      <c r="Q35" s="52">
        <f t="shared" si="4"/>
        <v>12.823265995548541</v>
      </c>
      <c r="R35" s="53">
        <f t="shared" si="5"/>
        <v>12.823265995548541</v>
      </c>
      <c r="S35" s="8"/>
      <c r="T35" s="8"/>
      <c r="U35" s="8"/>
      <c r="V35" s="8"/>
      <c r="W35" s="8"/>
      <c r="X35" s="8"/>
      <c r="Y35" s="8"/>
      <c r="Z35" s="8"/>
    </row>
    <row r="36" spans="1:26">
      <c r="A36" s="51" t="s">
        <v>56</v>
      </c>
      <c r="B36" s="54" t="s">
        <v>236</v>
      </c>
      <c r="C36" s="64">
        <f t="shared" ref="C36:K36" si="7">SUM(C27:C35)+C46+C25+C24</f>
        <v>0.565218</v>
      </c>
      <c r="D36" s="65">
        <f t="shared" si="7"/>
        <v>0.23039999999999999</v>
      </c>
      <c r="E36" s="66">
        <f t="shared" si="7"/>
        <v>0.19948336554230781</v>
      </c>
      <c r="F36" s="65">
        <f t="shared" si="7"/>
        <v>1.44E-2</v>
      </c>
      <c r="G36" s="65">
        <f t="shared" si="7"/>
        <v>0.15889558543086335</v>
      </c>
      <c r="H36" s="66">
        <f t="shared" si="7"/>
        <v>12.86974904559532</v>
      </c>
      <c r="I36" s="67">
        <f t="shared" si="7"/>
        <v>11.770203191723029</v>
      </c>
      <c r="J36" s="66">
        <f t="shared" si="7"/>
        <v>1.2239999999999998</v>
      </c>
      <c r="K36" s="67">
        <f t="shared" si="7"/>
        <v>12.96813693315389</v>
      </c>
      <c r="L36" s="8"/>
      <c r="M36" s="55">
        <f t="shared" si="0"/>
        <v>0.60580578011144448</v>
      </c>
      <c r="N36" s="56">
        <f t="shared" si="1"/>
        <v>0.60580578011144448</v>
      </c>
      <c r="O36" s="55">
        <f t="shared" si="2"/>
        <v>13.028644631026184</v>
      </c>
      <c r="P36" s="56">
        <f t="shared" si="3"/>
        <v>13.028644631026184</v>
      </c>
      <c r="Q36" s="55">
        <f t="shared" si="4"/>
        <v>13.634450411137628</v>
      </c>
      <c r="R36" s="56">
        <f t="shared" si="5"/>
        <v>13.634450411137628</v>
      </c>
      <c r="S36" s="8"/>
      <c r="T36" s="8"/>
      <c r="U36" s="8"/>
      <c r="V36" s="8"/>
      <c r="W36" s="8"/>
      <c r="X36" s="8"/>
      <c r="Y36" s="8"/>
      <c r="Z36" s="8"/>
    </row>
    <row r="37" spans="1:26">
      <c r="A37" s="51" t="s">
        <v>481</v>
      </c>
      <c r="B37" s="50" t="s">
        <v>251</v>
      </c>
      <c r="C37" s="52">
        <v>4.019328E-3</v>
      </c>
      <c r="D37" s="53">
        <v>0</v>
      </c>
      <c r="E37" s="62">
        <v>0.11293632455072923</v>
      </c>
      <c r="F37" s="53">
        <v>0.10820756133608052</v>
      </c>
      <c r="G37" s="53">
        <v>1.4365088994526667E-2</v>
      </c>
      <c r="H37" s="62">
        <v>0.35051448045907141</v>
      </c>
      <c r="I37" s="63">
        <v>0.31580965276375861</v>
      </c>
      <c r="J37" s="62">
        <v>0.32039999999999996</v>
      </c>
      <c r="K37" s="63">
        <v>0.34997461200000002</v>
      </c>
      <c r="L37" s="8"/>
      <c r="M37" s="52">
        <f t="shared" si="0"/>
        <v>0.10259056355620257</v>
      </c>
      <c r="N37" s="53">
        <f t="shared" si="1"/>
        <v>0.10259056355620257</v>
      </c>
      <c r="O37" s="52">
        <f t="shared" si="2"/>
        <v>0.36487956945359806</v>
      </c>
      <c r="P37" s="53">
        <f t="shared" si="3"/>
        <v>0.36487956945359806</v>
      </c>
      <c r="Q37" s="52">
        <f t="shared" si="4"/>
        <v>0.46747013300980067</v>
      </c>
      <c r="R37" s="53">
        <f t="shared" si="5"/>
        <v>0.46747013300980067</v>
      </c>
      <c r="S37" s="8"/>
      <c r="T37" s="8"/>
      <c r="U37" s="8"/>
      <c r="V37" s="8"/>
      <c r="W37" s="8"/>
      <c r="X37" s="8"/>
      <c r="Y37" s="8"/>
      <c r="Z37" s="8"/>
    </row>
    <row r="38" spans="1:26">
      <c r="A38" s="51" t="s">
        <v>120</v>
      </c>
      <c r="B38" s="50" t="s">
        <v>188</v>
      </c>
      <c r="C38" s="52">
        <v>2.009664E-3</v>
      </c>
      <c r="D38" s="53">
        <v>0</v>
      </c>
      <c r="E38" s="62">
        <v>0.25493425200000003</v>
      </c>
      <c r="F38" s="53">
        <v>3.2399999999999998E-2</v>
      </c>
      <c r="G38" s="53">
        <v>0.18501469200000001</v>
      </c>
      <c r="H38" s="62">
        <v>3.3996816000000006E-2</v>
      </c>
      <c r="I38" s="63">
        <v>2.9014524E-2</v>
      </c>
      <c r="J38" s="62">
        <v>0.10440000000000001</v>
      </c>
      <c r="K38" s="63">
        <v>0.88404282000000001</v>
      </c>
      <c r="L38" s="8"/>
      <c r="M38" s="52">
        <f t="shared" si="0"/>
        <v>7.1929224000000042E-2</v>
      </c>
      <c r="N38" s="53">
        <f t="shared" si="1"/>
        <v>7.1929224000000042E-2</v>
      </c>
      <c r="O38" s="52">
        <f t="shared" si="2"/>
        <v>0.21901150800000002</v>
      </c>
      <c r="P38" s="53">
        <f t="shared" si="3"/>
        <v>0.21901150800000002</v>
      </c>
      <c r="Q38" s="52">
        <f t="shared" si="4"/>
        <v>0.29094073200000004</v>
      </c>
      <c r="R38" s="53">
        <f t="shared" si="5"/>
        <v>0.29094073200000004</v>
      </c>
      <c r="S38" s="8"/>
      <c r="T38" s="8"/>
      <c r="U38" s="8"/>
      <c r="V38" s="8"/>
      <c r="W38" s="8"/>
      <c r="X38" s="8"/>
      <c r="Y38" s="8"/>
      <c r="Z38" s="8"/>
    </row>
    <row r="39" spans="1:26">
      <c r="A39" s="51" t="s">
        <v>121</v>
      </c>
      <c r="B39" s="51" t="s">
        <v>128</v>
      </c>
      <c r="C39" s="52">
        <v>1.397721312</v>
      </c>
      <c r="D39" s="53">
        <v>0.54720000000000002</v>
      </c>
      <c r="E39" s="62">
        <v>2.4458403802096349</v>
      </c>
      <c r="F39" s="53">
        <v>0.75650621354483094</v>
      </c>
      <c r="G39" s="53">
        <v>1.1575857106165295</v>
      </c>
      <c r="H39" s="62">
        <v>1.2352735079265444</v>
      </c>
      <c r="I39" s="63">
        <v>0.9297591055565475</v>
      </c>
      <c r="J39" s="62">
        <v>1.7382707088588532</v>
      </c>
      <c r="K39" s="63">
        <v>3.7860213275873651</v>
      </c>
      <c r="L39" s="8"/>
      <c r="M39" s="52">
        <f t="shared" si="0"/>
        <v>2.6859759815931055</v>
      </c>
      <c r="N39" s="53">
        <f t="shared" si="1"/>
        <v>2.6859759815931055</v>
      </c>
      <c r="O39" s="52">
        <f t="shared" si="2"/>
        <v>2.3928592185430739</v>
      </c>
      <c r="P39" s="53">
        <f t="shared" si="3"/>
        <v>2.3928592185430739</v>
      </c>
      <c r="Q39" s="52">
        <f t="shared" si="4"/>
        <v>5.0788352001361794</v>
      </c>
      <c r="R39" s="53">
        <f t="shared" si="5"/>
        <v>5.0788352001361794</v>
      </c>
      <c r="S39" s="8"/>
      <c r="T39" s="8"/>
      <c r="U39" s="8"/>
      <c r="V39" s="8"/>
      <c r="W39" s="8"/>
      <c r="X39" s="8"/>
      <c r="Y39" s="8"/>
      <c r="Z39" s="8"/>
    </row>
    <row r="40" spans="1:26">
      <c r="A40" s="51" t="s">
        <v>119</v>
      </c>
      <c r="B40" s="50" t="s">
        <v>189</v>
      </c>
      <c r="C40" s="52">
        <v>12.616586856</v>
      </c>
      <c r="D40" s="53">
        <v>4.6943999999999999</v>
      </c>
      <c r="E40" s="62">
        <v>32.979728845754103</v>
      </c>
      <c r="F40" s="53">
        <v>8.376566614910427</v>
      </c>
      <c r="G40" s="53">
        <v>19.004068447760986</v>
      </c>
      <c r="H40" s="62">
        <v>8.7296819473612857</v>
      </c>
      <c r="I40" s="63">
        <v>7.6347219702831186</v>
      </c>
      <c r="J40" s="62">
        <v>37.981789688909956</v>
      </c>
      <c r="K40" s="63">
        <v>63.595130459259003</v>
      </c>
      <c r="L40" s="8"/>
      <c r="M40" s="52">
        <f t="shared" si="0"/>
        <v>26.592247253993115</v>
      </c>
      <c r="N40" s="53">
        <f t="shared" si="1"/>
        <v>26.592247253993115</v>
      </c>
      <c r="O40" s="52">
        <f t="shared" si="2"/>
        <v>27.733750395122271</v>
      </c>
      <c r="P40" s="53">
        <f t="shared" si="3"/>
        <v>27.733750395122271</v>
      </c>
      <c r="Q40" s="52">
        <f t="shared" si="4"/>
        <v>54.325997649115386</v>
      </c>
      <c r="R40" s="53">
        <f t="shared" si="5"/>
        <v>54.325997649115386</v>
      </c>
      <c r="S40" s="8"/>
      <c r="T40" s="8"/>
      <c r="U40" s="8"/>
      <c r="V40" s="8"/>
      <c r="W40" s="8"/>
      <c r="X40" s="8"/>
      <c r="Y40" s="8"/>
      <c r="Z40" s="8"/>
    </row>
    <row r="41" spans="1:26">
      <c r="A41" s="51" t="s">
        <v>9</v>
      </c>
      <c r="B41" s="50" t="s">
        <v>190</v>
      </c>
      <c r="C41" s="52">
        <v>0</v>
      </c>
      <c r="D41" s="53">
        <v>0</v>
      </c>
      <c r="E41" s="62">
        <v>0</v>
      </c>
      <c r="F41" s="53">
        <v>0</v>
      </c>
      <c r="G41" s="53">
        <v>0</v>
      </c>
      <c r="H41" s="62">
        <v>0</v>
      </c>
      <c r="I41" s="63">
        <v>0</v>
      </c>
      <c r="J41" s="62">
        <v>0</v>
      </c>
      <c r="K41" s="63">
        <v>0</v>
      </c>
      <c r="L41" s="8"/>
      <c r="M41" s="52">
        <f t="shared" si="0"/>
        <v>0</v>
      </c>
      <c r="N41" s="53">
        <f t="shared" si="1"/>
        <v>0</v>
      </c>
      <c r="O41" s="52">
        <f t="shared" si="2"/>
        <v>0</v>
      </c>
      <c r="P41" s="53">
        <f t="shared" si="3"/>
        <v>0</v>
      </c>
      <c r="Q41" s="52">
        <f t="shared" si="4"/>
        <v>0</v>
      </c>
      <c r="R41" s="53">
        <f t="shared" si="5"/>
        <v>0</v>
      </c>
      <c r="S41" s="8"/>
      <c r="T41" s="8"/>
      <c r="U41" s="8"/>
      <c r="V41" s="8"/>
      <c r="W41" s="8"/>
      <c r="X41" s="8"/>
      <c r="Y41" s="8"/>
      <c r="Z41" s="8"/>
    </row>
    <row r="42" spans="1:26">
      <c r="A42" s="51" t="s">
        <v>152</v>
      </c>
      <c r="B42" s="54" t="s">
        <v>59</v>
      </c>
      <c r="C42" s="64">
        <f t="shared" ref="C42:K42" si="8">SUM(C37:C41)</f>
        <v>14.02033716</v>
      </c>
      <c r="D42" s="65">
        <f t="shared" si="8"/>
        <v>5.2416</v>
      </c>
      <c r="E42" s="66">
        <f t="shared" si="8"/>
        <v>35.79343980251447</v>
      </c>
      <c r="F42" s="65">
        <f t="shared" si="8"/>
        <v>9.2736803897913376</v>
      </c>
      <c r="G42" s="65">
        <f t="shared" si="8"/>
        <v>20.361033939372042</v>
      </c>
      <c r="H42" s="66">
        <f t="shared" si="8"/>
        <v>10.349466751746901</v>
      </c>
      <c r="I42" s="67">
        <f t="shared" si="8"/>
        <v>8.9093052526034242</v>
      </c>
      <c r="J42" s="66">
        <f t="shared" si="8"/>
        <v>40.144860397768809</v>
      </c>
      <c r="K42" s="67">
        <f t="shared" si="8"/>
        <v>68.615169218846376</v>
      </c>
      <c r="L42" s="8"/>
      <c r="M42" s="55">
        <f t="shared" si="0"/>
        <v>29.452743023142425</v>
      </c>
      <c r="N42" s="56">
        <f t="shared" si="1"/>
        <v>29.452743023142425</v>
      </c>
      <c r="O42" s="55">
        <f t="shared" si="2"/>
        <v>30.710500691118945</v>
      </c>
      <c r="P42" s="56">
        <f t="shared" si="3"/>
        <v>30.710500691118945</v>
      </c>
      <c r="Q42" s="55">
        <f t="shared" si="4"/>
        <v>60.16324371426137</v>
      </c>
      <c r="R42" s="56">
        <f t="shared" si="5"/>
        <v>60.16324371426137</v>
      </c>
      <c r="S42" s="8"/>
      <c r="T42" s="8"/>
      <c r="U42" s="8"/>
      <c r="V42" s="8"/>
      <c r="W42" s="8"/>
      <c r="X42" s="8"/>
      <c r="Y42" s="8"/>
      <c r="Z42" s="8"/>
    </row>
    <row r="43" spans="1:26">
      <c r="A43" s="51" t="s">
        <v>1</v>
      </c>
      <c r="B43" s="227" t="s">
        <v>253</v>
      </c>
      <c r="C43" s="52">
        <v>23.449806252000005</v>
      </c>
      <c r="D43" s="53">
        <v>9.4716000000000005</v>
      </c>
      <c r="E43" s="62">
        <v>38.131966064233886</v>
      </c>
      <c r="F43" s="53">
        <v>10.242701264549387</v>
      </c>
      <c r="G43" s="53">
        <v>22.249176459810613</v>
      </c>
      <c r="H43" s="62">
        <v>5.796805048165969</v>
      </c>
      <c r="I43" s="63">
        <v>4.9778672620084299</v>
      </c>
      <c r="J43" s="62">
        <v>22.622399999999999</v>
      </c>
      <c r="K43" s="63">
        <v>37.226726433104623</v>
      </c>
      <c r="L43" s="8"/>
      <c r="M43" s="52">
        <f t="shared" si="0"/>
        <v>39.332595856423282</v>
      </c>
      <c r="N43" s="53">
        <f t="shared" si="1"/>
        <v>39.332595856423282</v>
      </c>
      <c r="O43" s="52">
        <f t="shared" si="2"/>
        <v>28.045981507976581</v>
      </c>
      <c r="P43" s="53">
        <f t="shared" si="3"/>
        <v>28.045981507976581</v>
      </c>
      <c r="Q43" s="52">
        <f t="shared" si="4"/>
        <v>67.37857736439986</v>
      </c>
      <c r="R43" s="53">
        <f t="shared" si="5"/>
        <v>67.37857736439986</v>
      </c>
      <c r="S43" s="8"/>
      <c r="T43" s="8"/>
      <c r="U43" s="8"/>
      <c r="V43" s="8"/>
      <c r="W43" s="8"/>
      <c r="X43" s="8"/>
      <c r="Y43" s="8"/>
      <c r="Z43" s="8"/>
    </row>
    <row r="44" spans="1:26" ht="19.5" customHeight="1">
      <c r="A44" s="51" t="s">
        <v>0</v>
      </c>
      <c r="B44" s="227" t="s">
        <v>252</v>
      </c>
      <c r="C44" s="52">
        <v>85.376597580000009</v>
      </c>
      <c r="D44" s="53">
        <v>36.266399999999997</v>
      </c>
      <c r="E44" s="62">
        <v>23.227952149576002</v>
      </c>
      <c r="F44" s="53">
        <v>7.6450443969269832</v>
      </c>
      <c r="G44" s="53">
        <v>12.860763096784234</v>
      </c>
      <c r="H44" s="62">
        <v>0.14240808213064637</v>
      </c>
      <c r="I44" s="63">
        <v>0.13457768055796571</v>
      </c>
      <c r="J44" s="62">
        <v>44.575998359010732</v>
      </c>
      <c r="K44" s="63">
        <v>16.312887895267774</v>
      </c>
      <c r="L44" s="8"/>
      <c r="M44" s="52">
        <f t="shared" si="0"/>
        <v>95.743786632791767</v>
      </c>
      <c r="N44" s="53">
        <f t="shared" si="1"/>
        <v>95.743786632791767</v>
      </c>
      <c r="O44" s="52">
        <f t="shared" si="2"/>
        <v>13.003171178914881</v>
      </c>
      <c r="P44" s="53">
        <f t="shared" si="3"/>
        <v>13.003171178914881</v>
      </c>
      <c r="Q44" s="52">
        <f t="shared" si="4"/>
        <v>108.74695781170665</v>
      </c>
      <c r="R44" s="53">
        <f t="shared" si="5"/>
        <v>108.74695781170665</v>
      </c>
      <c r="S44" s="8"/>
      <c r="T44" s="8"/>
      <c r="U44" s="8"/>
      <c r="V44" s="8"/>
      <c r="W44" s="8"/>
      <c r="X44" s="8"/>
      <c r="Y44" s="8"/>
      <c r="Z44" s="8"/>
    </row>
    <row r="45" spans="1:26">
      <c r="A45" s="51" t="s">
        <v>2</v>
      </c>
      <c r="B45" s="50" t="s">
        <v>191</v>
      </c>
      <c r="C45" s="52">
        <v>0</v>
      </c>
      <c r="D45" s="53">
        <v>0</v>
      </c>
      <c r="E45" s="62">
        <v>5.9888020560814131E-2</v>
      </c>
      <c r="F45" s="53">
        <v>6.9782630197212127E-3</v>
      </c>
      <c r="G45" s="53">
        <v>3.9427426626284172E-2</v>
      </c>
      <c r="H45" s="62">
        <v>0</v>
      </c>
      <c r="I45" s="63">
        <v>0</v>
      </c>
      <c r="J45" s="62">
        <v>7.1999999999999998E-3</v>
      </c>
      <c r="K45" s="63">
        <v>4.2998436000000001E-2</v>
      </c>
      <c r="L45" s="8"/>
      <c r="M45" s="52">
        <f t="shared" si="0"/>
        <v>2.046059393452996E-2</v>
      </c>
      <c r="N45" s="53">
        <f t="shared" si="1"/>
        <v>2.046059393452996E-2</v>
      </c>
      <c r="O45" s="52">
        <f t="shared" si="2"/>
        <v>3.9427426626284172E-2</v>
      </c>
      <c r="P45" s="53">
        <f t="shared" si="3"/>
        <v>3.9427426626284172E-2</v>
      </c>
      <c r="Q45" s="52">
        <f t="shared" si="4"/>
        <v>5.9888020560814131E-2</v>
      </c>
      <c r="R45" s="53">
        <f t="shared" si="5"/>
        <v>5.9888020560814131E-2</v>
      </c>
      <c r="S45" s="8"/>
      <c r="T45" s="8"/>
      <c r="U45" s="8"/>
      <c r="V45" s="8"/>
      <c r="W45" s="8"/>
      <c r="X45" s="8"/>
      <c r="Y45" s="8"/>
      <c r="Z45" s="8"/>
    </row>
    <row r="46" spans="1:26">
      <c r="A46" s="51" t="s">
        <v>32</v>
      </c>
      <c r="B46" s="50" t="s">
        <v>192</v>
      </c>
      <c r="C46" s="52">
        <v>0</v>
      </c>
      <c r="D46" s="53">
        <v>0</v>
      </c>
      <c r="E46" s="62">
        <v>0</v>
      </c>
      <c r="F46" s="53">
        <v>0</v>
      </c>
      <c r="G46" s="53">
        <v>0</v>
      </c>
      <c r="H46" s="62">
        <v>0</v>
      </c>
      <c r="I46" s="63">
        <v>0</v>
      </c>
      <c r="J46" s="62">
        <v>0</v>
      </c>
      <c r="K46" s="63">
        <v>0</v>
      </c>
      <c r="L46" s="8"/>
      <c r="M46" s="52">
        <f t="shared" si="0"/>
        <v>0</v>
      </c>
      <c r="N46" s="53">
        <f t="shared" si="1"/>
        <v>0</v>
      </c>
      <c r="O46" s="52">
        <f t="shared" si="2"/>
        <v>0</v>
      </c>
      <c r="P46" s="53">
        <f t="shared" si="3"/>
        <v>0</v>
      </c>
      <c r="Q46" s="52">
        <f t="shared" si="4"/>
        <v>0</v>
      </c>
      <c r="R46" s="53">
        <f t="shared" si="5"/>
        <v>0</v>
      </c>
      <c r="S46" s="8"/>
      <c r="T46" s="8"/>
      <c r="U46" s="8"/>
      <c r="V46" s="8"/>
      <c r="W46" s="8"/>
      <c r="X46" s="8"/>
      <c r="Y46" s="8"/>
      <c r="Z46" s="8"/>
    </row>
    <row r="47" spans="1:26">
      <c r="A47" s="51" t="s">
        <v>169</v>
      </c>
      <c r="B47" s="54" t="s">
        <v>84</v>
      </c>
      <c r="C47" s="64">
        <f t="shared" ref="C47:K47" si="9">SUM(C43:C46)-C46+C20+C21+C22</f>
        <v>108.83741511600002</v>
      </c>
      <c r="D47" s="65">
        <f t="shared" si="9"/>
        <v>45.741599999999998</v>
      </c>
      <c r="E47" s="66">
        <f t="shared" si="9"/>
        <v>61.692743726370701</v>
      </c>
      <c r="F47" s="65">
        <f t="shared" si="9"/>
        <v>17.959523924496093</v>
      </c>
      <c r="G47" s="65">
        <f t="shared" si="9"/>
        <v>35.312359107221127</v>
      </c>
      <c r="H47" s="66">
        <f t="shared" si="9"/>
        <v>5.9392131302966149</v>
      </c>
      <c r="I47" s="67">
        <f t="shared" si="9"/>
        <v>5.1124449425663956</v>
      </c>
      <c r="J47" s="66">
        <f t="shared" si="9"/>
        <v>69.32239835901072</v>
      </c>
      <c r="K47" s="67">
        <f t="shared" si="9"/>
        <v>54.83258190437239</v>
      </c>
      <c r="L47" s="8"/>
      <c r="M47" s="55">
        <f t="shared" si="0"/>
        <v>135.21779973514958</v>
      </c>
      <c r="N47" s="56">
        <f t="shared" si="1"/>
        <v>135.21779973514958</v>
      </c>
      <c r="O47" s="55">
        <f t="shared" si="2"/>
        <v>41.251572237517742</v>
      </c>
      <c r="P47" s="56">
        <f t="shared" si="3"/>
        <v>41.251572237517742</v>
      </c>
      <c r="Q47" s="55">
        <f t="shared" si="4"/>
        <v>176.46937197266735</v>
      </c>
      <c r="R47" s="56">
        <f t="shared" si="5"/>
        <v>176.46937197266735</v>
      </c>
      <c r="S47" s="8"/>
      <c r="T47" s="8"/>
      <c r="U47" s="8"/>
      <c r="V47" s="8"/>
      <c r="W47" s="8"/>
      <c r="X47" s="8"/>
      <c r="Y47" s="8"/>
      <c r="Z47" s="8"/>
    </row>
    <row r="48" spans="1:26">
      <c r="A48" s="51" t="s">
        <v>338</v>
      </c>
      <c r="B48" s="50" t="s">
        <v>145</v>
      </c>
      <c r="C48" s="52">
        <v>248.77203602400002</v>
      </c>
      <c r="D48" s="53">
        <v>82.08</v>
      </c>
      <c r="E48" s="62">
        <v>0</v>
      </c>
      <c r="F48" s="53">
        <v>0</v>
      </c>
      <c r="G48" s="53">
        <v>0</v>
      </c>
      <c r="H48" s="62">
        <v>0</v>
      </c>
      <c r="I48" s="63">
        <v>0</v>
      </c>
      <c r="J48" s="62">
        <v>82.08</v>
      </c>
      <c r="K48" s="63">
        <v>0</v>
      </c>
      <c r="L48" s="8"/>
      <c r="M48" s="52">
        <f t="shared" si="0"/>
        <v>248.77203602400002</v>
      </c>
      <c r="N48" s="53">
        <f t="shared" ref="N48:N54" si="10">(D48+F48)*$J$5</f>
        <v>198.1342776243126</v>
      </c>
      <c r="O48" s="52">
        <f t="shared" si="2"/>
        <v>0</v>
      </c>
      <c r="P48" s="53">
        <f t="shared" ref="P48:P54" si="11">(G48+I48)*$J$7</f>
        <v>0</v>
      </c>
      <c r="Q48" s="52">
        <f t="shared" si="4"/>
        <v>248.77203602400002</v>
      </c>
      <c r="R48" s="53">
        <f t="shared" ref="R48:R54" si="12">N48+P48</f>
        <v>198.1342776243126</v>
      </c>
      <c r="S48" s="8"/>
      <c r="T48" s="8"/>
      <c r="U48" s="8"/>
      <c r="V48" s="8"/>
      <c r="W48" s="8"/>
      <c r="X48" s="8"/>
      <c r="Y48" s="8"/>
      <c r="Z48" s="8"/>
    </row>
    <row r="49" spans="1:26">
      <c r="A49" s="51" t="s">
        <v>57</v>
      </c>
      <c r="B49" s="21" t="s">
        <v>147</v>
      </c>
      <c r="C49" s="52">
        <v>46.527573455999999</v>
      </c>
      <c r="D49" s="53">
        <v>46.519199999999998</v>
      </c>
      <c r="E49" s="62">
        <v>0</v>
      </c>
      <c r="F49" s="53">
        <v>0</v>
      </c>
      <c r="G49" s="53">
        <v>0</v>
      </c>
      <c r="H49" s="62">
        <v>0</v>
      </c>
      <c r="I49" s="63">
        <v>0</v>
      </c>
      <c r="J49" s="62">
        <v>46.519199999999998</v>
      </c>
      <c r="K49" s="63">
        <v>0</v>
      </c>
      <c r="L49" s="8"/>
      <c r="M49" s="52">
        <f t="shared" si="0"/>
        <v>46.527573455999999</v>
      </c>
      <c r="N49" s="53">
        <f t="shared" si="10"/>
        <v>112.29347085356873</v>
      </c>
      <c r="O49" s="52">
        <f t="shared" si="2"/>
        <v>0</v>
      </c>
      <c r="P49" s="53">
        <f t="shared" si="11"/>
        <v>0</v>
      </c>
      <c r="Q49" s="52">
        <f t="shared" si="4"/>
        <v>46.527573455999999</v>
      </c>
      <c r="R49" s="53">
        <f t="shared" si="12"/>
        <v>112.29347085356873</v>
      </c>
      <c r="S49" s="8"/>
      <c r="T49" s="8"/>
      <c r="U49" s="8"/>
      <c r="V49" s="8"/>
      <c r="W49" s="8"/>
      <c r="X49" s="8"/>
      <c r="Y49" s="8"/>
      <c r="Z49" s="8"/>
    </row>
    <row r="50" spans="1:26">
      <c r="A50" s="51" t="s">
        <v>170</v>
      </c>
      <c r="B50" s="21" t="s">
        <v>146</v>
      </c>
      <c r="C50" s="52">
        <v>0</v>
      </c>
      <c r="D50" s="53">
        <v>0</v>
      </c>
      <c r="E50" s="62">
        <v>0</v>
      </c>
      <c r="F50" s="53">
        <v>0</v>
      </c>
      <c r="G50" s="53">
        <v>0</v>
      </c>
      <c r="H50" s="62">
        <v>0.4952298163119222</v>
      </c>
      <c r="I50" s="63">
        <v>0.90302757505406062</v>
      </c>
      <c r="J50" s="62">
        <v>0</v>
      </c>
      <c r="K50" s="63">
        <v>0.90302757505406062</v>
      </c>
      <c r="L50" s="8"/>
      <c r="M50" s="52">
        <f t="shared" si="0"/>
        <v>0</v>
      </c>
      <c r="N50" s="53">
        <f t="shared" si="10"/>
        <v>0</v>
      </c>
      <c r="O50" s="52">
        <f t="shared" si="2"/>
        <v>0.4952298163119222</v>
      </c>
      <c r="P50" s="53">
        <f t="shared" si="11"/>
        <v>0.99818714955712928</v>
      </c>
      <c r="Q50" s="52">
        <f t="shared" si="4"/>
        <v>0.4952298163119222</v>
      </c>
      <c r="R50" s="53">
        <f t="shared" si="12"/>
        <v>0.99818714955712928</v>
      </c>
      <c r="S50" s="8"/>
      <c r="T50" s="8"/>
      <c r="U50" s="8"/>
      <c r="V50" s="8"/>
      <c r="W50" s="8"/>
      <c r="X50" s="8"/>
      <c r="Y50" s="8"/>
      <c r="Z50" s="8"/>
    </row>
    <row r="51" spans="1:26">
      <c r="A51" s="51" t="s">
        <v>171</v>
      </c>
      <c r="B51" s="21" t="s">
        <v>66</v>
      </c>
      <c r="C51" s="52">
        <v>1.800324E-2</v>
      </c>
      <c r="D51" s="53">
        <v>1.7999999999999999E-2</v>
      </c>
      <c r="E51" s="62">
        <v>0</v>
      </c>
      <c r="F51" s="53">
        <v>0</v>
      </c>
      <c r="G51" s="53">
        <v>0</v>
      </c>
      <c r="H51" s="62">
        <v>0</v>
      </c>
      <c r="I51" s="63">
        <v>0</v>
      </c>
      <c r="J51" s="62">
        <v>1.7999999999999999E-2</v>
      </c>
      <c r="K51" s="63">
        <v>0</v>
      </c>
      <c r="L51" s="8"/>
      <c r="M51" s="52">
        <f t="shared" si="0"/>
        <v>1.800324E-2</v>
      </c>
      <c r="N51" s="53">
        <f t="shared" si="10"/>
        <v>4.3450499479015921E-2</v>
      </c>
      <c r="O51" s="52">
        <f t="shared" si="2"/>
        <v>0</v>
      </c>
      <c r="P51" s="53">
        <f t="shared" si="11"/>
        <v>0</v>
      </c>
      <c r="Q51" s="52">
        <f t="shared" si="4"/>
        <v>1.800324E-2</v>
      </c>
      <c r="R51" s="53">
        <f t="shared" si="12"/>
        <v>4.3450499479015921E-2</v>
      </c>
      <c r="S51" s="8"/>
      <c r="T51" s="8"/>
      <c r="U51" s="8"/>
      <c r="V51" s="8"/>
      <c r="W51" s="8"/>
      <c r="X51" s="8"/>
      <c r="Y51" s="8"/>
      <c r="Z51" s="8"/>
    </row>
    <row r="52" spans="1:26">
      <c r="A52" s="51" t="s">
        <v>168</v>
      </c>
      <c r="B52" s="21" t="s">
        <v>148</v>
      </c>
      <c r="C52" s="52">
        <v>0</v>
      </c>
      <c r="D52" s="53">
        <v>0</v>
      </c>
      <c r="E52" s="62">
        <v>0</v>
      </c>
      <c r="F52" s="53">
        <v>0</v>
      </c>
      <c r="G52" s="53">
        <v>0</v>
      </c>
      <c r="H52" s="62">
        <v>0</v>
      </c>
      <c r="I52" s="63">
        <v>0</v>
      </c>
      <c r="J52" s="62">
        <v>0</v>
      </c>
      <c r="K52" s="63">
        <v>0</v>
      </c>
      <c r="L52" s="8"/>
      <c r="M52" s="52">
        <f t="shared" si="0"/>
        <v>0</v>
      </c>
      <c r="N52" s="53">
        <f t="shared" si="10"/>
        <v>0</v>
      </c>
      <c r="O52" s="52">
        <f t="shared" si="2"/>
        <v>0</v>
      </c>
      <c r="P52" s="53">
        <f t="shared" si="11"/>
        <v>0</v>
      </c>
      <c r="Q52" s="52">
        <f t="shared" si="4"/>
        <v>0</v>
      </c>
      <c r="R52" s="53">
        <f t="shared" si="12"/>
        <v>0</v>
      </c>
      <c r="S52" s="8"/>
      <c r="T52" s="8"/>
      <c r="U52" s="8"/>
      <c r="V52" s="8"/>
      <c r="W52" s="8"/>
      <c r="X52" s="8"/>
      <c r="Y52" s="8"/>
      <c r="Z52" s="8"/>
    </row>
    <row r="53" spans="1:26">
      <c r="A53" s="51" t="s">
        <v>172</v>
      </c>
      <c r="B53" s="50" t="s">
        <v>149</v>
      </c>
      <c r="C53" s="52">
        <v>1.0585905120000001</v>
      </c>
      <c r="D53" s="53">
        <v>1.0584</v>
      </c>
      <c r="E53" s="62">
        <v>0</v>
      </c>
      <c r="F53" s="53">
        <v>0</v>
      </c>
      <c r="G53" s="53">
        <v>0</v>
      </c>
      <c r="H53" s="62">
        <v>0</v>
      </c>
      <c r="I53" s="63">
        <v>0</v>
      </c>
      <c r="J53" s="62">
        <v>1.0584</v>
      </c>
      <c r="K53" s="63">
        <v>0</v>
      </c>
      <c r="L53" s="8"/>
      <c r="M53" s="52">
        <f t="shared" si="0"/>
        <v>1.0585905120000001</v>
      </c>
      <c r="N53" s="53">
        <f t="shared" si="10"/>
        <v>2.5548893693661361</v>
      </c>
      <c r="O53" s="52">
        <f t="shared" si="2"/>
        <v>0</v>
      </c>
      <c r="P53" s="53">
        <f t="shared" si="11"/>
        <v>0</v>
      </c>
      <c r="Q53" s="52">
        <f t="shared" si="4"/>
        <v>1.0585905120000001</v>
      </c>
      <c r="R53" s="53">
        <f t="shared" si="12"/>
        <v>2.5548893693661361</v>
      </c>
      <c r="S53" s="8"/>
      <c r="T53" s="8"/>
      <c r="U53" s="8"/>
      <c r="V53" s="8"/>
      <c r="W53" s="8"/>
      <c r="X53" s="8"/>
      <c r="Y53" s="8"/>
      <c r="Z53" s="8"/>
    </row>
    <row r="54" spans="1:26">
      <c r="A54" s="51"/>
      <c r="B54" s="50" t="s">
        <v>314</v>
      </c>
      <c r="C54" s="52">
        <v>0</v>
      </c>
      <c r="D54" s="53">
        <v>4.3199999999956162E-2</v>
      </c>
      <c r="E54" s="62">
        <v>0</v>
      </c>
      <c r="F54" s="53">
        <v>9.0000000000003411E-2</v>
      </c>
      <c r="G54" s="53">
        <v>0.56898612000000526</v>
      </c>
      <c r="H54" s="62">
        <v>0</v>
      </c>
      <c r="I54" s="63">
        <v>0</v>
      </c>
      <c r="J54" s="62">
        <v>0.92519999999995584</v>
      </c>
      <c r="K54" s="63">
        <v>0</v>
      </c>
      <c r="L54" s="8"/>
      <c r="M54" s="52">
        <f t="shared" si="0"/>
        <v>-0.56898612000000526</v>
      </c>
      <c r="N54" s="53">
        <f t="shared" si="10"/>
        <v>0.32153369614462024</v>
      </c>
      <c r="O54" s="52">
        <f t="shared" si="2"/>
        <v>0.56898612000000526</v>
      </c>
      <c r="P54" s="53">
        <f t="shared" si="11"/>
        <v>0.62894495024293673</v>
      </c>
      <c r="Q54" s="52">
        <f t="shared" si="4"/>
        <v>0</v>
      </c>
      <c r="R54" s="53">
        <f t="shared" si="12"/>
        <v>0.95047864638755697</v>
      </c>
      <c r="S54" s="8"/>
      <c r="T54" s="8"/>
      <c r="U54" s="8"/>
      <c r="V54" s="8"/>
      <c r="W54" s="8"/>
      <c r="X54" s="8"/>
      <c r="Y54" s="8"/>
      <c r="Z54" s="8"/>
    </row>
    <row r="55" spans="1:26">
      <c r="A55" s="57"/>
      <c r="B55" s="58" t="s">
        <v>167</v>
      </c>
      <c r="C55" s="64">
        <f t="shared" ref="C55:K55" si="13">SUM(C48:C54)+C47+C42+C36+C26</f>
        <v>421.67875363200005</v>
      </c>
      <c r="D55" s="65">
        <f t="shared" si="13"/>
        <v>181.62719999999996</v>
      </c>
      <c r="E55" s="66">
        <f t="shared" si="13"/>
        <v>116.66595532210329</v>
      </c>
      <c r="F55" s="65">
        <f t="shared" si="13"/>
        <v>33.86495380196488</v>
      </c>
      <c r="G55" s="65">
        <f t="shared" si="13"/>
        <v>65.95606835173048</v>
      </c>
      <c r="H55" s="66">
        <f t="shared" si="13"/>
        <v>38.680364016113927</v>
      </c>
      <c r="I55" s="65">
        <f t="shared" si="13"/>
        <v>34.992872163478587</v>
      </c>
      <c r="J55" s="64">
        <f t="shared" si="13"/>
        <v>258.16702356126677</v>
      </c>
      <c r="K55" s="65">
        <f t="shared" si="13"/>
        <v>161.30810426400001</v>
      </c>
      <c r="L55" s="8"/>
      <c r="M55" s="59">
        <f t="shared" ref="M55:R55" si="14">SUM(M48:M53)+M47+M42+M36+M26</f>
        <v>472.95762672237288</v>
      </c>
      <c r="N55" s="56">
        <f t="shared" si="14"/>
        <v>489.60751183709937</v>
      </c>
      <c r="O55" s="59">
        <f t="shared" si="14"/>
        <v>104.0674462478444</v>
      </c>
      <c r="P55" s="56">
        <f t="shared" si="14"/>
        <v>104.57040358108961</v>
      </c>
      <c r="Q55" s="59">
        <f t="shared" si="14"/>
        <v>577.02507297021725</v>
      </c>
      <c r="R55" s="56">
        <f t="shared" si="14"/>
        <v>594.17791541818895</v>
      </c>
      <c r="S55" s="8"/>
      <c r="T55" s="8"/>
      <c r="U55" s="8"/>
      <c r="V55" s="8"/>
      <c r="W55" s="8"/>
      <c r="X55" s="8"/>
      <c r="Y55" s="8"/>
      <c r="Z55" s="8"/>
    </row>
    <row r="56" spans="1:26">
      <c r="A56" s="41"/>
      <c r="B56" s="51" t="s">
        <v>52</v>
      </c>
      <c r="C56" s="68">
        <v>421.67875363200005</v>
      </c>
      <c r="D56" s="69">
        <v>181.62719999999999</v>
      </c>
      <c r="E56" s="68">
        <v>116.6659553221033</v>
      </c>
      <c r="F56" s="53">
        <v>33.86495380196488</v>
      </c>
      <c r="G56" s="53">
        <v>65.956068351730494</v>
      </c>
      <c r="H56" s="68">
        <v>38.680364016113927</v>
      </c>
      <c r="I56" s="53">
        <v>34.992872163478587</v>
      </c>
      <c r="J56" s="68">
        <v>258.16702356126677</v>
      </c>
      <c r="K56" s="53">
        <v>161.30810426400004</v>
      </c>
      <c r="L56" s="8"/>
      <c r="M56" s="8"/>
      <c r="N56" s="87"/>
      <c r="O56" s="87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8">
      <c r="A58" s="125"/>
      <c r="B58" s="60" t="s">
        <v>82</v>
      </c>
      <c r="C58" s="34"/>
      <c r="D58" s="34"/>
      <c r="E58" s="34"/>
      <c r="F58" s="34"/>
      <c r="G58" s="61"/>
      <c r="H58" s="61"/>
      <c r="J58" s="39"/>
      <c r="K58" s="39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125"/>
      <c r="B59" s="109"/>
      <c r="C59" s="110" t="s">
        <v>36</v>
      </c>
      <c r="D59" s="110" t="s">
        <v>37</v>
      </c>
      <c r="E59" s="111"/>
      <c r="F59" s="110" t="s">
        <v>41</v>
      </c>
      <c r="G59" s="110" t="s">
        <v>41</v>
      </c>
      <c r="H59" s="110" t="s">
        <v>39</v>
      </c>
      <c r="I59" s="110" t="s">
        <v>40</v>
      </c>
      <c r="J59" s="110" t="s">
        <v>138</v>
      </c>
      <c r="K59" s="111"/>
      <c r="L59" s="8"/>
      <c r="M59" s="163" t="s">
        <v>322</v>
      </c>
      <c r="N59" s="163"/>
      <c r="O59" s="163"/>
      <c r="P59" s="163"/>
      <c r="Q59" s="163"/>
      <c r="R59" s="163"/>
      <c r="S59" s="163"/>
      <c r="T59" s="8"/>
      <c r="U59" s="8"/>
      <c r="V59" s="8"/>
      <c r="W59" s="8"/>
      <c r="X59" s="8"/>
      <c r="Y59" s="8"/>
      <c r="Z59" s="8"/>
    </row>
    <row r="60" spans="1:26">
      <c r="A60" s="125"/>
      <c r="B60" s="125"/>
      <c r="C60" s="120" t="s">
        <v>156</v>
      </c>
      <c r="D60" s="120" t="s">
        <v>54</v>
      </c>
      <c r="E60" s="120" t="s">
        <v>156</v>
      </c>
      <c r="F60" s="120" t="s">
        <v>164</v>
      </c>
      <c r="G60" s="120" t="s">
        <v>165</v>
      </c>
      <c r="H60" s="120" t="s">
        <v>166</v>
      </c>
      <c r="I60" s="120" t="s">
        <v>165</v>
      </c>
      <c r="J60" s="120" t="s">
        <v>54</v>
      </c>
      <c r="K60" s="120" t="s">
        <v>156</v>
      </c>
      <c r="L60" s="8"/>
      <c r="M60" s="6"/>
      <c r="N60" s="6"/>
      <c r="O60" s="162" t="s">
        <v>327</v>
      </c>
      <c r="P60" s="6"/>
      <c r="Q60" s="162" t="s">
        <v>326</v>
      </c>
      <c r="R60" s="6" t="s">
        <v>325</v>
      </c>
      <c r="S60" s="6"/>
      <c r="T60" s="8"/>
      <c r="U60" s="8"/>
      <c r="V60" s="8"/>
      <c r="W60" s="8"/>
      <c r="X60" s="8"/>
      <c r="Y60" s="8"/>
      <c r="Z60" s="8"/>
    </row>
    <row r="61" spans="1:26">
      <c r="B61" s="125" t="s">
        <v>315</v>
      </c>
      <c r="C61" s="120"/>
      <c r="D61" s="120"/>
      <c r="E61" s="120"/>
      <c r="F61" s="120"/>
      <c r="G61" s="120"/>
      <c r="H61" s="120"/>
      <c r="I61" s="120"/>
      <c r="J61" s="120"/>
      <c r="K61" s="120"/>
      <c r="L61" s="8"/>
      <c r="M61" s="146" t="s">
        <v>323</v>
      </c>
      <c r="N61" s="146"/>
      <c r="O61" s="146"/>
      <c r="P61" s="146"/>
      <c r="Q61" s="146"/>
      <c r="R61" s="146"/>
      <c r="S61" s="146"/>
      <c r="T61" s="8"/>
      <c r="U61" s="8"/>
      <c r="V61" s="8"/>
      <c r="W61" s="8"/>
      <c r="X61" s="8"/>
      <c r="Y61" s="8"/>
      <c r="Z61" s="8"/>
    </row>
    <row r="62" spans="1:26">
      <c r="B62" s="125" t="s">
        <v>143</v>
      </c>
      <c r="C62" s="120" t="s">
        <v>123</v>
      </c>
      <c r="D62" s="120" t="s">
        <v>122</v>
      </c>
      <c r="E62" s="120" t="s">
        <v>316</v>
      </c>
      <c r="F62" s="120" t="s">
        <v>161</v>
      </c>
      <c r="G62" s="120" t="s">
        <v>317</v>
      </c>
      <c r="H62" s="120" t="s">
        <v>159</v>
      </c>
      <c r="I62" s="120" t="s">
        <v>160</v>
      </c>
      <c r="J62" s="120" t="s">
        <v>124</v>
      </c>
      <c r="K62" s="120" t="s">
        <v>376</v>
      </c>
      <c r="L62" s="8"/>
      <c r="M62" s="153" t="s">
        <v>320</v>
      </c>
      <c r="N62" s="6"/>
      <c r="O62" s="150">
        <f>G63+D54+F54</f>
        <v>-10.769234017013609</v>
      </c>
      <c r="P62" s="147">
        <f>SUMPRODUCT(P63:P64,O63:O64)</f>
        <v>12.006498295869676</v>
      </c>
      <c r="Q62" s="145"/>
      <c r="R62" s="145"/>
      <c r="S62" s="145"/>
      <c r="T62" s="8"/>
      <c r="U62" s="8"/>
      <c r="V62" s="8"/>
      <c r="W62" s="8"/>
      <c r="X62" s="8"/>
      <c r="Y62" s="8"/>
      <c r="Z62" s="8"/>
    </row>
    <row r="63" spans="1:26">
      <c r="B63" s="125" t="s">
        <v>158</v>
      </c>
      <c r="C63" s="120">
        <f>D56</f>
        <v>181.62719999999999</v>
      </c>
      <c r="D63" s="120">
        <f>F56</f>
        <v>33.86495380196488</v>
      </c>
      <c r="E63" s="120">
        <f>J56-D63-C63</f>
        <v>42.674869759301913</v>
      </c>
      <c r="F63" s="120">
        <v>-8.8621516201130994</v>
      </c>
      <c r="G63" s="120">
        <v>-10.902434017013569</v>
      </c>
      <c r="H63" s="120">
        <v>0</v>
      </c>
      <c r="I63" s="120">
        <v>0</v>
      </c>
      <c r="J63" s="120">
        <v>0.88575940799999997</v>
      </c>
      <c r="K63" s="120">
        <v>37.810404648000002</v>
      </c>
      <c r="M63" s="153" t="s">
        <v>318</v>
      </c>
      <c r="N63" s="159"/>
      <c r="O63" s="157">
        <f>SUM(J26,J36,J42,J47,J48,J50)</f>
        <v>209.64622356126682</v>
      </c>
      <c r="P63" s="151">
        <v>5.5E-2</v>
      </c>
      <c r="Q63" s="149">
        <f>1+P63*O$62/$P$62</f>
        <v>0.95066772539837807</v>
      </c>
      <c r="R63" s="157">
        <f>O63*Q63</f>
        <v>199.3038984913494</v>
      </c>
      <c r="S63" s="145"/>
    </row>
    <row r="64" spans="1:26">
      <c r="B64" s="125" t="s">
        <v>193</v>
      </c>
      <c r="C64" s="120">
        <v>1</v>
      </c>
      <c r="D64" s="120">
        <v>1</v>
      </c>
      <c r="E64" s="120">
        <v>0.5</v>
      </c>
      <c r="F64" s="120">
        <v>9.1959840556265535E-2</v>
      </c>
      <c r="G64" s="120">
        <v>0</v>
      </c>
      <c r="H64" s="120">
        <v>2.0297272007606455E-2</v>
      </c>
      <c r="I64" s="120">
        <v>1.1907909295419057E-2</v>
      </c>
      <c r="J64" s="120" t="s">
        <v>55</v>
      </c>
      <c r="K64" s="120" t="s">
        <v>55</v>
      </c>
      <c r="M64" s="154" t="s">
        <v>319</v>
      </c>
      <c r="N64" s="160"/>
      <c r="O64" s="158">
        <f>SUM(J49,J51:J53)</f>
        <v>47.595599999999997</v>
      </c>
      <c r="P64" s="152">
        <v>0.01</v>
      </c>
      <c r="Q64" s="148">
        <f>1+P64*O$62/$P$62</f>
        <v>0.99103049552697786</v>
      </c>
      <c r="R64" s="158">
        <f>O64*Q64</f>
        <v>47.168691052903824</v>
      </c>
      <c r="S64" s="141"/>
    </row>
    <row r="65" spans="1:19">
      <c r="B65" s="125" t="s">
        <v>138</v>
      </c>
      <c r="C65" s="120">
        <f>I56</f>
        <v>34.992872163478587</v>
      </c>
      <c r="D65" s="120">
        <f>G56</f>
        <v>65.956068351730494</v>
      </c>
      <c r="E65" s="120">
        <f>K56-D65-C65</f>
        <v>60.359163748790955</v>
      </c>
      <c r="F65" s="120">
        <v>-9.6650140320000002</v>
      </c>
      <c r="G65" s="120">
        <v>0</v>
      </c>
      <c r="H65" s="120">
        <v>0</v>
      </c>
      <c r="I65" s="120">
        <v>0</v>
      </c>
      <c r="J65" s="120">
        <v>-1.8306364319999999</v>
      </c>
      <c r="K65" s="120">
        <v>4.1262588720000002</v>
      </c>
      <c r="M65" s="145" t="s">
        <v>324</v>
      </c>
      <c r="N65" s="6"/>
      <c r="O65" s="146"/>
      <c r="P65" s="146"/>
      <c r="Q65" s="146"/>
      <c r="R65" s="146"/>
      <c r="S65" s="146"/>
    </row>
    <row r="66" spans="1:19">
      <c r="B66" s="125" t="s">
        <v>42</v>
      </c>
      <c r="C66" s="120">
        <v>1</v>
      </c>
      <c r="D66" s="120">
        <v>1</v>
      </c>
      <c r="E66" s="120">
        <f>F68</f>
        <v>0</v>
      </c>
      <c r="F66" s="120">
        <v>0.10984977295183504</v>
      </c>
      <c r="G66" s="120">
        <v>2.7708998603502059E-3</v>
      </c>
      <c r="H66" s="120">
        <v>0</v>
      </c>
      <c r="I66" s="120">
        <v>0</v>
      </c>
      <c r="J66" s="120" t="s">
        <v>55</v>
      </c>
      <c r="K66" s="120" t="s">
        <v>55</v>
      </c>
      <c r="M66" s="155" t="s">
        <v>321</v>
      </c>
      <c r="N66" s="161"/>
      <c r="O66" s="180">
        <f>G55+I55-G54-I54</f>
        <v>100.37995439520907</v>
      </c>
      <c r="P66" s="150">
        <f>G65+G54+I54+J65+K65-J63</f>
        <v>1.9788491520000056</v>
      </c>
      <c r="Q66" s="156">
        <f>1+IF(O66,P66/O66)</f>
        <v>1.019713588872625</v>
      </c>
      <c r="R66" s="179">
        <f>O66*Q66</f>
        <v>102.35880354720906</v>
      </c>
      <c r="S66" s="141"/>
    </row>
    <row r="67" spans="1:19">
      <c r="B67" s="125"/>
      <c r="C67" s="120"/>
      <c r="D67" s="120"/>
      <c r="E67" s="120"/>
      <c r="F67" s="199" t="s">
        <v>406</v>
      </c>
      <c r="G67" s="120" t="s">
        <v>548</v>
      </c>
      <c r="H67" s="31" t="s">
        <v>391</v>
      </c>
      <c r="I67" s="31" t="s">
        <v>392</v>
      </c>
      <c r="J67" s="31" t="s">
        <v>393</v>
      </c>
      <c r="K67" s="31" t="s">
        <v>405</v>
      </c>
      <c r="M67" s="51"/>
      <c r="N67" s="41"/>
      <c r="O67" s="190"/>
      <c r="P67" s="191"/>
      <c r="Q67" s="192"/>
      <c r="R67" s="190"/>
      <c r="S67" s="141"/>
    </row>
    <row r="68" spans="1:19">
      <c r="B68" s="125"/>
      <c r="C68" s="120"/>
      <c r="D68" s="120"/>
      <c r="E68" s="120"/>
      <c r="F68" s="199">
        <v>0</v>
      </c>
      <c r="G68" s="120">
        <v>1.4915893680000001</v>
      </c>
      <c r="H68" s="120">
        <v>56.598585912000004</v>
      </c>
      <c r="I68" s="120">
        <v>-18.788181264000002</v>
      </c>
      <c r="J68" s="120">
        <v>141.83334989472985</v>
      </c>
      <c r="K68" s="120">
        <v>2.1568007153310287</v>
      </c>
      <c r="M68" s="51"/>
      <c r="N68" s="41"/>
      <c r="O68" s="190"/>
      <c r="P68" s="191"/>
      <c r="Q68" s="192"/>
      <c r="R68" s="190"/>
      <c r="S68" s="141"/>
    </row>
    <row r="69" spans="1:19">
      <c r="A69" s="125"/>
      <c r="B69" s="125"/>
      <c r="C69" s="125"/>
      <c r="D69" s="125"/>
      <c r="E69" s="125"/>
      <c r="F69" s="125"/>
      <c r="G69" s="125"/>
      <c r="H69" s="125"/>
      <c r="I69" s="125"/>
      <c r="J69" s="125"/>
      <c r="K69" s="125"/>
      <c r="N69" s="127"/>
      <c r="O69" s="127"/>
      <c r="Q69" s="127"/>
    </row>
    <row r="70" spans="1:19">
      <c r="A70" s="125"/>
      <c r="B70" s="177" t="s">
        <v>337</v>
      </c>
      <c r="C70" s="177"/>
      <c r="D70" s="144"/>
      <c r="E70" s="178" t="s">
        <v>198</v>
      </c>
      <c r="F70" s="175">
        <f>1+SUM(F63,I63)/(SUMPRODUCT(C63:E63,C64:E64)+G63)</f>
        <v>0.96077429632896805</v>
      </c>
      <c r="H70" s="143"/>
      <c r="I70" s="125"/>
      <c r="J70" s="125"/>
      <c r="K70" s="125"/>
    </row>
    <row r="71" spans="1:19">
      <c r="E71" s="6" t="s">
        <v>53</v>
      </c>
      <c r="F71" s="176">
        <f ca="1">1+F65/(SUMPRODUCT(C65:E65,C66:E66)+P66+G68+Tiny)</f>
        <v>0.90744041842416534</v>
      </c>
    </row>
    <row r="74" spans="1:19" ht="16.5" thickBot="1">
      <c r="B74" s="168" t="s">
        <v>211</v>
      </c>
      <c r="C74" s="173"/>
      <c r="D74" s="173" t="s">
        <v>327</v>
      </c>
      <c r="E74" s="173" t="s">
        <v>489</v>
      </c>
      <c r="F74" s="173" t="s">
        <v>332</v>
      </c>
      <c r="G74" s="173"/>
      <c r="H74" s="173" t="s">
        <v>332</v>
      </c>
      <c r="I74" s="173"/>
    </row>
    <row r="75" spans="1:19" ht="15.75" thickTop="1">
      <c r="B75" s="172"/>
      <c r="C75" s="172" t="s">
        <v>329</v>
      </c>
      <c r="D75" s="172" t="s">
        <v>330</v>
      </c>
      <c r="E75" s="172" t="s">
        <v>490</v>
      </c>
      <c r="F75" s="172" t="s">
        <v>330</v>
      </c>
      <c r="G75" s="172"/>
      <c r="H75" s="172" t="s">
        <v>331</v>
      </c>
      <c r="I75" s="172" t="s">
        <v>54</v>
      </c>
      <c r="N75" s="128" t="s">
        <v>608</v>
      </c>
      <c r="O75" s="128"/>
      <c r="P75" s="128"/>
    </row>
    <row r="76" spans="1:19" ht="15">
      <c r="B76" s="169" t="s">
        <v>254</v>
      </c>
      <c r="C76" s="170">
        <f>C36</f>
        <v>0.565218</v>
      </c>
      <c r="D76" s="170">
        <f>D36</f>
        <v>0.23039999999999999</v>
      </c>
      <c r="E76" s="245">
        <v>0.4</v>
      </c>
      <c r="F76" s="170">
        <f>D76*Q$63</f>
        <v>0.21903384393178629</v>
      </c>
      <c r="G76" s="184"/>
      <c r="H76" s="184">
        <f t="shared" ref="H76:H85" ca="1" si="15">IF(C76&gt;0,MAX(0.8*E76,F76/(C76+Tiny)),E76)</f>
        <v>0.38752099817108676</v>
      </c>
      <c r="I76" s="170">
        <f t="shared" ref="I76:I86" si="16">C76*H76</f>
        <v>0.21903384354426531</v>
      </c>
      <c r="N76" s="128"/>
      <c r="O76" s="302" t="str">
        <f ca="1">IF(AuxYear&gt;BaseYear,"","~")&amp;"FI_T"</f>
        <v>FI_T</v>
      </c>
      <c r="P76" s="128"/>
    </row>
    <row r="77" spans="1:19" ht="15">
      <c r="B77" s="169" t="s">
        <v>255</v>
      </c>
      <c r="C77" s="170">
        <f>C26</f>
        <v>1.8795801240000001</v>
      </c>
      <c r="D77" s="170">
        <f>D26</f>
        <v>0.69479999999999997</v>
      </c>
      <c r="E77" s="245">
        <v>0.54</v>
      </c>
      <c r="F77" s="170">
        <f>D77*Q$63</f>
        <v>0.66052393560679301</v>
      </c>
      <c r="G77" s="184"/>
      <c r="H77" s="184">
        <f t="shared" ca="1" si="15"/>
        <v>0.43200000000000005</v>
      </c>
      <c r="I77" s="170">
        <f t="shared" si="16"/>
        <v>0.81197861356800016</v>
      </c>
      <c r="N77" s="128"/>
      <c r="O77" s="128" t="s">
        <v>218</v>
      </c>
      <c r="P77" s="128" t="s">
        <v>269</v>
      </c>
    </row>
    <row r="78" spans="1:19" ht="15">
      <c r="B78" s="169" t="s">
        <v>256</v>
      </c>
      <c r="C78" s="170">
        <f>C47-C43</f>
        <v>85.387608864000015</v>
      </c>
      <c r="D78" s="170">
        <f>D47-D43</f>
        <v>36.269999999999996</v>
      </c>
      <c r="E78" s="245">
        <v>0.44</v>
      </c>
      <c r="F78" s="170">
        <f>D78*Q$63</f>
        <v>34.480718400199166</v>
      </c>
      <c r="G78" s="184"/>
      <c r="H78" s="184">
        <f t="shared" ca="1" si="15"/>
        <v>0.40381407628727556</v>
      </c>
      <c r="I78" s="170">
        <f t="shared" si="16"/>
        <v>34.48071839979535</v>
      </c>
      <c r="N78" s="128"/>
      <c r="O78" s="128" t="s">
        <v>169</v>
      </c>
      <c r="P78" s="129">
        <f>1/(1+SUM(C26,E26,H26,C36,E36,H36)/SUM(C47,E47,H47))</f>
        <v>0.80216852651195691</v>
      </c>
    </row>
    <row r="79" spans="1:19" ht="15">
      <c r="B79" s="169" t="s">
        <v>347</v>
      </c>
      <c r="C79" s="170">
        <f>C43</f>
        <v>23.449806252000005</v>
      </c>
      <c r="D79" s="170">
        <f>D43</f>
        <v>9.4716000000000005</v>
      </c>
      <c r="E79" s="245">
        <v>0.42</v>
      </c>
      <c r="F79" s="170">
        <f>D79*Q$63</f>
        <v>9.0043444278832787</v>
      </c>
      <c r="G79" s="184"/>
      <c r="H79" s="184">
        <f t="shared" ca="1" si="15"/>
        <v>0.38398374514208727</v>
      </c>
      <c r="I79" s="170">
        <f t="shared" si="16"/>
        <v>9.0043444274992943</v>
      </c>
      <c r="N79" s="128"/>
      <c r="O79" s="128" t="s">
        <v>57</v>
      </c>
      <c r="P79" s="130">
        <f>(SUM(J49:J53)+J42)/J56</f>
        <v>0.33985928639312341</v>
      </c>
    </row>
    <row r="80" spans="1:19" ht="15">
      <c r="B80" s="169" t="s">
        <v>257</v>
      </c>
      <c r="C80" s="170">
        <f>C42-C38-C39</f>
        <v>12.620606184000001</v>
      </c>
      <c r="D80" s="170">
        <f>D42-D38-D39</f>
        <v>4.6943999999999999</v>
      </c>
      <c r="E80" s="245">
        <v>0.4</v>
      </c>
      <c r="F80" s="170">
        <f>D80*Q$63</f>
        <v>4.4628145701101456</v>
      </c>
      <c r="G80" s="184"/>
      <c r="H80" s="184">
        <f t="shared" ca="1" si="15"/>
        <v>0.35361332924042466</v>
      </c>
      <c r="I80" s="170">
        <f t="shared" si="16"/>
        <v>4.4628145697565316</v>
      </c>
      <c r="N80" s="128"/>
      <c r="O80" s="128" t="s">
        <v>417</v>
      </c>
      <c r="P80" s="129">
        <f>F70</f>
        <v>0.96077429632896805</v>
      </c>
    </row>
    <row r="81" spans="2:16" ht="15">
      <c r="B81" s="169" t="s">
        <v>147</v>
      </c>
      <c r="C81" s="170">
        <f>C49</f>
        <v>46.527573455999999</v>
      </c>
      <c r="D81" s="170">
        <f>D49+H63</f>
        <v>46.519199999999998</v>
      </c>
      <c r="E81" s="245">
        <v>0.99</v>
      </c>
      <c r="F81" s="170">
        <f>D81*Q$64</f>
        <v>46.101945827518584</v>
      </c>
      <c r="G81" s="184"/>
      <c r="H81" s="184">
        <f t="shared" ca="1" si="15"/>
        <v>0.99085214212009642</v>
      </c>
      <c r="I81" s="170">
        <f t="shared" si="16"/>
        <v>46.101945826527739</v>
      </c>
      <c r="N81" s="128"/>
      <c r="O81" s="128"/>
      <c r="P81" s="128"/>
    </row>
    <row r="82" spans="2:16">
      <c r="B82" s="169" t="s">
        <v>112</v>
      </c>
      <c r="C82" s="170">
        <f>C48</f>
        <v>248.77203602400002</v>
      </c>
      <c r="D82" s="170">
        <f>D48</f>
        <v>82.08</v>
      </c>
      <c r="E82" s="245">
        <v>0.35</v>
      </c>
      <c r="F82" s="170">
        <f>D82*Q$63</f>
        <v>78.030806900698877</v>
      </c>
      <c r="G82" s="184"/>
      <c r="H82" s="184">
        <f t="shared" ca="1" si="15"/>
        <v>0.31366389947806383</v>
      </c>
      <c r="I82" s="170">
        <f t="shared" si="16"/>
        <v>78.030806900385215</v>
      </c>
      <c r="N82" s="8"/>
      <c r="O82" s="8"/>
      <c r="P82" s="8"/>
    </row>
    <row r="83" spans="2:16">
      <c r="B83" s="169" t="s">
        <v>194</v>
      </c>
      <c r="C83" s="170">
        <f>C50</f>
        <v>0</v>
      </c>
      <c r="D83" s="170">
        <f>D50</f>
        <v>0</v>
      </c>
      <c r="E83" s="245">
        <v>0.1</v>
      </c>
      <c r="F83" s="170">
        <f>D83*Q$63</f>
        <v>0</v>
      </c>
      <c r="G83" s="184"/>
      <c r="H83" s="184">
        <f t="shared" ca="1" si="15"/>
        <v>0.1</v>
      </c>
      <c r="I83" s="170">
        <f t="shared" si="16"/>
        <v>0</v>
      </c>
      <c r="N83" s="8"/>
      <c r="O83" s="8"/>
      <c r="P83" s="8"/>
    </row>
    <row r="84" spans="2:16">
      <c r="B84" s="169" t="s">
        <v>197</v>
      </c>
      <c r="C84" s="170">
        <f>SUM(C52:C53)</f>
        <v>1.0585905120000001</v>
      </c>
      <c r="D84" s="170">
        <f>SUM(D52:D53)</f>
        <v>1.0584</v>
      </c>
      <c r="E84" s="245">
        <v>0.99</v>
      </c>
      <c r="F84" s="170">
        <f>D84*Q$64</f>
        <v>1.0489066764657533</v>
      </c>
      <c r="G84" s="184"/>
      <c r="H84" s="184">
        <f t="shared" ca="1" si="15"/>
        <v>0.99085214120538134</v>
      </c>
      <c r="I84" s="170">
        <f t="shared" si="16"/>
        <v>1.048906675474901</v>
      </c>
      <c r="N84" s="8"/>
      <c r="O84" s="8"/>
      <c r="P84" s="8"/>
    </row>
    <row r="85" spans="2:16">
      <c r="B85" s="169" t="s">
        <v>195</v>
      </c>
      <c r="C85" s="170">
        <f>SUM(C51)</f>
        <v>1.800324E-2</v>
      </c>
      <c r="D85" s="170">
        <f>SUM(D51)</f>
        <v>1.7999999999999999E-2</v>
      </c>
      <c r="E85" s="245">
        <v>0.99</v>
      </c>
      <c r="F85" s="170">
        <f>D85*Q$64</f>
        <v>1.7838548919485601E-2</v>
      </c>
      <c r="G85" s="184"/>
      <c r="H85" s="184">
        <f t="shared" ca="1" si="15"/>
        <v>0.990852087103961</v>
      </c>
      <c r="I85" s="170">
        <f t="shared" si="16"/>
        <v>1.7838547928633514E-2</v>
      </c>
      <c r="N85" s="8"/>
      <c r="O85" s="8"/>
      <c r="P85" s="8"/>
    </row>
    <row r="86" spans="2:16">
      <c r="B86" s="169" t="s">
        <v>52</v>
      </c>
      <c r="C86" s="170">
        <f>SUM(C76:C84)</f>
        <v>420.26101941600007</v>
      </c>
      <c r="D86" s="170">
        <f>SUM(D76:D84)</f>
        <v>181.0188</v>
      </c>
      <c r="E86" s="184"/>
      <c r="F86" s="170">
        <f>SUM(F76:F84)</f>
        <v>174.00909458241438</v>
      </c>
      <c r="G86" s="184"/>
      <c r="H86" s="184">
        <f ca="1">MAX(0.1,F86/(C86+Tiny))</f>
        <v>0.41405004638261605</v>
      </c>
      <c r="I86" s="228">
        <f t="shared" si="16"/>
        <v>174.00909458200033</v>
      </c>
      <c r="N86" s="8"/>
      <c r="O86" s="8"/>
      <c r="P86" s="8"/>
    </row>
    <row r="88" spans="2:16" ht="16.5" thickBot="1">
      <c r="B88" s="168" t="s">
        <v>37</v>
      </c>
      <c r="C88" s="173"/>
      <c r="D88" s="173" t="s">
        <v>327</v>
      </c>
      <c r="E88" s="173" t="s">
        <v>327</v>
      </c>
      <c r="F88" s="173" t="s">
        <v>332</v>
      </c>
      <c r="G88" s="173" t="s">
        <v>332</v>
      </c>
      <c r="H88" s="173" t="s">
        <v>332</v>
      </c>
      <c r="I88" s="173"/>
    </row>
    <row r="89" spans="2:16" ht="13.5" thickTop="1">
      <c r="B89" s="172"/>
      <c r="C89" s="172" t="s">
        <v>329</v>
      </c>
      <c r="D89" s="172" t="s">
        <v>330</v>
      </c>
      <c r="E89" s="172" t="s">
        <v>205</v>
      </c>
      <c r="F89" s="172" t="s">
        <v>330</v>
      </c>
      <c r="G89" s="172" t="s">
        <v>205</v>
      </c>
      <c r="H89" s="172" t="s">
        <v>331</v>
      </c>
      <c r="I89" s="172" t="s">
        <v>54</v>
      </c>
    </row>
    <row r="90" spans="2:16">
      <c r="B90" s="169" t="s">
        <v>254</v>
      </c>
      <c r="C90" s="170">
        <f>E36</f>
        <v>0.19948336554230781</v>
      </c>
      <c r="D90" s="170">
        <f>F36</f>
        <v>1.44E-2</v>
      </c>
      <c r="E90" s="170">
        <f>G36</f>
        <v>0.15889558543086335</v>
      </c>
      <c r="F90" s="170">
        <f t="shared" ref="F90:F95" si="17">MIN(D90*Q$63,C90/2)</f>
        <v>1.3689615245736643E-2</v>
      </c>
      <c r="G90" s="170">
        <f>E90*Q$66+D90*Q$63-F90</f>
        <v>0.16202798767572246</v>
      </c>
      <c r="H90" s="184">
        <f t="shared" ref="H90:H96" si="18">MAX(0.5,IF(C90,SUM(F90:G90)/C90,0.9))</f>
        <v>0.88086343662670818</v>
      </c>
      <c r="I90" s="170">
        <f t="shared" ref="I90:I97" si="19">C90*H90</f>
        <v>0.1757176029214591</v>
      </c>
    </row>
    <row r="91" spans="2:16">
      <c r="B91" s="169" t="s">
        <v>255</v>
      </c>
      <c r="C91" s="170">
        <f>E26</f>
        <v>18.980288427675816</v>
      </c>
      <c r="D91" s="170">
        <f>F26</f>
        <v>6.5273494876774478</v>
      </c>
      <c r="E91" s="170">
        <f>G26</f>
        <v>9.5547935997064393</v>
      </c>
      <c r="F91" s="170">
        <f t="shared" si="17"/>
        <v>6.2053404903305873</v>
      </c>
      <c r="G91" s="170">
        <f>E91*Q$66+D91*Q$63-F91</f>
        <v>9.743152872493841</v>
      </c>
      <c r="H91" s="184">
        <f t="shared" si="18"/>
        <v>0.84026612259323619</v>
      </c>
      <c r="I91" s="170">
        <f t="shared" si="19"/>
        <v>15.948493362824429</v>
      </c>
    </row>
    <row r="92" spans="2:16">
      <c r="B92" s="169" t="s">
        <v>256</v>
      </c>
      <c r="C92" s="170">
        <f>E47-E43</f>
        <v>23.560777662136815</v>
      </c>
      <c r="D92" s="170">
        <f>F47-F43</f>
        <v>7.7168226599467058</v>
      </c>
      <c r="E92" s="170">
        <f>G47-G43</f>
        <v>13.063182647410514</v>
      </c>
      <c r="F92" s="170">
        <f t="shared" si="17"/>
        <v>7.336134245434196</v>
      </c>
      <c r="G92" s="170">
        <f>E92*Q$66+D92*Q$63-F92</f>
        <v>13.320704859489574</v>
      </c>
      <c r="H92" s="184">
        <f t="shared" si="18"/>
        <v>0.87674691392382176</v>
      </c>
      <c r="I92" s="170">
        <f t="shared" si="19"/>
        <v>20.656839104923769</v>
      </c>
    </row>
    <row r="93" spans="2:16">
      <c r="B93" s="169" t="s">
        <v>347</v>
      </c>
      <c r="C93" s="170">
        <f>E43</f>
        <v>38.131966064233886</v>
      </c>
      <c r="D93" s="170">
        <f>F43</f>
        <v>10.242701264549387</v>
      </c>
      <c r="E93" s="170">
        <f>G43</f>
        <v>22.249176459810613</v>
      </c>
      <c r="F93" s="170">
        <f t="shared" si="17"/>
        <v>9.7374055131042567</v>
      </c>
      <c r="G93" s="170">
        <f>E93*Q$66+D93*Q$63-F93</f>
        <v>22.687787577293804</v>
      </c>
      <c r="H93" s="184">
        <f t="shared" si="18"/>
        <v>0.85034149657474578</v>
      </c>
      <c r="I93" s="170">
        <f t="shared" si="19"/>
        <v>32.425193090398061</v>
      </c>
    </row>
    <row r="94" spans="2:16">
      <c r="B94" s="169" t="s">
        <v>257</v>
      </c>
      <c r="C94" s="170">
        <f>E42-E38-E39</f>
        <v>33.092665170304841</v>
      </c>
      <c r="D94" s="170">
        <f>F42-F38-F39</f>
        <v>8.4847741762465052</v>
      </c>
      <c r="E94" s="170">
        <f>G42-G38-G39</f>
        <v>19.018433536755513</v>
      </c>
      <c r="F94" s="170">
        <f t="shared" si="17"/>
        <v>8.0662009666511629</v>
      </c>
      <c r="G94" s="170">
        <f>E94*Q$66+D94*Q$63-F94</f>
        <v>19.393355116500455</v>
      </c>
      <c r="H94" s="184">
        <f t="shared" si="18"/>
        <v>0.8297777148451615</v>
      </c>
      <c r="I94" s="170">
        <f t="shared" si="19"/>
        <v>27.459556083151618</v>
      </c>
    </row>
    <row r="95" spans="2:16">
      <c r="B95" s="169" t="s">
        <v>549</v>
      </c>
      <c r="C95" s="170">
        <f>SUM(C38:C39,E38:E39)</f>
        <v>4.1005056082096347</v>
      </c>
      <c r="D95" s="170">
        <f>SUM(D38:D39,F38:F39)</f>
        <v>1.3361062135448309</v>
      </c>
      <c r="E95" s="170">
        <f>G38+G39</f>
        <v>1.3426004026165295</v>
      </c>
      <c r="F95" s="170">
        <f t="shared" si="17"/>
        <v>1.2701930549213041</v>
      </c>
      <c r="G95" s="170">
        <f>MAX(C95*0.72,E95*Q$66+D95*Q$63)-F95</f>
        <v>1.6821709829896327</v>
      </c>
      <c r="H95" s="184">
        <f t="shared" si="18"/>
        <v>0.72</v>
      </c>
      <c r="I95" s="170">
        <f t="shared" si="19"/>
        <v>2.9523640379109368</v>
      </c>
    </row>
    <row r="96" spans="2:16">
      <c r="B96" s="169" t="s">
        <v>194</v>
      </c>
      <c r="C96" s="170">
        <f>E50</f>
        <v>0</v>
      </c>
      <c r="D96" s="170">
        <f>F50</f>
        <v>0</v>
      </c>
      <c r="E96" s="170">
        <f>G50</f>
        <v>0</v>
      </c>
      <c r="F96" s="170">
        <f>D96*Q$63</f>
        <v>0</v>
      </c>
      <c r="G96" s="170">
        <f>E96*Q$66</f>
        <v>0</v>
      </c>
      <c r="H96" s="184">
        <f t="shared" si="18"/>
        <v>0.9</v>
      </c>
      <c r="I96" s="170">
        <f t="shared" si="19"/>
        <v>0</v>
      </c>
    </row>
    <row r="97" spans="2:13">
      <c r="B97" s="169" t="s">
        <v>52</v>
      </c>
      <c r="C97" s="170">
        <f>SUM(C90:C96)</f>
        <v>118.0656862981033</v>
      </c>
      <c r="D97" s="170">
        <f>SUM(D90:D96)</f>
        <v>34.322153801964873</v>
      </c>
      <c r="E97" s="170">
        <f>SUM(E90:E96)</f>
        <v>65.387082231730474</v>
      </c>
      <c r="F97" s="170">
        <f>SUM(F90:F96)</f>
        <v>32.628963885687241</v>
      </c>
      <c r="G97" s="170">
        <f>SUM(G90:G96)</f>
        <v>66.989199396443027</v>
      </c>
      <c r="H97" s="184">
        <f ca="1">MAX(0.1,SUM(F97:G97)/(C97+Tiny))</f>
        <v>0.84375203672438104</v>
      </c>
      <c r="I97" s="170">
        <f t="shared" si="19"/>
        <v>99.618163281286513</v>
      </c>
    </row>
    <row r="99" spans="2:13" ht="16.5" thickBot="1">
      <c r="B99" s="168" t="s">
        <v>205</v>
      </c>
      <c r="C99" s="173"/>
      <c r="D99" s="173"/>
      <c r="E99" s="173" t="s">
        <v>327</v>
      </c>
      <c r="F99" s="173" t="s">
        <v>489</v>
      </c>
      <c r="G99" s="173" t="s">
        <v>332</v>
      </c>
      <c r="H99" s="173" t="s">
        <v>332</v>
      </c>
      <c r="I99" s="173"/>
    </row>
    <row r="100" spans="2:13" ht="13.5" thickTop="1">
      <c r="B100" s="172"/>
      <c r="C100" s="172" t="s">
        <v>329</v>
      </c>
      <c r="D100" s="172"/>
      <c r="E100" s="172" t="s">
        <v>205</v>
      </c>
      <c r="F100" s="172" t="s">
        <v>490</v>
      </c>
      <c r="G100" s="172" t="s">
        <v>205</v>
      </c>
      <c r="H100" s="172" t="s">
        <v>331</v>
      </c>
      <c r="I100" s="172" t="s">
        <v>54</v>
      </c>
      <c r="L100" s="172"/>
      <c r="M100" s="172" t="s">
        <v>329</v>
      </c>
    </row>
    <row r="101" spans="2:13">
      <c r="B101" s="169" t="s">
        <v>254</v>
      </c>
      <c r="C101" s="170">
        <f>H36</f>
        <v>12.86974904559532</v>
      </c>
      <c r="D101" s="169"/>
      <c r="E101" s="170">
        <f>I36</f>
        <v>11.770203191723029</v>
      </c>
      <c r="F101" s="216">
        <v>0.9</v>
      </c>
      <c r="G101" s="170">
        <f t="shared" ref="G101:G107" si="20">E101*Q$66</f>
        <v>12.002236138391915</v>
      </c>
      <c r="H101" s="184">
        <f t="shared" ref="H101:H107" ca="1" si="21">IF(C101&gt;0,MAX(0.7*F101,G101/(C101+Tiny)),F101)</f>
        <v>0.93259286524837837</v>
      </c>
      <c r="I101" s="170">
        <f t="shared" ref="I101:I107" ca="1" si="22">MAX(Tiny,C101*H101)</f>
        <v>12.002236137459322</v>
      </c>
      <c r="L101" s="169" t="s">
        <v>254</v>
      </c>
      <c r="M101" s="125">
        <f t="shared" ref="M101:M108" si="23">SUM(C76,C90,C101)</f>
        <v>13.634450411137628</v>
      </c>
    </row>
    <row r="102" spans="2:13">
      <c r="B102" s="169" t="s">
        <v>255</v>
      </c>
      <c r="C102" s="170">
        <f>H26</f>
        <v>9.0267052721631735</v>
      </c>
      <c r="D102" s="169"/>
      <c r="E102" s="170">
        <f>I26</f>
        <v>8.2978912015316748</v>
      </c>
      <c r="F102" s="216">
        <v>0.9</v>
      </c>
      <c r="G102" s="170">
        <f t="shared" si="20"/>
        <v>8.4614724171884426</v>
      </c>
      <c r="H102" s="184">
        <f t="shared" ca="1" si="21"/>
        <v>0.93738215230587008</v>
      </c>
      <c r="I102" s="170">
        <f t="shared" ca="1" si="22"/>
        <v>8.4614724162510608</v>
      </c>
      <c r="L102" s="169" t="s">
        <v>255</v>
      </c>
      <c r="M102" s="125">
        <f t="shared" si="23"/>
        <v>29.88657382383899</v>
      </c>
    </row>
    <row r="103" spans="2:13">
      <c r="B103" s="169" t="s">
        <v>256</v>
      </c>
      <c r="C103" s="170">
        <f>H47-H43</f>
        <v>0.14240808213064593</v>
      </c>
      <c r="D103" s="169"/>
      <c r="E103" s="170">
        <f>I47-I43</f>
        <v>0.13457768055796571</v>
      </c>
      <c r="F103" s="216">
        <v>0.88</v>
      </c>
      <c r="G103" s="170">
        <f t="shared" si="20"/>
        <v>0.13723068962391691</v>
      </c>
      <c r="H103" s="184">
        <f t="shared" ca="1" si="21"/>
        <v>0.96364396322939583</v>
      </c>
      <c r="I103" s="170">
        <f t="shared" ca="1" si="22"/>
        <v>0.13723068866027294</v>
      </c>
      <c r="L103" s="169" t="s">
        <v>256</v>
      </c>
      <c r="M103" s="125">
        <f t="shared" si="23"/>
        <v>109.09079460826747</v>
      </c>
    </row>
    <row r="104" spans="2:13">
      <c r="B104" s="169" t="s">
        <v>347</v>
      </c>
      <c r="C104" s="170">
        <f>H43</f>
        <v>5.796805048165969</v>
      </c>
      <c r="D104" s="169"/>
      <c r="E104" s="170">
        <f>I43</f>
        <v>4.9778672620084299</v>
      </c>
      <c r="F104" s="216">
        <v>0.87</v>
      </c>
      <c r="G104" s="170">
        <f t="shared" si="20"/>
        <v>5.0759988906741631</v>
      </c>
      <c r="H104" s="184">
        <f t="shared" ca="1" si="21"/>
        <v>0.87565458000083785</v>
      </c>
      <c r="I104" s="170">
        <f t="shared" ca="1" si="22"/>
        <v>5.075998889798508</v>
      </c>
      <c r="L104" s="169" t="s">
        <v>347</v>
      </c>
      <c r="M104" s="125">
        <f t="shared" si="23"/>
        <v>67.37857736439986</v>
      </c>
    </row>
    <row r="105" spans="2:13">
      <c r="B105" s="169" t="s">
        <v>257</v>
      </c>
      <c r="C105" s="170">
        <f>H42-H38-H39</f>
        <v>9.080196427820356</v>
      </c>
      <c r="D105" s="169"/>
      <c r="E105" s="170">
        <f>I42-I38-I39</f>
        <v>7.9505316230468761</v>
      </c>
      <c r="F105" s="216">
        <v>0.86</v>
      </c>
      <c r="G105" s="170">
        <f t="shared" si="20"/>
        <v>8.1072651347824252</v>
      </c>
      <c r="H105" s="184">
        <f t="shared" ca="1" si="21"/>
        <v>0.8928512943894179</v>
      </c>
      <c r="I105" s="170">
        <f t="shared" ca="1" si="22"/>
        <v>8.1072651338895731</v>
      </c>
      <c r="L105" s="169" t="s">
        <v>257</v>
      </c>
      <c r="M105" s="125">
        <f t="shared" si="23"/>
        <v>54.793467782125198</v>
      </c>
    </row>
    <row r="106" spans="2:13">
      <c r="B106" s="169" t="s">
        <v>549</v>
      </c>
      <c r="C106" s="170">
        <f>H38+H39</f>
        <v>1.2692703239265444</v>
      </c>
      <c r="D106" s="169"/>
      <c r="E106" s="170">
        <f>I38+I39</f>
        <v>0.95877362955654755</v>
      </c>
      <c r="F106" s="216">
        <v>0.8</v>
      </c>
      <c r="G106" s="170">
        <f t="shared" si="20"/>
        <v>0.97767449871153977</v>
      </c>
      <c r="H106" s="184">
        <f t="shared" ca="1" si="21"/>
        <v>0.77026499360419542</v>
      </c>
      <c r="I106" s="170">
        <f t="shared" ca="1" si="22"/>
        <v>0.97767449794127481</v>
      </c>
      <c r="L106" s="169" t="s">
        <v>549</v>
      </c>
      <c r="M106" s="125">
        <f t="shared" si="23"/>
        <v>51.897349388136178</v>
      </c>
    </row>
    <row r="107" spans="2:13">
      <c r="B107" s="169" t="s">
        <v>194</v>
      </c>
      <c r="C107" s="170">
        <f>H50</f>
        <v>0.4952298163119222</v>
      </c>
      <c r="D107" s="169"/>
      <c r="E107" s="170">
        <f>I50</f>
        <v>0.90302757505406062</v>
      </c>
      <c r="F107" s="216">
        <v>0.9</v>
      </c>
      <c r="G107" s="170">
        <f t="shared" si="20"/>
        <v>0.92082948940931986</v>
      </c>
      <c r="H107" s="184">
        <f t="shared" ca="1" si="21"/>
        <v>1.8593983181536344</v>
      </c>
      <c r="I107" s="170">
        <f t="shared" ca="1" si="22"/>
        <v>0.92082948754992144</v>
      </c>
      <c r="L107" s="169" t="s">
        <v>194</v>
      </c>
      <c r="M107" s="125">
        <f t="shared" si="23"/>
        <v>249.26726584031195</v>
      </c>
    </row>
    <row r="108" spans="2:13">
      <c r="B108" s="169" t="s">
        <v>52</v>
      </c>
      <c r="C108" s="170">
        <f>SUM(C101:C107)</f>
        <v>38.680364016113927</v>
      </c>
      <c r="D108" s="169"/>
      <c r="E108" s="170">
        <f>SUM(E101:E107)</f>
        <v>34.992872163478587</v>
      </c>
      <c r="F108" s="169"/>
      <c r="G108" s="170">
        <f>SUM(G101:G107)</f>
        <v>35.682707258781718</v>
      </c>
      <c r="H108" s="184">
        <f ca="1">MAX(0.1,SUM(F108:G108)/(C108+Tiny))</f>
        <v>0.92250184726788231</v>
      </c>
      <c r="I108" s="170">
        <f>C108*H108</f>
        <v>35.682707257859221</v>
      </c>
      <c r="L108" s="169" t="s">
        <v>52</v>
      </c>
      <c r="M108" s="125">
        <f t="shared" si="23"/>
        <v>156.74605031421723</v>
      </c>
    </row>
    <row r="110" spans="2:13">
      <c r="C110" s="125"/>
      <c r="D110" s="125"/>
      <c r="E110" s="125"/>
      <c r="F110" s="125"/>
      <c r="G110" s="125"/>
      <c r="H110" s="125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10"/>
  <sheetViews>
    <sheetView topLeftCell="A31" zoomScale="80" zoomScaleNormal="100" workbookViewId="0">
      <selection activeCell="D25" sqref="D25"/>
    </sheetView>
  </sheetViews>
  <sheetFormatPr defaultColWidth="9.140625" defaultRowHeight="12.75"/>
  <cols>
    <col min="1" max="1" width="12.5703125" customWidth="1"/>
    <col min="2" max="2" width="22.42578125" customWidth="1"/>
    <col min="3" max="3" width="9.140625" customWidth="1"/>
    <col min="4" max="4" width="9.7109375" customWidth="1"/>
    <col min="5" max="5" width="9.140625" customWidth="1"/>
    <col min="6" max="6" width="9.85546875" customWidth="1"/>
    <col min="7" max="15" width="9.140625" customWidth="1"/>
    <col min="16" max="16" width="10" customWidth="1"/>
    <col min="17" max="251" width="9.140625" customWidth="1"/>
  </cols>
  <sheetData>
    <row r="1" spans="1:26" ht="15.75">
      <c r="A1" s="121" t="s">
        <v>211</v>
      </c>
      <c r="C1" s="13"/>
      <c r="D1" s="17"/>
      <c r="E1" s="135" t="s">
        <v>307</v>
      </c>
      <c r="F1" s="135" t="str">
        <f ca="1">MID(CELL("filename",E1),FIND("VT_",CELL("filename",E1))+3,3)</f>
        <v>FI_</v>
      </c>
      <c r="G1" s="135" t="s">
        <v>309</v>
      </c>
      <c r="H1" s="136">
        <v>1.0000000000000001E-9</v>
      </c>
      <c r="I1" s="8"/>
      <c r="J1" s="42" t="s">
        <v>268</v>
      </c>
      <c r="K1" s="37" t="s">
        <v>85</v>
      </c>
      <c r="L1" s="17"/>
      <c r="M1" s="38"/>
      <c r="N1" s="40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C2" s="12"/>
      <c r="D2" s="17"/>
      <c r="G2" s="17"/>
      <c r="H2" s="17"/>
      <c r="I2" s="8"/>
      <c r="J2" s="42" t="s">
        <v>118</v>
      </c>
      <c r="K2" s="37" t="s">
        <v>125</v>
      </c>
      <c r="L2" s="17"/>
      <c r="M2" s="40"/>
      <c r="N2" s="40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>
      <c r="C3" s="12"/>
      <c r="D3" s="17"/>
      <c r="G3" s="17"/>
      <c r="H3" s="17"/>
      <c r="I3" s="17"/>
      <c r="J3" s="17"/>
      <c r="K3" s="17"/>
      <c r="L3" s="17"/>
      <c r="M3" s="40"/>
      <c r="N3" s="40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3.5" thickBot="1">
      <c r="A4" s="37" t="s">
        <v>238</v>
      </c>
      <c r="B4" s="43" t="s">
        <v>126</v>
      </c>
      <c r="C4" s="10"/>
      <c r="D4" s="17"/>
      <c r="G4" s="17"/>
      <c r="H4" s="17"/>
      <c r="I4" s="17"/>
      <c r="J4" s="17"/>
      <c r="K4" s="17"/>
      <c r="L4" s="106" t="s">
        <v>111</v>
      </c>
      <c r="M4" s="114"/>
      <c r="N4" s="40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23.25" thickBot="1">
      <c r="A5" s="37" t="s">
        <v>239</v>
      </c>
      <c r="B5" s="88" t="s">
        <v>237</v>
      </c>
      <c r="C5" s="14"/>
      <c r="D5" s="17"/>
      <c r="E5" s="108"/>
      <c r="F5" s="107" t="s">
        <v>150</v>
      </c>
      <c r="G5" s="108"/>
      <c r="H5" s="17"/>
      <c r="I5" s="37" t="s">
        <v>64</v>
      </c>
      <c r="J5" s="44">
        <f ca="1">(C26+C36+C42+C47)/(D26+D36+D42+D47+Tiny)</f>
        <v>2.5745876206533609</v>
      </c>
      <c r="K5" s="17"/>
      <c r="L5" s="37" t="s">
        <v>58</v>
      </c>
      <c r="M5" s="70">
        <f>IF(D49,C49/D49,1)</f>
        <v>1.0000000225652137</v>
      </c>
      <c r="N5" s="8"/>
      <c r="O5" s="8"/>
      <c r="P5" s="8"/>
      <c r="Q5" s="8"/>
      <c r="R5" s="8"/>
    </row>
    <row r="6" spans="1:26">
      <c r="A6" s="37" t="s">
        <v>240</v>
      </c>
      <c r="B6" s="43">
        <v>2017</v>
      </c>
      <c r="C6" s="10"/>
      <c r="D6" s="17"/>
      <c r="E6" s="7" t="s">
        <v>139</v>
      </c>
      <c r="F6" s="45">
        <v>4.1868000000000002E-2</v>
      </c>
      <c r="G6" s="19" t="s">
        <v>137</v>
      </c>
      <c r="H6" s="17"/>
      <c r="I6" s="37" t="s">
        <v>71</v>
      </c>
      <c r="J6" s="46">
        <f>IF(J5,1/J5,1)</f>
        <v>0.38841171765839028</v>
      </c>
      <c r="K6" s="17"/>
      <c r="L6" s="37" t="s">
        <v>112</v>
      </c>
      <c r="M6" s="70">
        <f>IF(D48&gt;0,C48/D48,1)</f>
        <v>3.0303030109791247</v>
      </c>
      <c r="N6" s="8"/>
      <c r="O6" s="8"/>
      <c r="P6" s="8"/>
      <c r="Q6" s="8"/>
      <c r="R6" s="8"/>
    </row>
    <row r="7" spans="1:26">
      <c r="A7" s="37" t="s">
        <v>241</v>
      </c>
      <c r="B7" s="43">
        <v>1</v>
      </c>
      <c r="C7" s="38"/>
      <c r="D7" s="17"/>
      <c r="E7" s="7" t="s">
        <v>140</v>
      </c>
      <c r="F7" s="45">
        <f>3.6/1000</f>
        <v>3.5999999999999999E-3</v>
      </c>
      <c r="G7" s="19" t="s">
        <v>137</v>
      </c>
      <c r="H7" s="17"/>
      <c r="I7" s="37" t="s">
        <v>72</v>
      </c>
      <c r="J7" s="44">
        <f>IF(I55=0,1,H55/I55)</f>
        <v>1.0971225375487375</v>
      </c>
      <c r="K7" s="17"/>
      <c r="L7" s="37" t="s">
        <v>113</v>
      </c>
      <c r="M7" s="70">
        <v>2.5253149727915649</v>
      </c>
      <c r="N7" s="8"/>
      <c r="O7" s="8"/>
      <c r="P7" s="8"/>
      <c r="Q7" s="8"/>
      <c r="R7" s="8"/>
    </row>
    <row r="8" spans="1:26">
      <c r="A8" s="47" t="s">
        <v>153</v>
      </c>
      <c r="B8" s="43">
        <v>0</v>
      </c>
      <c r="C8" s="38"/>
      <c r="D8" s="17"/>
      <c r="E8" s="7" t="s">
        <v>142</v>
      </c>
      <c r="F8" s="45">
        <f>24*365*F7</f>
        <v>31.535999999999998</v>
      </c>
      <c r="G8" s="19" t="s">
        <v>137</v>
      </c>
      <c r="H8" s="17"/>
      <c r="I8" s="37" t="s">
        <v>73</v>
      </c>
      <c r="J8" s="46">
        <f>1/J7</f>
        <v>0.91147521427667055</v>
      </c>
      <c r="K8" s="17"/>
      <c r="L8" s="37" t="s">
        <v>194</v>
      </c>
      <c r="M8" s="70">
        <v>6.0972348732123196</v>
      </c>
      <c r="N8" s="8"/>
      <c r="O8" s="8"/>
      <c r="P8" s="8"/>
      <c r="Q8" s="8"/>
      <c r="R8" s="8"/>
    </row>
    <row r="9" spans="1:26">
      <c r="A9" s="47" t="s">
        <v>154</v>
      </c>
      <c r="B9" s="43">
        <v>0</v>
      </c>
      <c r="C9" s="38"/>
      <c r="D9" s="17"/>
      <c r="E9" s="7" t="s">
        <v>141</v>
      </c>
      <c r="F9" s="45">
        <f>1/1000</f>
        <v>1E-3</v>
      </c>
      <c r="G9" s="19" t="s">
        <v>137</v>
      </c>
      <c r="H9" s="17"/>
      <c r="I9" s="17"/>
      <c r="J9" s="17"/>
      <c r="K9" s="17"/>
      <c r="L9" s="8"/>
      <c r="M9" s="8"/>
      <c r="N9" s="8"/>
      <c r="O9" s="8"/>
      <c r="P9" s="8"/>
      <c r="Q9" s="8"/>
      <c r="R9" s="8"/>
    </row>
    <row r="10" spans="1:26">
      <c r="A10" s="47" t="s">
        <v>155</v>
      </c>
      <c r="B10" s="43">
        <v>0</v>
      </c>
      <c r="C10" s="8"/>
      <c r="D10" s="8"/>
      <c r="E10" s="22"/>
      <c r="F10" s="22"/>
      <c r="G10" s="22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26">
      <c r="A11" s="8"/>
      <c r="B11" s="8"/>
      <c r="C11" s="8"/>
      <c r="D11" s="8"/>
      <c r="E11" s="22"/>
      <c r="F11" s="22"/>
      <c r="G11" s="22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26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26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26" ht="18">
      <c r="A14" s="32" t="s">
        <v>209</v>
      </c>
      <c r="B14" s="48"/>
      <c r="C14" s="8"/>
      <c r="G14" s="22"/>
      <c r="H14" s="8"/>
      <c r="I14" s="8"/>
      <c r="J14" s="8"/>
      <c r="K14" s="8"/>
      <c r="L14" s="8"/>
      <c r="M14" s="32" t="s">
        <v>74</v>
      </c>
      <c r="N14" s="32"/>
      <c r="O14" s="32"/>
      <c r="P14" s="32"/>
      <c r="Q14" s="48"/>
      <c r="R14" s="49"/>
    </row>
    <row r="15" spans="1:26">
      <c r="A15" s="109"/>
      <c r="B15" s="109"/>
      <c r="C15" s="110" t="s">
        <v>36</v>
      </c>
      <c r="D15" s="111"/>
      <c r="E15" s="110" t="s">
        <v>37</v>
      </c>
      <c r="F15" s="111"/>
      <c r="G15" s="111"/>
      <c r="H15" s="110" t="s">
        <v>38</v>
      </c>
      <c r="I15" s="111"/>
      <c r="J15" s="110" t="s">
        <v>75</v>
      </c>
      <c r="K15" s="111"/>
      <c r="L15" s="8"/>
      <c r="M15" s="110" t="s">
        <v>76</v>
      </c>
      <c r="N15" s="109"/>
      <c r="O15" s="110" t="s">
        <v>77</v>
      </c>
      <c r="P15" s="109"/>
      <c r="Q15" s="110" t="s">
        <v>78</v>
      </c>
      <c r="R15" s="109"/>
    </row>
    <row r="16" spans="1:26">
      <c r="A16" s="41"/>
      <c r="B16" s="19"/>
      <c r="C16" s="7" t="s">
        <v>157</v>
      </c>
      <c r="D16" s="7" t="s">
        <v>163</v>
      </c>
      <c r="E16" s="7" t="s">
        <v>157</v>
      </c>
      <c r="F16" s="7" t="s">
        <v>163</v>
      </c>
      <c r="G16" s="7" t="s">
        <v>162</v>
      </c>
      <c r="H16" s="7" t="s">
        <v>157</v>
      </c>
      <c r="I16" s="7" t="s">
        <v>162</v>
      </c>
      <c r="J16" s="7"/>
      <c r="K16" s="7"/>
      <c r="L16" s="8"/>
      <c r="M16" s="41"/>
      <c r="N16" s="41"/>
      <c r="O16" s="41"/>
      <c r="P16" s="41"/>
      <c r="Q16" s="41"/>
      <c r="R16" s="41"/>
    </row>
    <row r="17" spans="1:26">
      <c r="A17" s="41"/>
      <c r="B17" s="104"/>
      <c r="C17" s="119">
        <f>-$F$6</f>
        <v>-4.1868000000000002E-2</v>
      </c>
      <c r="D17" s="119">
        <f>$F$7</f>
        <v>3.5999999999999999E-3</v>
      </c>
      <c r="E17" s="119">
        <f>-$F$6</f>
        <v>-4.1868000000000002E-2</v>
      </c>
      <c r="F17" s="119">
        <f>$F$7</f>
        <v>3.5999999999999999E-3</v>
      </c>
      <c r="G17" s="119">
        <f>$F$9</f>
        <v>1E-3</v>
      </c>
      <c r="H17" s="119">
        <f>-$F$6</f>
        <v>-4.1868000000000002E-2</v>
      </c>
      <c r="I17" s="119">
        <f>$F$9</f>
        <v>1E-3</v>
      </c>
      <c r="J17" s="119">
        <f>$F$7</f>
        <v>3.5999999999999999E-3</v>
      </c>
      <c r="K17" s="119">
        <f>$F$9</f>
        <v>1E-3</v>
      </c>
      <c r="L17" s="8"/>
      <c r="M17" s="51" t="s">
        <v>79</v>
      </c>
      <c r="N17" s="41"/>
      <c r="O17" s="51" t="s">
        <v>79</v>
      </c>
      <c r="P17" s="41"/>
      <c r="Q17" s="51" t="s">
        <v>79</v>
      </c>
      <c r="R17" s="41"/>
    </row>
    <row r="18" spans="1:26" ht="23.25" thickBot="1">
      <c r="A18" s="112" t="s">
        <v>210</v>
      </c>
      <c r="B18" s="124" t="s">
        <v>242</v>
      </c>
      <c r="C18" s="113" t="s">
        <v>243</v>
      </c>
      <c r="D18" s="113" t="s">
        <v>244</v>
      </c>
      <c r="E18" s="113" t="s">
        <v>245</v>
      </c>
      <c r="F18" s="113" t="s">
        <v>246</v>
      </c>
      <c r="G18" s="113" t="s">
        <v>247</v>
      </c>
      <c r="H18" s="113" t="s">
        <v>248</v>
      </c>
      <c r="I18" s="113" t="s">
        <v>249</v>
      </c>
      <c r="J18" s="113" t="s">
        <v>127</v>
      </c>
      <c r="K18" s="113" t="s">
        <v>250</v>
      </c>
      <c r="L18" s="8"/>
      <c r="M18" s="113" t="s">
        <v>80</v>
      </c>
      <c r="N18" s="113" t="s">
        <v>81</v>
      </c>
      <c r="O18" s="113" t="s">
        <v>80</v>
      </c>
      <c r="P18" s="113" t="s">
        <v>81</v>
      </c>
      <c r="Q18" s="113" t="s">
        <v>80</v>
      </c>
      <c r="R18" s="113" t="s">
        <v>81</v>
      </c>
    </row>
    <row r="19" spans="1:26">
      <c r="A19" s="51" t="s">
        <v>4</v>
      </c>
      <c r="B19" s="50" t="s">
        <v>144</v>
      </c>
      <c r="C19" s="52">
        <v>0</v>
      </c>
      <c r="D19" s="53">
        <v>0</v>
      </c>
      <c r="E19" s="62">
        <v>0</v>
      </c>
      <c r="F19" s="53">
        <v>0</v>
      </c>
      <c r="G19" s="53">
        <v>0</v>
      </c>
      <c r="H19" s="62">
        <v>0</v>
      </c>
      <c r="I19" s="63">
        <v>0</v>
      </c>
      <c r="J19" s="62">
        <v>0</v>
      </c>
      <c r="K19" s="63">
        <v>0</v>
      </c>
      <c r="L19" s="8"/>
      <c r="M19" s="52">
        <f t="shared" ref="M19:M54" si="0">C19+E19-G19</f>
        <v>0</v>
      </c>
      <c r="N19" s="53">
        <f t="shared" ref="N19:N47" si="1">C19+E19-G19</f>
        <v>0</v>
      </c>
      <c r="O19" s="52">
        <f t="shared" ref="O19:O54" si="2">G19+H19</f>
        <v>0</v>
      </c>
      <c r="P19" s="53">
        <f t="shared" ref="P19:P47" si="3">H19+G19</f>
        <v>0</v>
      </c>
      <c r="Q19" s="52">
        <f t="shared" ref="Q19:Q54" si="4">C19+E19+H19</f>
        <v>0</v>
      </c>
      <c r="R19" s="53">
        <f t="shared" ref="R19:R47" si="5">C19+E19+H19</f>
        <v>0</v>
      </c>
    </row>
    <row r="20" spans="1:26">
      <c r="A20" s="51" t="s">
        <v>6</v>
      </c>
      <c r="B20" s="50" t="s">
        <v>173</v>
      </c>
      <c r="C20" s="52">
        <v>4.8859997999999996</v>
      </c>
      <c r="D20" s="53">
        <v>1.7567999999999999</v>
      </c>
      <c r="E20" s="62">
        <v>0.52100120000000005</v>
      </c>
      <c r="F20" s="53">
        <v>7.5600000000000001E-2</v>
      </c>
      <c r="G20" s="53">
        <v>0.377</v>
      </c>
      <c r="H20" s="62">
        <v>0.2589996</v>
      </c>
      <c r="I20" s="63">
        <v>0.22</v>
      </c>
      <c r="J20" s="62">
        <v>1.8323999999999998</v>
      </c>
      <c r="K20" s="63">
        <v>0.59699999999999998</v>
      </c>
      <c r="L20" s="8"/>
      <c r="M20" s="52">
        <f t="shared" si="0"/>
        <v>5.0300009999999995</v>
      </c>
      <c r="N20" s="53">
        <f t="shared" si="1"/>
        <v>5.0300009999999995</v>
      </c>
      <c r="O20" s="52">
        <f t="shared" si="2"/>
        <v>0.6359996</v>
      </c>
      <c r="P20" s="53">
        <f t="shared" si="3"/>
        <v>0.6359996</v>
      </c>
      <c r="Q20" s="52">
        <f t="shared" si="4"/>
        <v>5.6660005999999994</v>
      </c>
      <c r="R20" s="53">
        <f t="shared" si="5"/>
        <v>5.6660005999999994</v>
      </c>
    </row>
    <row r="21" spans="1:26">
      <c r="A21" s="51" t="s">
        <v>5</v>
      </c>
      <c r="B21" s="50" t="s">
        <v>174</v>
      </c>
      <c r="C21" s="52">
        <v>0.51660090000000003</v>
      </c>
      <c r="D21" s="53">
        <v>0.18720000000000001</v>
      </c>
      <c r="E21" s="62">
        <v>5.4901499999999992E-2</v>
      </c>
      <c r="F21" s="53">
        <v>7.1999999999999998E-3</v>
      </c>
      <c r="G21" s="53">
        <v>0.04</v>
      </c>
      <c r="H21" s="62">
        <v>2.7000699999999999E-2</v>
      </c>
      <c r="I21" s="63">
        <v>2.3E-2</v>
      </c>
      <c r="J21" s="62">
        <v>0.19440000000000002</v>
      </c>
      <c r="K21" s="63">
        <v>6.3E-2</v>
      </c>
      <c r="L21" s="8"/>
      <c r="M21" s="52">
        <f t="shared" si="0"/>
        <v>0.53150239999999993</v>
      </c>
      <c r="N21" s="53">
        <f t="shared" si="1"/>
        <v>0.53150239999999993</v>
      </c>
      <c r="O21" s="52">
        <f t="shared" si="2"/>
        <v>6.7000699999999996E-2</v>
      </c>
      <c r="P21" s="53">
        <f t="shared" si="3"/>
        <v>6.7000699999999996E-2</v>
      </c>
      <c r="Q21" s="52">
        <f t="shared" si="4"/>
        <v>0.59850309999999995</v>
      </c>
      <c r="R21" s="53">
        <f t="shared" si="5"/>
        <v>0.59850309999999995</v>
      </c>
    </row>
    <row r="22" spans="1:26">
      <c r="A22" s="51" t="s">
        <v>7</v>
      </c>
      <c r="B22" s="50" t="s">
        <v>175</v>
      </c>
      <c r="C22" s="52">
        <v>5.9996999999999993E-3</v>
      </c>
      <c r="D22" s="53">
        <v>3.5999999999999999E-3</v>
      </c>
      <c r="E22" s="62">
        <v>0.35399810000000004</v>
      </c>
      <c r="F22" s="53">
        <v>7.9199999999999993E-2</v>
      </c>
      <c r="G22" s="53">
        <v>0.19900000000000001</v>
      </c>
      <c r="H22" s="62">
        <v>9.3001399999999998E-2</v>
      </c>
      <c r="I22" s="63">
        <v>8.7000000000000008E-2</v>
      </c>
      <c r="J22" s="62">
        <v>8.2799999999999999E-2</v>
      </c>
      <c r="K22" s="63">
        <v>0.28600000000000003</v>
      </c>
      <c r="L22" s="8"/>
      <c r="M22" s="52">
        <f t="shared" si="0"/>
        <v>0.16099780000000002</v>
      </c>
      <c r="N22" s="53">
        <f t="shared" si="1"/>
        <v>0.16099780000000002</v>
      </c>
      <c r="O22" s="52">
        <f t="shared" si="2"/>
        <v>0.29200140000000002</v>
      </c>
      <c r="P22" s="53">
        <f t="shared" si="3"/>
        <v>0.29200140000000002</v>
      </c>
      <c r="Q22" s="52">
        <f t="shared" si="4"/>
        <v>0.45299920000000005</v>
      </c>
      <c r="R22" s="53">
        <f t="shared" si="5"/>
        <v>0.45299920000000005</v>
      </c>
    </row>
    <row r="23" spans="1:26">
      <c r="A23" s="51" t="s">
        <v>10</v>
      </c>
      <c r="B23" s="50" t="s">
        <v>176</v>
      </c>
      <c r="C23" s="52">
        <v>6.2998800000000008E-2</v>
      </c>
      <c r="D23" s="53">
        <v>2.52E-2</v>
      </c>
      <c r="E23" s="62">
        <v>2.2392050644282904</v>
      </c>
      <c r="F23" s="53">
        <v>1.1504172521786327</v>
      </c>
      <c r="G23" s="53">
        <v>0.57463927168090212</v>
      </c>
      <c r="H23" s="62">
        <v>2.4648948836063873</v>
      </c>
      <c r="I23" s="63">
        <v>2.02746746024139</v>
      </c>
      <c r="J23" s="62">
        <v>4.7486290565315983</v>
      </c>
      <c r="K23" s="63">
        <v>11.153045294143416</v>
      </c>
      <c r="L23" s="8"/>
      <c r="M23" s="52">
        <f t="shared" si="0"/>
        <v>1.7275645927473882</v>
      </c>
      <c r="N23" s="53">
        <f t="shared" si="1"/>
        <v>1.7275645927473882</v>
      </c>
      <c r="O23" s="52">
        <f t="shared" si="2"/>
        <v>3.0395341552872894</v>
      </c>
      <c r="P23" s="53">
        <f t="shared" si="3"/>
        <v>3.0395341552872894</v>
      </c>
      <c r="Q23" s="52">
        <f t="shared" si="4"/>
        <v>4.7670987480346776</v>
      </c>
      <c r="R23" s="53">
        <f t="shared" si="5"/>
        <v>4.7670987480346776</v>
      </c>
      <c r="S23" s="8"/>
      <c r="T23" s="8"/>
      <c r="U23" s="8"/>
      <c r="V23" s="8"/>
      <c r="W23" s="8"/>
      <c r="X23" s="8"/>
      <c r="Y23" s="8"/>
      <c r="Z23" s="8"/>
    </row>
    <row r="24" spans="1:26">
      <c r="A24" s="51" t="s">
        <v>17</v>
      </c>
      <c r="B24" s="50" t="s">
        <v>177</v>
      </c>
      <c r="C24" s="52">
        <v>0</v>
      </c>
      <c r="D24" s="53">
        <v>3.5999999999999999E-3</v>
      </c>
      <c r="E24" s="62">
        <v>4.714034157782971E-2</v>
      </c>
      <c r="F24" s="53">
        <v>1.5013029934415596E-2</v>
      </c>
      <c r="G24" s="53">
        <v>1.7653507245963464E-2</v>
      </c>
      <c r="H24" s="62">
        <v>0.73114966056990605</v>
      </c>
      <c r="I24" s="63">
        <v>0.53338567823526939</v>
      </c>
      <c r="J24" s="62">
        <v>2.1600000000000001E-2</v>
      </c>
      <c r="K24" s="63">
        <v>1.0030000000000001</v>
      </c>
      <c r="L24" s="8"/>
      <c r="M24" s="52">
        <f t="shared" si="0"/>
        <v>2.9486834331866246E-2</v>
      </c>
      <c r="N24" s="53">
        <f t="shared" si="1"/>
        <v>2.9486834331866246E-2</v>
      </c>
      <c r="O24" s="52">
        <f t="shared" si="2"/>
        <v>0.74880316781586953</v>
      </c>
      <c r="P24" s="53">
        <f t="shared" si="3"/>
        <v>0.74880316781586953</v>
      </c>
      <c r="Q24" s="52">
        <f t="shared" si="4"/>
        <v>0.7782900021477358</v>
      </c>
      <c r="R24" s="53">
        <f t="shared" si="5"/>
        <v>0.7782900021477358</v>
      </c>
      <c r="S24" s="8"/>
      <c r="T24" s="8"/>
      <c r="U24" s="8"/>
      <c r="V24" s="8"/>
      <c r="W24" s="8"/>
      <c r="X24" s="8"/>
      <c r="Y24" s="8"/>
      <c r="Z24" s="8"/>
    </row>
    <row r="25" spans="1:26">
      <c r="A25" s="51" t="s">
        <v>235</v>
      </c>
      <c r="B25" s="50" t="s">
        <v>178</v>
      </c>
      <c r="C25" s="52">
        <v>0</v>
      </c>
      <c r="D25" s="53">
        <v>0</v>
      </c>
      <c r="E25" s="62">
        <v>0</v>
      </c>
      <c r="F25" s="53">
        <v>0</v>
      </c>
      <c r="G25" s="53">
        <v>0</v>
      </c>
      <c r="H25" s="62">
        <v>0.13800110000000002</v>
      </c>
      <c r="I25" s="63">
        <v>0.13400000000000001</v>
      </c>
      <c r="J25" s="62">
        <v>0</v>
      </c>
      <c r="K25" s="63">
        <v>0.13500000000000001</v>
      </c>
      <c r="L25" s="8"/>
      <c r="M25" s="52">
        <f t="shared" si="0"/>
        <v>0</v>
      </c>
      <c r="N25" s="53">
        <f t="shared" si="1"/>
        <v>0</v>
      </c>
      <c r="O25" s="52">
        <f t="shared" si="2"/>
        <v>0.13800110000000002</v>
      </c>
      <c r="P25" s="53">
        <f t="shared" si="3"/>
        <v>0.13800110000000002</v>
      </c>
      <c r="Q25" s="52">
        <f t="shared" si="4"/>
        <v>0.13800110000000002</v>
      </c>
      <c r="R25" s="53">
        <f t="shared" si="5"/>
        <v>0.13800110000000002</v>
      </c>
      <c r="S25" s="8"/>
      <c r="T25" s="8"/>
      <c r="U25" s="8"/>
      <c r="V25" s="8"/>
      <c r="W25" s="8"/>
      <c r="X25" s="8"/>
      <c r="Y25" s="8"/>
      <c r="Z25" s="8"/>
    </row>
    <row r="26" spans="1:26">
      <c r="A26" s="51" t="s">
        <v>151</v>
      </c>
      <c r="B26" s="54" t="s">
        <v>83</v>
      </c>
      <c r="C26" s="64">
        <f t="shared" ref="C26:K26" si="6">C19+C23</f>
        <v>6.2998800000000008E-2</v>
      </c>
      <c r="D26" s="65">
        <f t="shared" si="6"/>
        <v>2.52E-2</v>
      </c>
      <c r="E26" s="66">
        <f t="shared" si="6"/>
        <v>2.2392050644282904</v>
      </c>
      <c r="F26" s="65">
        <f t="shared" si="6"/>
        <v>1.1504172521786327</v>
      </c>
      <c r="G26" s="65">
        <f t="shared" si="6"/>
        <v>0.57463927168090212</v>
      </c>
      <c r="H26" s="66">
        <f t="shared" si="6"/>
        <v>2.4648948836063873</v>
      </c>
      <c r="I26" s="67">
        <f t="shared" si="6"/>
        <v>2.02746746024139</v>
      </c>
      <c r="J26" s="66">
        <f t="shared" si="6"/>
        <v>4.7486290565315983</v>
      </c>
      <c r="K26" s="67">
        <f t="shared" si="6"/>
        <v>11.153045294143416</v>
      </c>
      <c r="L26" s="8"/>
      <c r="M26" s="55">
        <f t="shared" si="0"/>
        <v>1.7275645927473882</v>
      </c>
      <c r="N26" s="56">
        <f t="shared" si="1"/>
        <v>1.7275645927473882</v>
      </c>
      <c r="O26" s="55">
        <f t="shared" si="2"/>
        <v>3.0395341552872894</v>
      </c>
      <c r="P26" s="56">
        <f t="shared" si="3"/>
        <v>3.0395341552872894</v>
      </c>
      <c r="Q26" s="55">
        <f t="shared" si="4"/>
        <v>4.7670987480346776</v>
      </c>
      <c r="R26" s="56">
        <f t="shared" si="5"/>
        <v>4.7670987480346776</v>
      </c>
      <c r="S26" s="8"/>
      <c r="T26" s="8"/>
      <c r="U26" s="8"/>
      <c r="V26" s="8"/>
      <c r="W26" s="8"/>
      <c r="X26" s="8"/>
      <c r="Y26" s="8"/>
      <c r="Z26" s="8"/>
    </row>
    <row r="27" spans="1:26">
      <c r="A27" s="51" t="s">
        <v>13</v>
      </c>
      <c r="B27" s="50" t="s">
        <v>179</v>
      </c>
      <c r="C27" s="52">
        <v>0</v>
      </c>
      <c r="D27" s="53">
        <v>0</v>
      </c>
      <c r="E27" s="62">
        <v>0</v>
      </c>
      <c r="F27" s="53">
        <v>0</v>
      </c>
      <c r="G27" s="53">
        <v>0</v>
      </c>
      <c r="H27" s="62">
        <v>0</v>
      </c>
      <c r="I27" s="63">
        <v>0</v>
      </c>
      <c r="J27" s="62">
        <v>0</v>
      </c>
      <c r="K27" s="63">
        <v>0</v>
      </c>
      <c r="L27" s="8"/>
      <c r="M27" s="52">
        <f t="shared" si="0"/>
        <v>0</v>
      </c>
      <c r="N27" s="53">
        <f t="shared" si="1"/>
        <v>0</v>
      </c>
      <c r="O27" s="52">
        <f t="shared" si="2"/>
        <v>0</v>
      </c>
      <c r="P27" s="53">
        <f t="shared" si="3"/>
        <v>0</v>
      </c>
      <c r="Q27" s="52">
        <f t="shared" si="4"/>
        <v>0</v>
      </c>
      <c r="R27" s="53">
        <f t="shared" si="5"/>
        <v>0</v>
      </c>
      <c r="S27" s="8"/>
      <c r="T27" s="8"/>
      <c r="U27" s="8"/>
      <c r="V27" s="8"/>
      <c r="W27" s="8"/>
      <c r="X27" s="8"/>
      <c r="Y27" s="8"/>
      <c r="Z27" s="8"/>
    </row>
    <row r="28" spans="1:26">
      <c r="A28" s="51" t="s">
        <v>25</v>
      </c>
      <c r="B28" s="50" t="s">
        <v>180</v>
      </c>
      <c r="C28" s="52">
        <v>0.12780209999999997</v>
      </c>
      <c r="D28" s="53">
        <v>3.5999999999999997E-2</v>
      </c>
      <c r="E28" s="62">
        <v>9.3623119745154838E-3</v>
      </c>
      <c r="F28" s="53">
        <v>2.1018241908181835E-2</v>
      </c>
      <c r="G28" s="53">
        <v>2.4888551199227179E-3</v>
      </c>
      <c r="H28" s="62">
        <v>1.8647357726268885</v>
      </c>
      <c r="I28" s="63">
        <v>1.6633789644725134</v>
      </c>
      <c r="J28" s="62">
        <v>0.1116</v>
      </c>
      <c r="K28" s="63">
        <v>1.7630000000000001</v>
      </c>
      <c r="L28" s="8"/>
      <c r="M28" s="52">
        <f t="shared" si="0"/>
        <v>0.13467555685459273</v>
      </c>
      <c r="N28" s="53">
        <f t="shared" si="1"/>
        <v>0.13467555685459273</v>
      </c>
      <c r="O28" s="52">
        <f t="shared" si="2"/>
        <v>1.8672246277468112</v>
      </c>
      <c r="P28" s="53">
        <f t="shared" si="3"/>
        <v>1.8672246277468112</v>
      </c>
      <c r="Q28" s="52">
        <f t="shared" si="4"/>
        <v>2.001900184601404</v>
      </c>
      <c r="R28" s="53">
        <f t="shared" si="5"/>
        <v>2.001900184601404</v>
      </c>
      <c r="S28" s="8"/>
      <c r="T28" s="8"/>
      <c r="U28" s="8"/>
      <c r="V28" s="8"/>
      <c r="W28" s="8"/>
      <c r="X28" s="8"/>
      <c r="Y28" s="8"/>
      <c r="Z28" s="8"/>
    </row>
    <row r="29" spans="1:26">
      <c r="A29" s="51" t="s">
        <v>20</v>
      </c>
      <c r="B29" s="50" t="s">
        <v>181</v>
      </c>
      <c r="C29" s="52">
        <v>0</v>
      </c>
      <c r="D29" s="53">
        <v>0</v>
      </c>
      <c r="E29" s="62">
        <v>0</v>
      </c>
      <c r="F29" s="53">
        <v>0</v>
      </c>
      <c r="G29" s="53">
        <v>0</v>
      </c>
      <c r="H29" s="62">
        <v>0</v>
      </c>
      <c r="I29" s="63">
        <v>0</v>
      </c>
      <c r="J29" s="62">
        <v>0</v>
      </c>
      <c r="K29" s="63">
        <v>0</v>
      </c>
      <c r="L29" s="8"/>
      <c r="M29" s="52">
        <f t="shared" si="0"/>
        <v>0</v>
      </c>
      <c r="N29" s="53">
        <f t="shared" si="1"/>
        <v>0</v>
      </c>
      <c r="O29" s="52">
        <f t="shared" si="2"/>
        <v>0</v>
      </c>
      <c r="P29" s="53">
        <f t="shared" si="3"/>
        <v>0</v>
      </c>
      <c r="Q29" s="52">
        <f t="shared" si="4"/>
        <v>0</v>
      </c>
      <c r="R29" s="53">
        <f t="shared" si="5"/>
        <v>0</v>
      </c>
      <c r="S29" s="8"/>
      <c r="T29" s="8"/>
      <c r="U29" s="8"/>
      <c r="V29" s="8"/>
      <c r="W29" s="8"/>
      <c r="X29" s="8"/>
      <c r="Y29" s="8"/>
      <c r="Z29" s="8"/>
    </row>
    <row r="30" spans="1:26">
      <c r="A30" s="51" t="s">
        <v>27</v>
      </c>
      <c r="B30" s="50" t="s">
        <v>182</v>
      </c>
      <c r="C30" s="52">
        <v>0</v>
      </c>
      <c r="D30" s="53">
        <v>0</v>
      </c>
      <c r="E30" s="62">
        <v>0</v>
      </c>
      <c r="F30" s="53">
        <v>0</v>
      </c>
      <c r="G30" s="53">
        <v>0</v>
      </c>
      <c r="H30" s="62">
        <v>0</v>
      </c>
      <c r="I30" s="63">
        <v>0</v>
      </c>
      <c r="J30" s="62">
        <v>0</v>
      </c>
      <c r="K30" s="63">
        <v>0</v>
      </c>
      <c r="L30" s="8"/>
      <c r="M30" s="52">
        <f t="shared" si="0"/>
        <v>0</v>
      </c>
      <c r="N30" s="53">
        <f t="shared" si="1"/>
        <v>0</v>
      </c>
      <c r="O30" s="52">
        <f t="shared" si="2"/>
        <v>0</v>
      </c>
      <c r="P30" s="53">
        <f t="shared" si="3"/>
        <v>0</v>
      </c>
      <c r="Q30" s="52">
        <f t="shared" si="4"/>
        <v>0</v>
      </c>
      <c r="R30" s="53">
        <f t="shared" si="5"/>
        <v>0</v>
      </c>
      <c r="S30" s="8"/>
      <c r="T30" s="8"/>
      <c r="U30" s="8"/>
      <c r="V30" s="8"/>
      <c r="W30" s="8"/>
      <c r="X30" s="8"/>
      <c r="Y30" s="8"/>
      <c r="Z30" s="8"/>
    </row>
    <row r="31" spans="1:26">
      <c r="A31" s="51" t="s">
        <v>14</v>
      </c>
      <c r="B31" s="50" t="s">
        <v>183</v>
      </c>
      <c r="C31" s="52">
        <v>0</v>
      </c>
      <c r="D31" s="53">
        <v>0</v>
      </c>
      <c r="E31" s="62">
        <v>0</v>
      </c>
      <c r="F31" s="53">
        <v>0</v>
      </c>
      <c r="G31" s="53">
        <v>0</v>
      </c>
      <c r="H31" s="62">
        <v>0</v>
      </c>
      <c r="I31" s="63">
        <v>0</v>
      </c>
      <c r="J31" s="62">
        <v>0</v>
      </c>
      <c r="K31" s="63">
        <v>0</v>
      </c>
      <c r="L31" s="8"/>
      <c r="M31" s="52">
        <f t="shared" si="0"/>
        <v>0</v>
      </c>
      <c r="N31" s="53">
        <f t="shared" si="1"/>
        <v>0</v>
      </c>
      <c r="O31" s="52">
        <f t="shared" si="2"/>
        <v>0</v>
      </c>
      <c r="P31" s="53">
        <f t="shared" si="3"/>
        <v>0</v>
      </c>
      <c r="Q31" s="52">
        <f t="shared" si="4"/>
        <v>0</v>
      </c>
      <c r="R31" s="53">
        <f t="shared" si="5"/>
        <v>0</v>
      </c>
      <c r="S31" s="8"/>
      <c r="T31" s="8"/>
      <c r="U31" s="8"/>
      <c r="V31" s="8"/>
      <c r="W31" s="8"/>
      <c r="X31" s="8"/>
      <c r="Y31" s="8"/>
      <c r="Z31" s="8"/>
    </row>
    <row r="32" spans="1:26">
      <c r="A32" s="51" t="s">
        <v>16</v>
      </c>
      <c r="B32" s="50" t="s">
        <v>184</v>
      </c>
      <c r="C32" s="52">
        <v>0</v>
      </c>
      <c r="D32" s="53">
        <v>0</v>
      </c>
      <c r="E32" s="62">
        <v>0</v>
      </c>
      <c r="F32" s="53">
        <v>0</v>
      </c>
      <c r="G32" s="53">
        <v>0</v>
      </c>
      <c r="H32" s="62">
        <v>0</v>
      </c>
      <c r="I32" s="63">
        <v>0</v>
      </c>
      <c r="J32" s="62">
        <v>0</v>
      </c>
      <c r="K32" s="63">
        <v>0</v>
      </c>
      <c r="L32" s="8"/>
      <c r="M32" s="52">
        <f t="shared" si="0"/>
        <v>0</v>
      </c>
      <c r="N32" s="53">
        <f t="shared" si="1"/>
        <v>0</v>
      </c>
      <c r="O32" s="52">
        <f t="shared" si="2"/>
        <v>0</v>
      </c>
      <c r="P32" s="53">
        <f t="shared" si="3"/>
        <v>0</v>
      </c>
      <c r="Q32" s="52">
        <f t="shared" si="4"/>
        <v>0</v>
      </c>
      <c r="R32" s="53">
        <f t="shared" si="5"/>
        <v>0</v>
      </c>
      <c r="S32" s="8"/>
      <c r="T32" s="8"/>
      <c r="U32" s="8"/>
      <c r="V32" s="8"/>
      <c r="W32" s="8"/>
      <c r="X32" s="8"/>
      <c r="Y32" s="8"/>
      <c r="Z32" s="8"/>
    </row>
    <row r="33" spans="1:26">
      <c r="A33" s="51" t="s">
        <v>34</v>
      </c>
      <c r="B33" s="50" t="s">
        <v>185</v>
      </c>
      <c r="C33" s="52">
        <v>4.00007E-2</v>
      </c>
      <c r="D33" s="53">
        <v>1.0800000000000001E-2</v>
      </c>
      <c r="E33" s="62">
        <v>4.3953933253851406E-2</v>
      </c>
      <c r="F33" s="53">
        <v>9.0078179606493582E-3</v>
      </c>
      <c r="G33" s="53">
        <v>1.4325387027462154E-2</v>
      </c>
      <c r="H33" s="62">
        <v>0</v>
      </c>
      <c r="I33" s="63">
        <v>0</v>
      </c>
      <c r="J33" s="62">
        <v>3.2399999999999998E-2</v>
      </c>
      <c r="K33" s="63">
        <v>0.32590014635006831</v>
      </c>
      <c r="L33" s="8"/>
      <c r="M33" s="52">
        <f t="shared" si="0"/>
        <v>6.962924622638926E-2</v>
      </c>
      <c r="N33" s="53">
        <f t="shared" si="1"/>
        <v>6.962924622638926E-2</v>
      </c>
      <c r="O33" s="52">
        <f t="shared" si="2"/>
        <v>1.4325387027462154E-2</v>
      </c>
      <c r="P33" s="53">
        <f t="shared" si="3"/>
        <v>1.4325387027462154E-2</v>
      </c>
      <c r="Q33" s="52">
        <f t="shared" si="4"/>
        <v>8.3954633253851413E-2</v>
      </c>
      <c r="R33" s="53">
        <f t="shared" si="5"/>
        <v>8.3954633253851413E-2</v>
      </c>
      <c r="S33" s="8"/>
      <c r="T33" s="8"/>
      <c r="U33" s="8"/>
      <c r="V33" s="8"/>
      <c r="W33" s="8"/>
      <c r="X33" s="8"/>
      <c r="Y33" s="8"/>
      <c r="Z33" s="8"/>
    </row>
    <row r="34" spans="1:26">
      <c r="A34" s="51" t="s">
        <v>24</v>
      </c>
      <c r="B34" s="50" t="s">
        <v>186</v>
      </c>
      <c r="C34" s="52">
        <v>0</v>
      </c>
      <c r="D34" s="53">
        <v>0</v>
      </c>
      <c r="E34" s="62">
        <v>0</v>
      </c>
      <c r="F34" s="53">
        <v>0</v>
      </c>
      <c r="G34" s="53">
        <v>0</v>
      </c>
      <c r="H34" s="62">
        <v>0</v>
      </c>
      <c r="I34" s="63">
        <v>0</v>
      </c>
      <c r="J34" s="62">
        <v>0</v>
      </c>
      <c r="K34" s="63">
        <v>0</v>
      </c>
      <c r="L34" s="8"/>
      <c r="M34" s="52">
        <f t="shared" si="0"/>
        <v>0</v>
      </c>
      <c r="N34" s="53">
        <f t="shared" si="1"/>
        <v>0</v>
      </c>
      <c r="O34" s="52">
        <f t="shared" si="2"/>
        <v>0</v>
      </c>
      <c r="P34" s="53">
        <f t="shared" si="3"/>
        <v>0</v>
      </c>
      <c r="Q34" s="52">
        <f t="shared" si="4"/>
        <v>0</v>
      </c>
      <c r="R34" s="53">
        <f t="shared" si="5"/>
        <v>0</v>
      </c>
      <c r="S34" s="8"/>
      <c r="T34" s="8"/>
      <c r="U34" s="8"/>
      <c r="V34" s="8"/>
      <c r="W34" s="8"/>
      <c r="X34" s="8"/>
      <c r="Y34" s="8"/>
      <c r="Z34" s="8"/>
    </row>
    <row r="35" spans="1:26">
      <c r="A35" s="51" t="s">
        <v>26</v>
      </c>
      <c r="B35" s="50" t="s">
        <v>187</v>
      </c>
      <c r="C35" s="52">
        <v>0.32000130000000004</v>
      </c>
      <c r="D35" s="53">
        <v>0.1188</v>
      </c>
      <c r="E35" s="62">
        <v>0.10924906556740477</v>
      </c>
      <c r="F35" s="53">
        <v>0.102813466792724</v>
      </c>
      <c r="G35" s="53">
        <v>1.1098867207263177E-2</v>
      </c>
      <c r="H35" s="62">
        <v>3.1410261668122468</v>
      </c>
      <c r="I35" s="63">
        <v>2.7203586922639094</v>
      </c>
      <c r="J35" s="62">
        <v>0.46149359139610052</v>
      </c>
      <c r="K35" s="63">
        <v>4.4757935277398628</v>
      </c>
      <c r="L35" s="8"/>
      <c r="M35" s="52">
        <f t="shared" si="0"/>
        <v>0.41815149836014165</v>
      </c>
      <c r="N35" s="53">
        <f t="shared" si="1"/>
        <v>0.41815149836014165</v>
      </c>
      <c r="O35" s="52">
        <f t="shared" si="2"/>
        <v>3.1521250340195102</v>
      </c>
      <c r="P35" s="53">
        <f t="shared" si="3"/>
        <v>3.1521250340195102</v>
      </c>
      <c r="Q35" s="52">
        <f t="shared" si="4"/>
        <v>3.5702765323796517</v>
      </c>
      <c r="R35" s="53">
        <f t="shared" si="5"/>
        <v>3.5702765323796517</v>
      </c>
      <c r="S35" s="8"/>
      <c r="T35" s="8"/>
      <c r="U35" s="8"/>
      <c r="V35" s="8"/>
      <c r="W35" s="8"/>
      <c r="X35" s="8"/>
      <c r="Y35" s="8"/>
      <c r="Z35" s="8"/>
    </row>
    <row r="36" spans="1:26">
      <c r="A36" s="51" t="s">
        <v>56</v>
      </c>
      <c r="B36" s="54" t="s">
        <v>236</v>
      </c>
      <c r="C36" s="64">
        <f t="shared" ref="C36:K36" si="7">SUM(C27:C35)+C46+C25+C24</f>
        <v>0.48780410000000002</v>
      </c>
      <c r="D36" s="65">
        <f t="shared" si="7"/>
        <v>0.16919999999999999</v>
      </c>
      <c r="E36" s="66">
        <f t="shared" si="7"/>
        <v>0.20970565237360136</v>
      </c>
      <c r="F36" s="65">
        <f t="shared" si="7"/>
        <v>0.14785255659597077</v>
      </c>
      <c r="G36" s="65">
        <f t="shared" si="7"/>
        <v>4.5566616600611509E-2</v>
      </c>
      <c r="H36" s="66">
        <f t="shared" si="7"/>
        <v>5.8749127000090411</v>
      </c>
      <c r="I36" s="67">
        <f t="shared" si="7"/>
        <v>5.0511233349716926</v>
      </c>
      <c r="J36" s="66">
        <f t="shared" si="7"/>
        <v>0.62709359139610055</v>
      </c>
      <c r="K36" s="67">
        <f t="shared" si="7"/>
        <v>7.7176936740899302</v>
      </c>
      <c r="L36" s="8"/>
      <c r="M36" s="55">
        <f t="shared" si="0"/>
        <v>0.6519431357729899</v>
      </c>
      <c r="N36" s="56">
        <f t="shared" si="1"/>
        <v>0.6519431357729899</v>
      </c>
      <c r="O36" s="55">
        <f t="shared" si="2"/>
        <v>5.9204793166096525</v>
      </c>
      <c r="P36" s="56">
        <f t="shared" si="3"/>
        <v>5.9204793166096525</v>
      </c>
      <c r="Q36" s="55">
        <f t="shared" si="4"/>
        <v>6.5724224523826429</v>
      </c>
      <c r="R36" s="56">
        <f t="shared" si="5"/>
        <v>6.5724224523826429</v>
      </c>
      <c r="S36" s="8"/>
      <c r="T36" s="8"/>
      <c r="U36" s="8"/>
      <c r="V36" s="8"/>
      <c r="W36" s="8"/>
      <c r="X36" s="8"/>
      <c r="Y36" s="8"/>
      <c r="Z36" s="8"/>
    </row>
    <row r="37" spans="1:26">
      <c r="A37" s="51" t="s">
        <v>481</v>
      </c>
      <c r="B37" s="50" t="s">
        <v>251</v>
      </c>
      <c r="C37" s="52">
        <v>1.5634558000000001</v>
      </c>
      <c r="D37" s="53">
        <v>0.6552</v>
      </c>
      <c r="E37" s="62">
        <v>0.64461167769511873</v>
      </c>
      <c r="F37" s="53">
        <v>0.28439999999999999</v>
      </c>
      <c r="G37" s="53">
        <v>0.28638588402042942</v>
      </c>
      <c r="H37" s="62">
        <v>0.90309430431058735</v>
      </c>
      <c r="I37" s="63">
        <v>0.45661411597957058</v>
      </c>
      <c r="J37" s="62">
        <v>1.5047999999999999</v>
      </c>
      <c r="K37" s="63">
        <v>1.0049999999999999</v>
      </c>
      <c r="L37" s="8"/>
      <c r="M37" s="52">
        <f t="shared" si="0"/>
        <v>1.9216815936746894</v>
      </c>
      <c r="N37" s="53">
        <f t="shared" si="1"/>
        <v>1.9216815936746894</v>
      </c>
      <c r="O37" s="52">
        <f t="shared" si="2"/>
        <v>1.1894801883310167</v>
      </c>
      <c r="P37" s="53">
        <f t="shared" si="3"/>
        <v>1.1894801883310167</v>
      </c>
      <c r="Q37" s="52">
        <f t="shared" si="4"/>
        <v>3.111161782005706</v>
      </c>
      <c r="R37" s="53">
        <f t="shared" si="5"/>
        <v>3.111161782005706</v>
      </c>
      <c r="S37" s="8"/>
      <c r="T37" s="8"/>
      <c r="U37" s="8"/>
      <c r="V37" s="8"/>
      <c r="W37" s="8"/>
      <c r="X37" s="8"/>
      <c r="Y37" s="8"/>
      <c r="Z37" s="8"/>
    </row>
    <row r="38" spans="1:26">
      <c r="A38" s="51" t="s">
        <v>120</v>
      </c>
      <c r="B38" s="50" t="s">
        <v>188</v>
      </c>
      <c r="C38" s="52">
        <v>0</v>
      </c>
      <c r="D38" s="53">
        <v>0</v>
      </c>
      <c r="E38" s="62">
        <v>2.9001999999999997E-2</v>
      </c>
      <c r="F38" s="53">
        <v>3.5999999999999999E-3</v>
      </c>
      <c r="G38" s="53">
        <v>1.9E-2</v>
      </c>
      <c r="H38" s="62">
        <v>2.0000299999999999E-2</v>
      </c>
      <c r="I38" s="63">
        <v>1.6E-2</v>
      </c>
      <c r="J38" s="62">
        <v>0.26279999999999998</v>
      </c>
      <c r="K38" s="63">
        <v>0.42299999999999999</v>
      </c>
      <c r="L38" s="8"/>
      <c r="M38" s="52">
        <f t="shared" si="0"/>
        <v>1.0001999999999997E-2</v>
      </c>
      <c r="N38" s="53">
        <f t="shared" si="1"/>
        <v>1.0001999999999997E-2</v>
      </c>
      <c r="O38" s="52">
        <f t="shared" si="2"/>
        <v>3.9000300000000002E-2</v>
      </c>
      <c r="P38" s="53">
        <f t="shared" si="3"/>
        <v>3.9000300000000002E-2</v>
      </c>
      <c r="Q38" s="52">
        <f t="shared" si="4"/>
        <v>4.9002299999999999E-2</v>
      </c>
      <c r="R38" s="53">
        <f t="shared" si="5"/>
        <v>4.9002299999999999E-2</v>
      </c>
      <c r="S38" s="8"/>
      <c r="T38" s="8"/>
      <c r="U38" s="8"/>
      <c r="V38" s="8"/>
      <c r="W38" s="8"/>
      <c r="X38" s="8"/>
      <c r="Y38" s="8"/>
      <c r="Z38" s="8"/>
    </row>
    <row r="39" spans="1:26">
      <c r="A39" s="51" t="s">
        <v>121</v>
      </c>
      <c r="B39" s="51" t="s">
        <v>128</v>
      </c>
      <c r="C39" s="52">
        <v>0.42500209999999999</v>
      </c>
      <c r="D39" s="53">
        <v>0.13751639999999998</v>
      </c>
      <c r="E39" s="62">
        <v>5.8795396988293902</v>
      </c>
      <c r="F39" s="53">
        <v>1.5594379478250546</v>
      </c>
      <c r="G39" s="53">
        <v>2.7910878638399734</v>
      </c>
      <c r="H39" s="62">
        <v>5.7148716775366513</v>
      </c>
      <c r="I39" s="63">
        <v>4.3275732750053901</v>
      </c>
      <c r="J39" s="62">
        <v>2.469885147825055</v>
      </c>
      <c r="K39" s="63">
        <v>9.5586611388453626</v>
      </c>
      <c r="L39" s="8"/>
      <c r="M39" s="52">
        <f t="shared" si="0"/>
        <v>3.5134539349894172</v>
      </c>
      <c r="N39" s="53">
        <f t="shared" si="1"/>
        <v>3.5134539349894172</v>
      </c>
      <c r="O39" s="52">
        <f t="shared" si="2"/>
        <v>8.5059595413766242</v>
      </c>
      <c r="P39" s="53">
        <f t="shared" si="3"/>
        <v>8.5059595413766242</v>
      </c>
      <c r="Q39" s="52">
        <f t="shared" si="4"/>
        <v>12.019413476366042</v>
      </c>
      <c r="R39" s="53">
        <f t="shared" si="5"/>
        <v>12.019413476366042</v>
      </c>
      <c r="S39" s="8"/>
      <c r="T39" s="8"/>
      <c r="U39" s="8"/>
      <c r="V39" s="8"/>
      <c r="W39" s="8"/>
      <c r="X39" s="8"/>
      <c r="Y39" s="8"/>
      <c r="Z39" s="8"/>
    </row>
    <row r="40" spans="1:26">
      <c r="A40" s="51" t="s">
        <v>119</v>
      </c>
      <c r="B40" s="50" t="s">
        <v>189</v>
      </c>
      <c r="C40" s="52">
        <v>4.0859985999999999</v>
      </c>
      <c r="D40" s="53">
        <v>1.5911999999999999</v>
      </c>
      <c r="E40" s="62">
        <v>40.40232587557356</v>
      </c>
      <c r="F40" s="53">
        <v>10.64299763630339</v>
      </c>
      <c r="G40" s="53">
        <v>23.147180963423839</v>
      </c>
      <c r="H40" s="62">
        <v>32.179941392712273</v>
      </c>
      <c r="I40" s="63">
        <v>27.320369038139209</v>
      </c>
      <c r="J40" s="62">
        <v>38.750733732392248</v>
      </c>
      <c r="K40" s="63">
        <v>69.253525032463585</v>
      </c>
      <c r="L40" s="8"/>
      <c r="M40" s="52">
        <f t="shared" si="0"/>
        <v>21.341143512149724</v>
      </c>
      <c r="N40" s="53">
        <f t="shared" si="1"/>
        <v>21.341143512149724</v>
      </c>
      <c r="O40" s="52">
        <f t="shared" si="2"/>
        <v>55.327122356136115</v>
      </c>
      <c r="P40" s="53">
        <f t="shared" si="3"/>
        <v>55.327122356136115</v>
      </c>
      <c r="Q40" s="52">
        <f t="shared" si="4"/>
        <v>76.668265868285829</v>
      </c>
      <c r="R40" s="53">
        <f t="shared" si="5"/>
        <v>76.668265868285829</v>
      </c>
      <c r="S40" s="8"/>
      <c r="T40" s="8"/>
      <c r="U40" s="8"/>
      <c r="V40" s="8"/>
      <c r="W40" s="8"/>
      <c r="X40" s="8"/>
      <c r="Y40" s="8"/>
      <c r="Z40" s="8"/>
    </row>
    <row r="41" spans="1:26">
      <c r="A41" s="51" t="s">
        <v>9</v>
      </c>
      <c r="B41" s="50" t="s">
        <v>190</v>
      </c>
      <c r="C41" s="52">
        <v>0</v>
      </c>
      <c r="D41" s="53">
        <v>0</v>
      </c>
      <c r="E41" s="62">
        <v>0</v>
      </c>
      <c r="F41" s="53">
        <v>0</v>
      </c>
      <c r="G41" s="53">
        <v>0</v>
      </c>
      <c r="H41" s="62">
        <v>0</v>
      </c>
      <c r="I41" s="63">
        <v>0</v>
      </c>
      <c r="J41" s="62">
        <v>0</v>
      </c>
      <c r="K41" s="63">
        <v>0</v>
      </c>
      <c r="L41" s="8"/>
      <c r="M41" s="52">
        <f t="shared" si="0"/>
        <v>0</v>
      </c>
      <c r="N41" s="53">
        <f t="shared" si="1"/>
        <v>0</v>
      </c>
      <c r="O41" s="52">
        <f t="shared" si="2"/>
        <v>0</v>
      </c>
      <c r="P41" s="53">
        <f t="shared" si="3"/>
        <v>0</v>
      </c>
      <c r="Q41" s="52">
        <f t="shared" si="4"/>
        <v>0</v>
      </c>
      <c r="R41" s="53">
        <f t="shared" si="5"/>
        <v>0</v>
      </c>
      <c r="S41" s="8"/>
      <c r="T41" s="8"/>
      <c r="U41" s="8"/>
      <c r="V41" s="8"/>
      <c r="W41" s="8"/>
      <c r="X41" s="8"/>
      <c r="Y41" s="8"/>
      <c r="Z41" s="8"/>
    </row>
    <row r="42" spans="1:26">
      <c r="A42" s="51" t="s">
        <v>152</v>
      </c>
      <c r="B42" s="54" t="s">
        <v>59</v>
      </c>
      <c r="C42" s="64">
        <f t="shared" ref="C42:K42" si="8">SUM(C37:C41)</f>
        <v>6.0744565000000001</v>
      </c>
      <c r="D42" s="65">
        <f t="shared" si="8"/>
        <v>2.3839163999999999</v>
      </c>
      <c r="E42" s="66">
        <f t="shared" si="8"/>
        <v>46.955479252098073</v>
      </c>
      <c r="F42" s="65">
        <f t="shared" si="8"/>
        <v>12.490435584128445</v>
      </c>
      <c r="G42" s="65">
        <f t="shared" si="8"/>
        <v>26.243654711284243</v>
      </c>
      <c r="H42" s="66">
        <f t="shared" si="8"/>
        <v>38.817907674559514</v>
      </c>
      <c r="I42" s="67">
        <f t="shared" si="8"/>
        <v>32.120556429124171</v>
      </c>
      <c r="J42" s="66">
        <f t="shared" si="8"/>
        <v>42.988218880217303</v>
      </c>
      <c r="K42" s="67">
        <f t="shared" si="8"/>
        <v>80.240186171308949</v>
      </c>
      <c r="L42" s="8"/>
      <c r="M42" s="55">
        <f t="shared" si="0"/>
        <v>26.786281040813826</v>
      </c>
      <c r="N42" s="56">
        <f t="shared" si="1"/>
        <v>26.786281040813826</v>
      </c>
      <c r="O42" s="55">
        <f t="shared" si="2"/>
        <v>65.061562385843757</v>
      </c>
      <c r="P42" s="56">
        <f t="shared" si="3"/>
        <v>65.061562385843757</v>
      </c>
      <c r="Q42" s="55">
        <f t="shared" si="4"/>
        <v>91.84784342665759</v>
      </c>
      <c r="R42" s="56">
        <f t="shared" si="5"/>
        <v>91.84784342665759</v>
      </c>
      <c r="S42" s="8"/>
      <c r="T42" s="8"/>
      <c r="U42" s="8"/>
      <c r="V42" s="8"/>
      <c r="W42" s="8"/>
      <c r="X42" s="8"/>
      <c r="Y42" s="8"/>
      <c r="Z42" s="8"/>
    </row>
    <row r="43" spans="1:26">
      <c r="A43" s="51" t="s">
        <v>1</v>
      </c>
      <c r="B43" s="227" t="s">
        <v>253</v>
      </c>
      <c r="C43" s="52">
        <v>3.9929259999999998</v>
      </c>
      <c r="D43" s="53">
        <v>1.53</v>
      </c>
      <c r="E43" s="62">
        <v>25.412784792074437</v>
      </c>
      <c r="F43" s="53">
        <v>6.6148147199276446</v>
      </c>
      <c r="G43" s="53">
        <v>14.796075406750777</v>
      </c>
      <c r="H43" s="62">
        <v>5.3778482529818676</v>
      </c>
      <c r="I43" s="63">
        <v>4.5150562063246609</v>
      </c>
      <c r="J43" s="62">
        <v>9.9756</v>
      </c>
      <c r="K43" s="63">
        <v>25.930424513170724</v>
      </c>
      <c r="L43" s="8"/>
      <c r="M43" s="52">
        <f t="shared" si="0"/>
        <v>14.60963538532366</v>
      </c>
      <c r="N43" s="53">
        <f t="shared" si="1"/>
        <v>14.60963538532366</v>
      </c>
      <c r="O43" s="52">
        <f t="shared" si="2"/>
        <v>20.173923659732644</v>
      </c>
      <c r="P43" s="53">
        <f t="shared" si="3"/>
        <v>20.173923659732644</v>
      </c>
      <c r="Q43" s="52">
        <f t="shared" si="4"/>
        <v>34.783559045056307</v>
      </c>
      <c r="R43" s="53">
        <f t="shared" si="5"/>
        <v>34.783559045056307</v>
      </c>
      <c r="S43" s="8"/>
      <c r="T43" s="8"/>
      <c r="U43" s="8"/>
      <c r="V43" s="8"/>
      <c r="W43" s="8"/>
      <c r="X43" s="8"/>
      <c r="Y43" s="8"/>
      <c r="Z43" s="8"/>
    </row>
    <row r="44" spans="1:26" ht="19.5" customHeight="1">
      <c r="A44" s="51" t="s">
        <v>0</v>
      </c>
      <c r="B44" s="227" t="s">
        <v>252</v>
      </c>
      <c r="C44" s="52">
        <v>11.4562069</v>
      </c>
      <c r="D44" s="53">
        <v>4.6188000000000002</v>
      </c>
      <c r="E44" s="62">
        <v>15.846162444621342</v>
      </c>
      <c r="F44" s="53">
        <v>5.2148824708580168</v>
      </c>
      <c r="G44" s="53">
        <v>8.9348368646013903</v>
      </c>
      <c r="H44" s="62">
        <v>0.17562221841255421</v>
      </c>
      <c r="I44" s="63">
        <v>5.2675522022566534E-2</v>
      </c>
      <c r="J44" s="62">
        <v>10.274690314372704</v>
      </c>
      <c r="K44" s="63">
        <v>9.2599223708893952</v>
      </c>
      <c r="L44" s="8"/>
      <c r="M44" s="52">
        <f t="shared" si="0"/>
        <v>18.36753248001995</v>
      </c>
      <c r="N44" s="53">
        <f t="shared" si="1"/>
        <v>18.36753248001995</v>
      </c>
      <c r="O44" s="52">
        <f t="shared" si="2"/>
        <v>9.1104590830139447</v>
      </c>
      <c r="P44" s="53">
        <f t="shared" si="3"/>
        <v>9.1104590830139447</v>
      </c>
      <c r="Q44" s="52">
        <f t="shared" si="4"/>
        <v>27.477991563033893</v>
      </c>
      <c r="R44" s="53">
        <f t="shared" si="5"/>
        <v>27.477991563033893</v>
      </c>
      <c r="S44" s="8"/>
      <c r="T44" s="8"/>
      <c r="U44" s="8"/>
      <c r="V44" s="8"/>
      <c r="W44" s="8"/>
      <c r="X44" s="8"/>
      <c r="Y44" s="8"/>
      <c r="Z44" s="8"/>
    </row>
    <row r="45" spans="1:26">
      <c r="A45" s="51" t="s">
        <v>2</v>
      </c>
      <c r="B45" s="50" t="s">
        <v>191</v>
      </c>
      <c r="C45" s="52">
        <v>0</v>
      </c>
      <c r="D45" s="53">
        <v>0</v>
      </c>
      <c r="E45" s="62">
        <v>0</v>
      </c>
      <c r="F45" s="53">
        <v>0</v>
      </c>
      <c r="G45" s="53">
        <v>0</v>
      </c>
      <c r="H45" s="62">
        <v>0</v>
      </c>
      <c r="I45" s="63">
        <v>0</v>
      </c>
      <c r="J45" s="62">
        <v>0</v>
      </c>
      <c r="K45" s="63">
        <v>0</v>
      </c>
      <c r="L45" s="8"/>
      <c r="M45" s="52">
        <f t="shared" si="0"/>
        <v>0</v>
      </c>
      <c r="N45" s="53">
        <f t="shared" si="1"/>
        <v>0</v>
      </c>
      <c r="O45" s="52">
        <f t="shared" si="2"/>
        <v>0</v>
      </c>
      <c r="P45" s="53">
        <f t="shared" si="3"/>
        <v>0</v>
      </c>
      <c r="Q45" s="52">
        <f t="shared" si="4"/>
        <v>0</v>
      </c>
      <c r="R45" s="53">
        <f t="shared" si="5"/>
        <v>0</v>
      </c>
      <c r="S45" s="8"/>
      <c r="T45" s="8"/>
      <c r="U45" s="8"/>
      <c r="V45" s="8"/>
      <c r="W45" s="8"/>
      <c r="X45" s="8"/>
      <c r="Y45" s="8"/>
      <c r="Z45" s="8"/>
    </row>
    <row r="46" spans="1:26">
      <c r="A46" s="51" t="s">
        <v>32</v>
      </c>
      <c r="B46" s="50" t="s">
        <v>192</v>
      </c>
      <c r="C46" s="52">
        <v>0</v>
      </c>
      <c r="D46" s="53">
        <v>0</v>
      </c>
      <c r="E46" s="62">
        <v>0</v>
      </c>
      <c r="F46" s="53">
        <v>0</v>
      </c>
      <c r="G46" s="53">
        <v>0</v>
      </c>
      <c r="H46" s="62">
        <v>0</v>
      </c>
      <c r="I46" s="63">
        <v>0</v>
      </c>
      <c r="J46" s="62">
        <v>0</v>
      </c>
      <c r="K46" s="63">
        <v>1.4999999999999999E-2</v>
      </c>
      <c r="L46" s="8"/>
      <c r="M46" s="52">
        <f t="shared" si="0"/>
        <v>0</v>
      </c>
      <c r="N46" s="53">
        <f t="shared" si="1"/>
        <v>0</v>
      </c>
      <c r="O46" s="52">
        <f t="shared" si="2"/>
        <v>0</v>
      </c>
      <c r="P46" s="53">
        <f t="shared" si="3"/>
        <v>0</v>
      </c>
      <c r="Q46" s="52">
        <f t="shared" si="4"/>
        <v>0</v>
      </c>
      <c r="R46" s="53">
        <f t="shared" si="5"/>
        <v>0</v>
      </c>
      <c r="S46" s="8"/>
      <c r="T46" s="8"/>
      <c r="U46" s="8"/>
      <c r="V46" s="8"/>
      <c r="W46" s="8"/>
      <c r="X46" s="8"/>
      <c r="Y46" s="8"/>
      <c r="Z46" s="8"/>
    </row>
    <row r="47" spans="1:26">
      <c r="A47" s="51" t="s">
        <v>169</v>
      </c>
      <c r="B47" s="54" t="s">
        <v>84</v>
      </c>
      <c r="C47" s="64">
        <f t="shared" ref="C47:K47" si="9">SUM(C43:C46)-C46+C20+C21+C22</f>
        <v>20.8577333</v>
      </c>
      <c r="D47" s="65">
        <f t="shared" si="9"/>
        <v>8.0964000000000009</v>
      </c>
      <c r="E47" s="66">
        <f t="shared" si="9"/>
        <v>42.188848036695774</v>
      </c>
      <c r="F47" s="65">
        <f t="shared" si="9"/>
        <v>11.991697190785661</v>
      </c>
      <c r="G47" s="65">
        <f t="shared" si="9"/>
        <v>24.346912271352167</v>
      </c>
      <c r="H47" s="66">
        <f t="shared" si="9"/>
        <v>5.9324721713944228</v>
      </c>
      <c r="I47" s="67">
        <f t="shared" si="9"/>
        <v>4.8977317283472264</v>
      </c>
      <c r="J47" s="66">
        <f t="shared" si="9"/>
        <v>22.359890314372706</v>
      </c>
      <c r="K47" s="67">
        <f t="shared" si="9"/>
        <v>36.136346884060124</v>
      </c>
      <c r="L47" s="8"/>
      <c r="M47" s="55">
        <f t="shared" si="0"/>
        <v>38.699669065343606</v>
      </c>
      <c r="N47" s="56">
        <f t="shared" si="1"/>
        <v>38.699669065343606</v>
      </c>
      <c r="O47" s="55">
        <f t="shared" si="2"/>
        <v>30.27938444274659</v>
      </c>
      <c r="P47" s="56">
        <f t="shared" si="3"/>
        <v>30.27938444274659</v>
      </c>
      <c r="Q47" s="55">
        <f t="shared" si="4"/>
        <v>68.979053508090203</v>
      </c>
      <c r="R47" s="56">
        <f t="shared" si="5"/>
        <v>68.979053508090203</v>
      </c>
      <c r="S47" s="8"/>
      <c r="T47" s="8"/>
      <c r="U47" s="8"/>
      <c r="V47" s="8"/>
      <c r="W47" s="8"/>
      <c r="X47" s="8"/>
      <c r="Y47" s="8"/>
      <c r="Z47" s="8"/>
    </row>
    <row r="48" spans="1:26">
      <c r="A48" s="51" t="s">
        <v>338</v>
      </c>
      <c r="B48" s="50" t="s">
        <v>145</v>
      </c>
      <c r="C48" s="52">
        <v>245.2036348</v>
      </c>
      <c r="D48" s="53">
        <v>80.917199999999994</v>
      </c>
      <c r="E48" s="62">
        <v>0</v>
      </c>
      <c r="F48" s="53">
        <v>0</v>
      </c>
      <c r="G48" s="53">
        <v>0</v>
      </c>
      <c r="H48" s="62">
        <v>0</v>
      </c>
      <c r="I48" s="63">
        <v>0</v>
      </c>
      <c r="J48" s="62">
        <v>80.917199999999994</v>
      </c>
      <c r="K48" s="63">
        <v>0</v>
      </c>
      <c r="L48" s="8"/>
      <c r="M48" s="52">
        <f t="shared" si="0"/>
        <v>245.2036348</v>
      </c>
      <c r="N48" s="53">
        <f t="shared" ref="N48:N54" si="10">(D48+F48)*$J$5</f>
        <v>208.32842141793211</v>
      </c>
      <c r="O48" s="52">
        <f t="shared" si="2"/>
        <v>0</v>
      </c>
      <c r="P48" s="53">
        <f t="shared" ref="P48:P54" si="11">(G48+I48)*$J$7</f>
        <v>0</v>
      </c>
      <c r="Q48" s="52">
        <f t="shared" si="4"/>
        <v>245.2036348</v>
      </c>
      <c r="R48" s="53">
        <f t="shared" ref="R48:R54" si="12">N48+P48</f>
        <v>208.32842141793211</v>
      </c>
      <c r="S48" s="8"/>
      <c r="T48" s="8"/>
      <c r="U48" s="8"/>
      <c r="V48" s="8"/>
      <c r="W48" s="8"/>
      <c r="X48" s="8"/>
      <c r="Y48" s="8"/>
      <c r="Z48" s="8"/>
    </row>
    <row r="49" spans="1:26">
      <c r="A49" s="51" t="s">
        <v>57</v>
      </c>
      <c r="B49" s="21" t="s">
        <v>147</v>
      </c>
      <c r="C49" s="52">
        <v>53.179201200000001</v>
      </c>
      <c r="D49" s="53">
        <v>53.179199999999994</v>
      </c>
      <c r="E49" s="62">
        <v>0</v>
      </c>
      <c r="F49" s="53">
        <v>0</v>
      </c>
      <c r="G49" s="53">
        <v>0</v>
      </c>
      <c r="H49" s="62">
        <v>0</v>
      </c>
      <c r="I49" s="63">
        <v>0</v>
      </c>
      <c r="J49" s="62">
        <v>53.179199999999994</v>
      </c>
      <c r="K49" s="63">
        <v>0</v>
      </c>
      <c r="L49" s="8"/>
      <c r="M49" s="52">
        <f t="shared" si="0"/>
        <v>53.179201200000001</v>
      </c>
      <c r="N49" s="53">
        <f t="shared" si="10"/>
        <v>136.91450999624919</v>
      </c>
      <c r="O49" s="52">
        <f t="shared" si="2"/>
        <v>0</v>
      </c>
      <c r="P49" s="53">
        <f t="shared" si="11"/>
        <v>0</v>
      </c>
      <c r="Q49" s="52">
        <f t="shared" si="4"/>
        <v>53.179201200000001</v>
      </c>
      <c r="R49" s="53">
        <f t="shared" si="12"/>
        <v>136.91450999624919</v>
      </c>
      <c r="S49" s="8"/>
      <c r="T49" s="8"/>
      <c r="U49" s="8"/>
      <c r="V49" s="8"/>
      <c r="W49" s="8"/>
      <c r="X49" s="8"/>
      <c r="Y49" s="8"/>
      <c r="Z49" s="8"/>
    </row>
    <row r="50" spans="1:26">
      <c r="A50" s="51" t="s">
        <v>170</v>
      </c>
      <c r="B50" s="21" t="s">
        <v>146</v>
      </c>
      <c r="C50" s="52">
        <v>0</v>
      </c>
      <c r="D50" s="53">
        <v>0</v>
      </c>
      <c r="E50" s="62">
        <v>0</v>
      </c>
      <c r="F50" s="53">
        <v>0</v>
      </c>
      <c r="G50" s="53">
        <v>0</v>
      </c>
      <c r="H50" s="62">
        <v>0.75326447562163512</v>
      </c>
      <c r="I50" s="63">
        <v>1.3018919099951054</v>
      </c>
      <c r="J50" s="62">
        <v>0</v>
      </c>
      <c r="K50" s="63">
        <v>1.3018919099951054</v>
      </c>
      <c r="L50" s="8"/>
      <c r="M50" s="52">
        <f t="shared" si="0"/>
        <v>0</v>
      </c>
      <c r="N50" s="53">
        <f t="shared" si="10"/>
        <v>0</v>
      </c>
      <c r="O50" s="52">
        <f t="shared" si="2"/>
        <v>0.75326447562163512</v>
      </c>
      <c r="P50" s="53">
        <f t="shared" si="11"/>
        <v>1.4283349559080025</v>
      </c>
      <c r="Q50" s="52">
        <f t="shared" si="4"/>
        <v>0.75326447562163512</v>
      </c>
      <c r="R50" s="53">
        <f t="shared" si="12"/>
        <v>1.4283349559080025</v>
      </c>
      <c r="S50" s="8"/>
      <c r="T50" s="8"/>
      <c r="U50" s="8"/>
      <c r="V50" s="8"/>
      <c r="W50" s="8"/>
      <c r="X50" s="8"/>
      <c r="Y50" s="8"/>
      <c r="Z50" s="8"/>
    </row>
    <row r="51" spans="1:26">
      <c r="A51" s="51" t="s">
        <v>171</v>
      </c>
      <c r="B51" s="21" t="s">
        <v>66</v>
      </c>
      <c r="C51" s="52">
        <v>0.157139</v>
      </c>
      <c r="D51" s="53">
        <v>0.15713640000000001</v>
      </c>
      <c r="E51" s="62">
        <v>0</v>
      </c>
      <c r="F51" s="53">
        <v>0</v>
      </c>
      <c r="G51" s="53">
        <v>0</v>
      </c>
      <c r="H51" s="62">
        <v>0</v>
      </c>
      <c r="I51" s="63">
        <v>0</v>
      </c>
      <c r="J51" s="62">
        <v>0.15713640000000001</v>
      </c>
      <c r="K51" s="63">
        <v>0</v>
      </c>
      <c r="L51" s="8"/>
      <c r="M51" s="52">
        <f t="shared" si="0"/>
        <v>0.157139</v>
      </c>
      <c r="N51" s="53">
        <f t="shared" si="10"/>
        <v>0.40456143019403479</v>
      </c>
      <c r="O51" s="52">
        <f t="shared" si="2"/>
        <v>0</v>
      </c>
      <c r="P51" s="53">
        <f t="shared" si="11"/>
        <v>0</v>
      </c>
      <c r="Q51" s="52">
        <f t="shared" si="4"/>
        <v>0.157139</v>
      </c>
      <c r="R51" s="53">
        <f t="shared" si="12"/>
        <v>0.40456143019403479</v>
      </c>
      <c r="S51" s="8"/>
      <c r="T51" s="8"/>
      <c r="U51" s="8"/>
      <c r="V51" s="8"/>
      <c r="W51" s="8"/>
      <c r="X51" s="8"/>
      <c r="Y51" s="8"/>
      <c r="Z51" s="8"/>
    </row>
    <row r="52" spans="1:26">
      <c r="A52" s="51" t="s">
        <v>168</v>
      </c>
      <c r="B52" s="21" t="s">
        <v>148</v>
      </c>
      <c r="C52" s="52">
        <v>0</v>
      </c>
      <c r="D52" s="53">
        <v>0</v>
      </c>
      <c r="E52" s="62">
        <v>0</v>
      </c>
      <c r="F52" s="53">
        <v>0</v>
      </c>
      <c r="G52" s="53">
        <v>0</v>
      </c>
      <c r="H52" s="62">
        <v>0</v>
      </c>
      <c r="I52" s="63">
        <v>0</v>
      </c>
      <c r="J52" s="62">
        <v>0</v>
      </c>
      <c r="K52" s="63">
        <v>0</v>
      </c>
      <c r="L52" s="8"/>
      <c r="M52" s="52">
        <f t="shared" si="0"/>
        <v>0</v>
      </c>
      <c r="N52" s="53">
        <f t="shared" si="10"/>
        <v>0</v>
      </c>
      <c r="O52" s="52">
        <f t="shared" si="2"/>
        <v>0</v>
      </c>
      <c r="P52" s="53">
        <f t="shared" si="11"/>
        <v>0</v>
      </c>
      <c r="Q52" s="52">
        <f t="shared" si="4"/>
        <v>0</v>
      </c>
      <c r="R52" s="53">
        <f t="shared" si="12"/>
        <v>0</v>
      </c>
      <c r="S52" s="8"/>
      <c r="T52" s="8"/>
      <c r="U52" s="8"/>
      <c r="V52" s="8"/>
      <c r="W52" s="8"/>
      <c r="X52" s="8"/>
      <c r="Y52" s="8"/>
      <c r="Z52" s="8"/>
    </row>
    <row r="53" spans="1:26">
      <c r="A53" s="51" t="s">
        <v>172</v>
      </c>
      <c r="B53" s="50" t="s">
        <v>149</v>
      </c>
      <c r="C53" s="52">
        <v>17.262000599999997</v>
      </c>
      <c r="D53" s="53">
        <v>17.262</v>
      </c>
      <c r="E53" s="62">
        <v>0</v>
      </c>
      <c r="F53" s="53">
        <v>0</v>
      </c>
      <c r="G53" s="53">
        <v>0</v>
      </c>
      <c r="H53" s="62">
        <v>0</v>
      </c>
      <c r="I53" s="63">
        <v>0</v>
      </c>
      <c r="J53" s="62">
        <v>17.262</v>
      </c>
      <c r="K53" s="63">
        <v>0</v>
      </c>
      <c r="L53" s="8"/>
      <c r="M53" s="52">
        <f t="shared" si="0"/>
        <v>17.262000599999997</v>
      </c>
      <c r="N53" s="53">
        <f t="shared" si="10"/>
        <v>44.442531507718314</v>
      </c>
      <c r="O53" s="52">
        <f t="shared" si="2"/>
        <v>0</v>
      </c>
      <c r="P53" s="53">
        <f t="shared" si="11"/>
        <v>0</v>
      </c>
      <c r="Q53" s="52">
        <f t="shared" si="4"/>
        <v>17.262000599999997</v>
      </c>
      <c r="R53" s="53">
        <f t="shared" si="12"/>
        <v>44.442531507718314</v>
      </c>
      <c r="S53" s="8"/>
      <c r="T53" s="8"/>
      <c r="U53" s="8"/>
      <c r="V53" s="8"/>
      <c r="W53" s="8"/>
      <c r="X53" s="8"/>
      <c r="Y53" s="8"/>
      <c r="Z53" s="8"/>
    </row>
    <row r="54" spans="1:26">
      <c r="A54" s="51"/>
      <c r="B54" s="50" t="s">
        <v>314</v>
      </c>
      <c r="C54" s="52">
        <v>0</v>
      </c>
      <c r="D54" s="53">
        <v>0</v>
      </c>
      <c r="E54" s="62">
        <v>0</v>
      </c>
      <c r="F54" s="53">
        <v>7.5600000000001444E-2</v>
      </c>
      <c r="G54" s="53">
        <v>0.42499999999999716</v>
      </c>
      <c r="H54" s="62">
        <v>0</v>
      </c>
      <c r="I54" s="63">
        <v>3.6782009999999943</v>
      </c>
      <c r="J54" s="62">
        <v>0</v>
      </c>
      <c r="K54" s="63">
        <v>5.1482009999999887</v>
      </c>
      <c r="L54" s="8"/>
      <c r="M54" s="52">
        <f t="shared" si="0"/>
        <v>-0.42499999999999716</v>
      </c>
      <c r="N54" s="53">
        <f t="shared" si="10"/>
        <v>0.1946388241213978</v>
      </c>
      <c r="O54" s="52">
        <f t="shared" si="2"/>
        <v>0.42499999999999716</v>
      </c>
      <c r="P54" s="53">
        <f t="shared" si="11"/>
        <v>4.5017142931925074</v>
      </c>
      <c r="Q54" s="52">
        <f t="shared" si="4"/>
        <v>0</v>
      </c>
      <c r="R54" s="53">
        <f t="shared" si="12"/>
        <v>4.6963531173139055</v>
      </c>
      <c r="S54" s="8"/>
      <c r="T54" s="8"/>
      <c r="U54" s="8"/>
      <c r="V54" s="8"/>
      <c r="W54" s="8"/>
      <c r="X54" s="8"/>
      <c r="Y54" s="8"/>
      <c r="Z54" s="8"/>
    </row>
    <row r="55" spans="1:26">
      <c r="A55" s="57"/>
      <c r="B55" s="58" t="s">
        <v>167</v>
      </c>
      <c r="C55" s="64">
        <f t="shared" ref="C55:K55" si="13">SUM(C48:C54)+C47+C42+C36+C26</f>
        <v>343.2849683</v>
      </c>
      <c r="D55" s="65">
        <f t="shared" si="13"/>
        <v>162.1902528</v>
      </c>
      <c r="E55" s="66">
        <f t="shared" si="13"/>
        <v>91.593238005595737</v>
      </c>
      <c r="F55" s="65">
        <f t="shared" si="13"/>
        <v>25.856002583688714</v>
      </c>
      <c r="G55" s="65">
        <f t="shared" si="13"/>
        <v>51.635772870917918</v>
      </c>
      <c r="H55" s="66">
        <f t="shared" si="13"/>
        <v>53.843451905191003</v>
      </c>
      <c r="I55" s="65">
        <f t="shared" si="13"/>
        <v>49.076971862679578</v>
      </c>
      <c r="J55" s="64">
        <f t="shared" si="13"/>
        <v>222.23936824251771</v>
      </c>
      <c r="K55" s="65">
        <f t="shared" si="13"/>
        <v>141.69736493359753</v>
      </c>
      <c r="L55" s="8"/>
      <c r="M55" s="59">
        <f t="shared" ref="M55:R55" si="14">SUM(M48:M53)+M47+M42+M36+M26</f>
        <v>383.66743343467778</v>
      </c>
      <c r="N55" s="56">
        <f t="shared" si="14"/>
        <v>457.95548218677135</v>
      </c>
      <c r="O55" s="59">
        <f t="shared" si="14"/>
        <v>105.05422477610892</v>
      </c>
      <c r="P55" s="56">
        <f t="shared" si="14"/>
        <v>105.72929525639529</v>
      </c>
      <c r="Q55" s="59">
        <f t="shared" si="14"/>
        <v>488.72165821078676</v>
      </c>
      <c r="R55" s="56">
        <f t="shared" si="14"/>
        <v>563.68477744316658</v>
      </c>
      <c r="S55" s="8"/>
      <c r="T55" s="8"/>
      <c r="U55" s="8"/>
      <c r="V55" s="8"/>
      <c r="W55" s="8"/>
      <c r="X55" s="8"/>
      <c r="Y55" s="8"/>
      <c r="Z55" s="8"/>
    </row>
    <row r="56" spans="1:26">
      <c r="A56" s="41"/>
      <c r="B56" s="51" t="s">
        <v>52</v>
      </c>
      <c r="C56" s="68">
        <v>343.2849683</v>
      </c>
      <c r="D56" s="69">
        <v>162.1902528</v>
      </c>
      <c r="E56" s="68">
        <v>91.593238005595737</v>
      </c>
      <c r="F56" s="53">
        <v>25.856002583688714</v>
      </c>
      <c r="G56" s="53">
        <v>51.635772870917918</v>
      </c>
      <c r="H56" s="68">
        <v>53.843451905190996</v>
      </c>
      <c r="I56" s="53">
        <v>49.076971862679578</v>
      </c>
      <c r="J56" s="68">
        <v>222.23936824251768</v>
      </c>
      <c r="K56" s="53">
        <v>141.6973649335975</v>
      </c>
      <c r="L56" s="8"/>
      <c r="M56" s="8"/>
      <c r="N56" s="87"/>
      <c r="O56" s="87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8">
      <c r="A58" s="125"/>
      <c r="B58" s="60" t="s">
        <v>82</v>
      </c>
      <c r="C58" s="34"/>
      <c r="D58" s="34"/>
      <c r="E58" s="34"/>
      <c r="F58" s="34"/>
      <c r="G58" s="61"/>
      <c r="H58" s="61"/>
      <c r="J58" s="39"/>
      <c r="K58" s="39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125"/>
      <c r="B59" s="109"/>
      <c r="C59" s="110" t="s">
        <v>36</v>
      </c>
      <c r="D59" s="110" t="s">
        <v>37</v>
      </c>
      <c r="E59" s="111"/>
      <c r="F59" s="110" t="s">
        <v>41</v>
      </c>
      <c r="G59" s="110" t="s">
        <v>41</v>
      </c>
      <c r="H59" s="110" t="s">
        <v>39</v>
      </c>
      <c r="I59" s="110" t="s">
        <v>40</v>
      </c>
      <c r="J59" s="110" t="s">
        <v>138</v>
      </c>
      <c r="K59" s="111"/>
      <c r="L59" s="8"/>
      <c r="M59" s="163" t="s">
        <v>322</v>
      </c>
      <c r="N59" s="163"/>
      <c r="O59" s="163"/>
      <c r="P59" s="163"/>
      <c r="Q59" s="163"/>
      <c r="R59" s="163"/>
      <c r="S59" s="163"/>
      <c r="T59" s="8"/>
      <c r="U59" s="8"/>
      <c r="V59" s="8"/>
      <c r="W59" s="8"/>
      <c r="X59" s="8"/>
      <c r="Y59" s="8"/>
      <c r="Z59" s="8"/>
    </row>
    <row r="60" spans="1:26">
      <c r="A60" s="125"/>
      <c r="B60" s="125"/>
      <c r="C60" s="120" t="s">
        <v>156</v>
      </c>
      <c r="D60" s="120" t="s">
        <v>54</v>
      </c>
      <c r="E60" s="120" t="s">
        <v>156</v>
      </c>
      <c r="F60" s="120" t="s">
        <v>164</v>
      </c>
      <c r="G60" s="120" t="s">
        <v>165</v>
      </c>
      <c r="H60" s="120" t="s">
        <v>166</v>
      </c>
      <c r="I60" s="120" t="s">
        <v>165</v>
      </c>
      <c r="J60" s="120" t="s">
        <v>54</v>
      </c>
      <c r="K60" s="120" t="s">
        <v>156</v>
      </c>
      <c r="L60" s="8"/>
      <c r="M60" s="6"/>
      <c r="N60" s="6"/>
      <c r="O60" s="162" t="s">
        <v>327</v>
      </c>
      <c r="P60" s="6"/>
      <c r="Q60" s="162" t="s">
        <v>326</v>
      </c>
      <c r="R60" s="6" t="s">
        <v>325</v>
      </c>
      <c r="S60" s="6"/>
      <c r="T60" s="8"/>
      <c r="U60" s="8"/>
      <c r="V60" s="8"/>
      <c r="W60" s="8"/>
      <c r="X60" s="8"/>
      <c r="Y60" s="8"/>
      <c r="Z60" s="8"/>
    </row>
    <row r="61" spans="1:26">
      <c r="B61" s="125" t="s">
        <v>315</v>
      </c>
      <c r="C61" s="120"/>
      <c r="D61" s="120"/>
      <c r="E61" s="120"/>
      <c r="F61" s="120"/>
      <c r="G61" s="120"/>
      <c r="H61" s="120"/>
      <c r="I61" s="120"/>
      <c r="J61" s="120"/>
      <c r="K61" s="120"/>
      <c r="L61" s="8"/>
      <c r="M61" s="146" t="s">
        <v>323</v>
      </c>
      <c r="N61" s="146"/>
      <c r="O61" s="146"/>
      <c r="P61" s="146"/>
      <c r="Q61" s="146"/>
      <c r="R61" s="146"/>
      <c r="S61" s="146"/>
      <c r="T61" s="8"/>
      <c r="U61" s="8"/>
      <c r="V61" s="8"/>
      <c r="W61" s="8"/>
      <c r="X61" s="8"/>
      <c r="Y61" s="8"/>
      <c r="Z61" s="8"/>
    </row>
    <row r="62" spans="1:26">
      <c r="B62" s="125" t="s">
        <v>143</v>
      </c>
      <c r="C62" s="120" t="s">
        <v>123</v>
      </c>
      <c r="D62" s="120" t="s">
        <v>122</v>
      </c>
      <c r="E62" s="120" t="s">
        <v>316</v>
      </c>
      <c r="F62" s="120" t="s">
        <v>161</v>
      </c>
      <c r="G62" s="120" t="s">
        <v>317</v>
      </c>
      <c r="H62" s="120" t="s">
        <v>159</v>
      </c>
      <c r="I62" s="120" t="s">
        <v>160</v>
      </c>
      <c r="J62" s="120" t="s">
        <v>124</v>
      </c>
      <c r="K62" s="120" t="s">
        <v>376</v>
      </c>
      <c r="L62" s="8"/>
      <c r="M62" s="153" t="s">
        <v>320</v>
      </c>
      <c r="N62" s="6"/>
      <c r="O62" s="150">
        <f>G63+D54+F54</f>
        <v>-7.9813957425176998</v>
      </c>
      <c r="P62" s="147">
        <f>SUMPRODUCT(P63:P64,O63:O64)</f>
        <v>9.0462401153384722</v>
      </c>
      <c r="Q62" s="145"/>
      <c r="R62" s="145"/>
      <c r="S62" s="145"/>
      <c r="T62" s="8"/>
      <c r="U62" s="8"/>
      <c r="V62" s="8"/>
      <c r="W62" s="8"/>
      <c r="X62" s="8"/>
      <c r="Y62" s="8"/>
      <c r="Z62" s="8"/>
    </row>
    <row r="63" spans="1:26">
      <c r="B63" s="125" t="s">
        <v>158</v>
      </c>
      <c r="C63" s="120">
        <f>D56</f>
        <v>162.1902528</v>
      </c>
      <c r="D63" s="120">
        <f>F56</f>
        <v>25.856002583688714</v>
      </c>
      <c r="E63" s="120">
        <f>J56-D63-C63</f>
        <v>34.193112858828982</v>
      </c>
      <c r="F63" s="120">
        <v>-9.1563816316198636</v>
      </c>
      <c r="G63" s="120">
        <v>-8.0569957425177012</v>
      </c>
      <c r="H63" s="120">
        <v>0</v>
      </c>
      <c r="I63" s="120">
        <v>0</v>
      </c>
      <c r="J63" s="120">
        <v>2.8872005999999995</v>
      </c>
      <c r="K63" s="120">
        <v>73.530000900000005</v>
      </c>
      <c r="M63" s="153" t="s">
        <v>318</v>
      </c>
      <c r="N63" s="159"/>
      <c r="O63" s="157">
        <f>SUM(J26,J36,J42,J47,J48,J50)</f>
        <v>151.64103184251769</v>
      </c>
      <c r="P63" s="151">
        <v>5.5E-2</v>
      </c>
      <c r="Q63" s="149">
        <f>1+P63*O$62/$P$62</f>
        <v>0.95147411960753059</v>
      </c>
      <c r="R63" s="157">
        <f>O63*Q63</f>
        <v>144.28251726873702</v>
      </c>
      <c r="S63" s="145"/>
    </row>
    <row r="64" spans="1:26">
      <c r="B64" s="125" t="s">
        <v>193</v>
      </c>
      <c r="C64" s="120">
        <v>1</v>
      </c>
      <c r="D64" s="120">
        <v>1</v>
      </c>
      <c r="E64" s="120">
        <v>0.5</v>
      </c>
      <c r="F64" s="120">
        <v>9.1959840556265535E-2</v>
      </c>
      <c r="G64" s="120">
        <v>0</v>
      </c>
      <c r="H64" s="120">
        <v>2.0297272007606455E-2</v>
      </c>
      <c r="I64" s="120">
        <v>1.1907909295419057E-2</v>
      </c>
      <c r="J64" s="120" t="s">
        <v>55</v>
      </c>
      <c r="K64" s="120" t="s">
        <v>55</v>
      </c>
      <c r="M64" s="154" t="s">
        <v>319</v>
      </c>
      <c r="N64" s="160"/>
      <c r="O64" s="158">
        <f>SUM(J49,J51:J53)</f>
        <v>70.598336399999994</v>
      </c>
      <c r="P64" s="152">
        <v>0.01</v>
      </c>
      <c r="Q64" s="148">
        <f>1+P64*O$62/$P$62</f>
        <v>0.99117711265591468</v>
      </c>
      <c r="R64" s="158">
        <f>O64*Q64</f>
        <v>69.975455231262956</v>
      </c>
      <c r="S64" s="141"/>
    </row>
    <row r="65" spans="1:20">
      <c r="B65" s="125" t="s">
        <v>138</v>
      </c>
      <c r="C65" s="120">
        <f>I56</f>
        <v>49.076971862679578</v>
      </c>
      <c r="D65" s="120">
        <f>G56</f>
        <v>51.635772870917918</v>
      </c>
      <c r="E65" s="120">
        <f>K56-D65-C65</f>
        <v>40.984620200000002</v>
      </c>
      <c r="F65" s="120">
        <v>-13.763320700000001</v>
      </c>
      <c r="G65" s="120">
        <v>0</v>
      </c>
      <c r="H65" s="120">
        <v>0</v>
      </c>
      <c r="I65" s="120">
        <v>0</v>
      </c>
      <c r="J65" s="120">
        <v>-1.8869990999999999</v>
      </c>
      <c r="K65" s="120">
        <v>4.7811999000000007</v>
      </c>
      <c r="M65" s="145" t="s">
        <v>324</v>
      </c>
      <c r="N65" s="6"/>
      <c r="O65" s="146"/>
      <c r="P65" s="146"/>
      <c r="Q65" s="146"/>
      <c r="R65" s="146"/>
      <c r="S65" s="146"/>
    </row>
    <row r="66" spans="1:20">
      <c r="B66" s="125" t="s">
        <v>42</v>
      </c>
      <c r="C66" s="120">
        <v>1</v>
      </c>
      <c r="D66" s="120">
        <v>1</v>
      </c>
      <c r="E66" s="120">
        <f>F68</f>
        <v>0</v>
      </c>
      <c r="F66" s="120">
        <v>0.10984977295183504</v>
      </c>
      <c r="G66" s="120">
        <v>2.7708998603502059E-3</v>
      </c>
      <c r="H66" s="120">
        <v>0</v>
      </c>
      <c r="I66" s="120">
        <v>0</v>
      </c>
      <c r="J66" s="120" t="s">
        <v>55</v>
      </c>
      <c r="K66" s="120" t="s">
        <v>55</v>
      </c>
      <c r="M66" s="155" t="s">
        <v>321</v>
      </c>
      <c r="N66" s="161"/>
      <c r="O66" s="180">
        <f>G55+I55-G54-I54</f>
        <v>96.609543733597519</v>
      </c>
      <c r="P66" s="150">
        <f>G65+G54+I54+J65+K65-J63</f>
        <v>4.1102011999999934</v>
      </c>
      <c r="Q66" s="156">
        <f>1+IF(O66,P66/O66)</f>
        <v>1.0425444634262422</v>
      </c>
      <c r="R66" s="179">
        <f>O66*Q66</f>
        <v>100.7197449335975</v>
      </c>
      <c r="S66" s="141"/>
    </row>
    <row r="67" spans="1:20">
      <c r="B67" s="125"/>
      <c r="C67" s="120"/>
      <c r="D67" s="120"/>
      <c r="E67" s="120"/>
      <c r="F67" s="199" t="s">
        <v>406</v>
      </c>
      <c r="G67" s="120" t="s">
        <v>548</v>
      </c>
      <c r="H67" s="31" t="s">
        <v>391</v>
      </c>
      <c r="I67" s="31" t="s">
        <v>392</v>
      </c>
      <c r="J67" s="31" t="s">
        <v>393</v>
      </c>
      <c r="K67" s="31" t="s">
        <v>405</v>
      </c>
      <c r="M67" s="51"/>
      <c r="N67" s="41"/>
      <c r="O67" s="190"/>
      <c r="P67" s="191"/>
      <c r="Q67" s="192"/>
      <c r="R67" s="190"/>
      <c r="S67" s="141"/>
    </row>
    <row r="68" spans="1:20">
      <c r="B68" s="125"/>
      <c r="C68" s="120"/>
      <c r="D68" s="120"/>
      <c r="E68" s="120"/>
      <c r="F68" s="199">
        <v>0</v>
      </c>
      <c r="G68" s="120">
        <v>4.405799</v>
      </c>
      <c r="H68" s="120">
        <v>79.93439819999999</v>
      </c>
      <c r="I68" s="120">
        <v>-6.4044013999999994</v>
      </c>
      <c r="J68" s="120">
        <v>135.94984003236291</v>
      </c>
      <c r="K68" s="120">
        <v>2.0990417278815166</v>
      </c>
      <c r="M68" s="51"/>
      <c r="N68" s="41"/>
      <c r="O68" s="190"/>
      <c r="P68" s="191"/>
      <c r="Q68" s="192"/>
      <c r="R68" s="190"/>
      <c r="S68" s="141"/>
    </row>
    <row r="69" spans="1:20">
      <c r="A69" s="125"/>
      <c r="B69" s="125"/>
      <c r="C69" s="125"/>
      <c r="D69" s="125"/>
      <c r="E69" s="125"/>
      <c r="F69" s="125"/>
      <c r="G69" s="125"/>
      <c r="H69" s="125"/>
      <c r="I69" s="125"/>
      <c r="J69" s="125"/>
      <c r="K69" s="125"/>
      <c r="N69" s="127"/>
      <c r="O69" s="127"/>
      <c r="Q69" s="127"/>
    </row>
    <row r="70" spans="1:20">
      <c r="A70" s="125"/>
      <c r="B70" s="177" t="s">
        <v>337</v>
      </c>
      <c r="C70" s="177"/>
      <c r="D70" s="144"/>
      <c r="E70" s="178" t="s">
        <v>198</v>
      </c>
      <c r="F70" s="175">
        <f>1+SUM(F63,I63)/(SUMPRODUCT(C63:E63,C64:E64)+G63)</f>
        <v>0.95354114357808206</v>
      </c>
      <c r="H70" s="143"/>
      <c r="I70" s="125"/>
      <c r="J70" s="125"/>
      <c r="K70" s="125"/>
    </row>
    <row r="71" spans="1:20">
      <c r="E71" s="6" t="s">
        <v>53</v>
      </c>
      <c r="F71" s="176">
        <f ca="1">1+F65/(SUMPRODUCT(C65:E65,C66:E66)+P66+G68+Tiny)</f>
        <v>0.87399543308640038</v>
      </c>
    </row>
    <row r="74" spans="1:20" ht="16.5" thickBot="1">
      <c r="B74" s="168" t="s">
        <v>211</v>
      </c>
      <c r="C74" s="173"/>
      <c r="D74" s="173" t="s">
        <v>327</v>
      </c>
      <c r="E74" s="173" t="s">
        <v>489</v>
      </c>
      <c r="F74" s="173" t="s">
        <v>332</v>
      </c>
      <c r="G74" s="173"/>
      <c r="H74" s="173" t="s">
        <v>332</v>
      </c>
      <c r="I74" s="173"/>
    </row>
    <row r="75" spans="1:20" ht="15.75" thickTop="1">
      <c r="B75" s="172"/>
      <c r="C75" s="172" t="s">
        <v>329</v>
      </c>
      <c r="D75" s="172" t="s">
        <v>330</v>
      </c>
      <c r="E75" s="172" t="s">
        <v>490</v>
      </c>
      <c r="F75" s="172" t="s">
        <v>330</v>
      </c>
      <c r="G75" s="172"/>
      <c r="H75" s="172" t="s">
        <v>331</v>
      </c>
      <c r="I75" s="172" t="s">
        <v>54</v>
      </c>
      <c r="N75" s="128" t="s">
        <v>608</v>
      </c>
      <c r="O75" s="128"/>
      <c r="P75" s="128"/>
      <c r="S75">
        <f>EXP(0.51)</f>
        <v>1.6652911949458864</v>
      </c>
    </row>
    <row r="76" spans="1:20" ht="15">
      <c r="B76" s="169" t="s">
        <v>254</v>
      </c>
      <c r="C76" s="170">
        <f>C36</f>
        <v>0.48780410000000002</v>
      </c>
      <c r="D76" s="170">
        <f>D36</f>
        <v>0.16919999999999999</v>
      </c>
      <c r="E76" s="245">
        <v>0.4</v>
      </c>
      <c r="F76" s="170">
        <f>D76*Q$63</f>
        <v>0.16098942103759417</v>
      </c>
      <c r="G76" s="184"/>
      <c r="H76" s="184">
        <f t="shared" ref="H76:H85" ca="1" si="15">IF(C76&gt;0,MAX(0.8*E76,F76/(C76+Tiny)),E76)</f>
        <v>0.33002883884650686</v>
      </c>
      <c r="I76" s="170">
        <f t="shared" ref="I76:I86" si="16">C76*H76</f>
        <v>0.16098942070756533</v>
      </c>
      <c r="N76" s="128"/>
      <c r="O76" s="302" t="str">
        <f ca="1">IF(AuxYear&gt;BaseYear,"~","")&amp;"FI_T"</f>
        <v>~FI_T</v>
      </c>
      <c r="P76" s="128"/>
      <c r="S76">
        <f>EXP(1)</f>
        <v>2.7182818284590451</v>
      </c>
      <c r="T76">
        <f>SQRT(S76)</f>
        <v>1.6487212707001282</v>
      </c>
    </row>
    <row r="77" spans="1:20" ht="15">
      <c r="B77" s="169" t="s">
        <v>255</v>
      </c>
      <c r="C77" s="170">
        <f>C26</f>
        <v>6.2998800000000008E-2</v>
      </c>
      <c r="D77" s="170">
        <f>D26</f>
        <v>2.52E-2</v>
      </c>
      <c r="E77" s="245">
        <v>0.54</v>
      </c>
      <c r="F77" s="170">
        <f>D77*Q$63</f>
        <v>2.397714781410977E-2</v>
      </c>
      <c r="G77" s="184"/>
      <c r="H77" s="184">
        <f t="shared" ca="1" si="15"/>
        <v>0.43200000000000005</v>
      </c>
      <c r="I77" s="170">
        <f t="shared" si="16"/>
        <v>2.7215481600000008E-2</v>
      </c>
      <c r="N77" s="128"/>
      <c r="O77" s="128" t="s">
        <v>218</v>
      </c>
      <c r="P77" s="128" t="s">
        <v>269</v>
      </c>
      <c r="S77" s="143">
        <f>LN(SQRT(PI()))</f>
        <v>0.57236494292469997</v>
      </c>
    </row>
    <row r="78" spans="1:20" ht="15">
      <c r="B78" s="169" t="s">
        <v>256</v>
      </c>
      <c r="C78" s="170">
        <f>C47-C43</f>
        <v>16.864807299999999</v>
      </c>
      <c r="D78" s="170">
        <f>D47-D43</f>
        <v>6.5664000000000007</v>
      </c>
      <c r="E78" s="245">
        <v>0.44</v>
      </c>
      <c r="F78" s="170">
        <f>D78*Q$63</f>
        <v>6.2477596589908897</v>
      </c>
      <c r="G78" s="184"/>
      <c r="H78" s="184">
        <f t="shared" ca="1" si="15"/>
        <v>0.37046137245934785</v>
      </c>
      <c r="I78" s="170">
        <f t="shared" si="16"/>
        <v>6.2477596586204278</v>
      </c>
      <c r="N78" s="128"/>
      <c r="O78" s="128" t="s">
        <v>169</v>
      </c>
      <c r="P78" s="129">
        <f>1/(1+SUM(C26,E26,H26,C36,E36,H36)/SUM(C47,E47,H47))</f>
        <v>0.85881819689192995</v>
      </c>
      <c r="S78">
        <f>PI()</f>
        <v>3.1415926535897931</v>
      </c>
    </row>
    <row r="79" spans="1:20" ht="15">
      <c r="B79" s="169" t="s">
        <v>347</v>
      </c>
      <c r="C79" s="170">
        <f>C43</f>
        <v>3.9929259999999998</v>
      </c>
      <c r="D79" s="170">
        <f>D43</f>
        <v>1.53</v>
      </c>
      <c r="E79" s="245">
        <v>0.42</v>
      </c>
      <c r="F79" s="170">
        <f>D79*Q$63</f>
        <v>1.4557554029995219</v>
      </c>
      <c r="G79" s="184"/>
      <c r="H79" s="184">
        <f t="shared" ca="1" si="15"/>
        <v>0.36458361678501888</v>
      </c>
      <c r="I79" s="170">
        <f t="shared" si="16"/>
        <v>1.4557554026349382</v>
      </c>
      <c r="N79" s="128"/>
      <c r="O79" s="128" t="s">
        <v>57</v>
      </c>
      <c r="P79" s="130">
        <f>(SUM(J49:J53)+J42)/J56</f>
        <v>0.51110006376667927</v>
      </c>
      <c r="S79" s="143">
        <f>0.8^3</f>
        <v>0.51200000000000012</v>
      </c>
    </row>
    <row r="80" spans="1:20" ht="15">
      <c r="B80" s="169" t="s">
        <v>257</v>
      </c>
      <c r="C80" s="170">
        <f>C42-C38-C39</f>
        <v>5.6494543999999998</v>
      </c>
      <c r="D80" s="170">
        <f>D42-D38-D39</f>
        <v>2.2464</v>
      </c>
      <c r="E80" s="245">
        <v>0.4</v>
      </c>
      <c r="F80" s="170">
        <f>D80*Q$63</f>
        <v>2.1373914622863568</v>
      </c>
      <c r="G80" s="184"/>
      <c r="H80" s="184">
        <f t="shared" ca="1" si="15"/>
        <v>0.37833590831497305</v>
      </c>
      <c r="I80" s="170">
        <f t="shared" si="16"/>
        <v>2.1373914619080208</v>
      </c>
      <c r="N80" s="128"/>
      <c r="O80" s="128" t="s">
        <v>417</v>
      </c>
      <c r="P80" s="129">
        <f>F70</f>
        <v>0.95354114357808206</v>
      </c>
    </row>
    <row r="81" spans="2:16" ht="15">
      <c r="B81" s="169" t="s">
        <v>147</v>
      </c>
      <c r="C81" s="170">
        <f>C49</f>
        <v>53.179201200000001</v>
      </c>
      <c r="D81" s="170">
        <f>D49+H63</f>
        <v>53.179199999999994</v>
      </c>
      <c r="E81" s="245">
        <v>0.99</v>
      </c>
      <c r="F81" s="170">
        <f>D81*Q$64</f>
        <v>52.710005909351416</v>
      </c>
      <c r="G81" s="184"/>
      <c r="H81" s="184">
        <f t="shared" ca="1" si="15"/>
        <v>0.99117709027115364</v>
      </c>
      <c r="I81" s="170">
        <f t="shared" si="16"/>
        <v>52.710005908360245</v>
      </c>
      <c r="N81" s="128"/>
      <c r="O81" s="128"/>
      <c r="P81" s="128"/>
    </row>
    <row r="82" spans="2:16">
      <c r="B82" s="169" t="s">
        <v>112</v>
      </c>
      <c r="C82" s="170">
        <f>C48</f>
        <v>245.2036348</v>
      </c>
      <c r="D82" s="170">
        <f>D48</f>
        <v>80.917199999999994</v>
      </c>
      <c r="E82" s="245">
        <v>0.35</v>
      </c>
      <c r="F82" s="170">
        <f>D82*Q$63^0.93</f>
        <v>77.259169896148649</v>
      </c>
      <c r="G82" s="184"/>
      <c r="H82" s="184">
        <f t="shared" ca="1" si="15"/>
        <v>0.3150816665456444</v>
      </c>
      <c r="I82" s="170">
        <f t="shared" si="16"/>
        <v>77.259169895833566</v>
      </c>
      <c r="N82" s="8"/>
      <c r="O82" s="8"/>
      <c r="P82" s="8"/>
    </row>
    <row r="83" spans="2:16">
      <c r="B83" s="169" t="s">
        <v>194</v>
      </c>
      <c r="C83" s="170">
        <f>C50</f>
        <v>0</v>
      </c>
      <c r="D83" s="170">
        <f>D50</f>
        <v>0</v>
      </c>
      <c r="E83" s="245">
        <v>0.1</v>
      </c>
      <c r="F83" s="170">
        <f>D83*Q$63</f>
        <v>0</v>
      </c>
      <c r="G83" s="184"/>
      <c r="H83" s="184">
        <f t="shared" ca="1" si="15"/>
        <v>0.1</v>
      </c>
      <c r="I83" s="170">
        <f t="shared" si="16"/>
        <v>0</v>
      </c>
      <c r="N83" s="8"/>
      <c r="O83" s="8"/>
      <c r="P83" s="8"/>
    </row>
    <row r="84" spans="2:16">
      <c r="B84" s="169" t="s">
        <v>197</v>
      </c>
      <c r="C84" s="170">
        <f>SUM(C52:C53)</f>
        <v>17.262000599999997</v>
      </c>
      <c r="D84" s="170">
        <f>SUM(D52:D53)</f>
        <v>17.262</v>
      </c>
      <c r="E84" s="245">
        <v>0.99</v>
      </c>
      <c r="F84" s="170">
        <f>D84*Q$64</f>
        <v>17.109699318666401</v>
      </c>
      <c r="G84" s="184"/>
      <c r="H84" s="184">
        <f t="shared" ca="1" si="15"/>
        <v>0.99117707814673739</v>
      </c>
      <c r="I84" s="170">
        <f t="shared" si="16"/>
        <v>17.109699317675226</v>
      </c>
      <c r="N84" s="8"/>
      <c r="O84" s="8"/>
      <c r="P84" s="8"/>
    </row>
    <row r="85" spans="2:16">
      <c r="B85" s="169" t="s">
        <v>195</v>
      </c>
      <c r="C85" s="170">
        <f>SUM(C51)</f>
        <v>0.157139</v>
      </c>
      <c r="D85" s="170">
        <f>SUM(D51)</f>
        <v>0.15713640000000001</v>
      </c>
      <c r="E85" s="245">
        <v>0.99</v>
      </c>
      <c r="F85" s="170">
        <f>D85*Q$64</f>
        <v>0.15575000324514487</v>
      </c>
      <c r="G85" s="184"/>
      <c r="H85" s="184">
        <f t="shared" ca="1" si="15"/>
        <v>0.99116070646996712</v>
      </c>
      <c r="I85" s="170">
        <f t="shared" si="16"/>
        <v>0.15575000225398417</v>
      </c>
      <c r="N85" s="8"/>
      <c r="O85" s="8"/>
      <c r="P85" s="8"/>
    </row>
    <row r="86" spans="2:16">
      <c r="B86" s="169" t="s">
        <v>52</v>
      </c>
      <c r="C86" s="170">
        <f>SUM(C76:C84)</f>
        <v>342.70282720000006</v>
      </c>
      <c r="D86" s="170">
        <f>SUM(D76:D84)</f>
        <v>161.8956</v>
      </c>
      <c r="E86" s="184"/>
      <c r="F86" s="170">
        <f>SUM(F76:F84)</f>
        <v>157.10474821729494</v>
      </c>
      <c r="G86" s="184"/>
      <c r="H86" s="184">
        <f ca="1">MAX(0.1,F86/(C86+Tiny))</f>
        <v>0.45842851516702193</v>
      </c>
      <c r="I86" s="228">
        <f t="shared" si="16"/>
        <v>157.10474821683653</v>
      </c>
    </row>
    <row r="88" spans="2:16" ht="16.5" thickBot="1">
      <c r="B88" s="168" t="s">
        <v>37</v>
      </c>
      <c r="C88" s="173"/>
      <c r="D88" s="173" t="s">
        <v>327</v>
      </c>
      <c r="E88" s="173" t="s">
        <v>327</v>
      </c>
      <c r="F88" s="173" t="s">
        <v>332</v>
      </c>
      <c r="G88" s="173" t="s">
        <v>332</v>
      </c>
      <c r="H88" s="173" t="s">
        <v>332</v>
      </c>
      <c r="I88" s="173"/>
    </row>
    <row r="89" spans="2:16" ht="13.5" thickTop="1">
      <c r="B89" s="172"/>
      <c r="C89" s="172" t="s">
        <v>329</v>
      </c>
      <c r="D89" s="172" t="s">
        <v>330</v>
      </c>
      <c r="E89" s="172" t="s">
        <v>205</v>
      </c>
      <c r="F89" s="172" t="s">
        <v>330</v>
      </c>
      <c r="G89" s="172" t="s">
        <v>205</v>
      </c>
      <c r="H89" s="172" t="s">
        <v>331</v>
      </c>
      <c r="I89" s="172" t="s">
        <v>54</v>
      </c>
    </row>
    <row r="90" spans="2:16">
      <c r="B90" s="169" t="s">
        <v>254</v>
      </c>
      <c r="C90" s="170">
        <f>E36</f>
        <v>0.20970565237360136</v>
      </c>
      <c r="D90" s="170">
        <f>F36</f>
        <v>0.14785255659597077</v>
      </c>
      <c r="E90" s="170">
        <f>G36</f>
        <v>4.5566616600611509E-2</v>
      </c>
      <c r="F90" s="170">
        <f t="shared" ref="F90:F96" si="17">MIN(D90*Q$63,C90/2)</f>
        <v>0.10485282618680068</v>
      </c>
      <c r="G90" s="170">
        <f>E90*Q$66+D90*Q$63-F90</f>
        <v>8.3330278786107034E-2</v>
      </c>
      <c r="H90" s="184">
        <f t="shared" ref="H90:H96" si="18">MAX(0.5,IF(C90,SUM(F90:G90)/C90,0.9))</f>
        <v>0.89736782410447324</v>
      </c>
      <c r="I90" s="170">
        <f t="shared" ref="I90:I97" si="19">C90*H90</f>
        <v>0.18818310497290772</v>
      </c>
    </row>
    <row r="91" spans="2:16">
      <c r="B91" s="169" t="s">
        <v>255</v>
      </c>
      <c r="C91" s="170">
        <f>E26</f>
        <v>2.2392050644282904</v>
      </c>
      <c r="D91" s="170">
        <f>F26</f>
        <v>1.1504172521786327</v>
      </c>
      <c r="E91" s="170">
        <f>G26</f>
        <v>0.57463927168090212</v>
      </c>
      <c r="F91" s="170">
        <f t="shared" si="17"/>
        <v>1.094592242197979</v>
      </c>
      <c r="G91" s="170">
        <f>E91*Q$66+D91*Q$63-F91</f>
        <v>0.59908699115821262</v>
      </c>
      <c r="H91" s="184">
        <f t="shared" si="18"/>
        <v>0.75637522452130512</v>
      </c>
      <c r="I91" s="170">
        <f t="shared" si="19"/>
        <v>1.6936792333561916</v>
      </c>
    </row>
    <row r="92" spans="2:16">
      <c r="B92" s="169" t="s">
        <v>256</v>
      </c>
      <c r="C92" s="170">
        <f>E47-E43</f>
        <v>16.776063244621337</v>
      </c>
      <c r="D92" s="170">
        <f>F47-F43</f>
        <v>5.3768824708580167</v>
      </c>
      <c r="E92" s="170">
        <f>G47-G43</f>
        <v>9.5508368646013899</v>
      </c>
      <c r="F92" s="170">
        <f t="shared" si="17"/>
        <v>5.115964515192795</v>
      </c>
      <c r="G92" s="170">
        <f>E92*Q$66+D92*Q$63-F92</f>
        <v>9.9571720942774302</v>
      </c>
      <c r="H92" s="184">
        <f t="shared" si="18"/>
        <v>0.89849068817160682</v>
      </c>
      <c r="I92" s="170">
        <f t="shared" si="19"/>
        <v>15.073136609470225</v>
      </c>
    </row>
    <row r="93" spans="2:16">
      <c r="B93" s="169" t="s">
        <v>347</v>
      </c>
      <c r="C93" s="170">
        <f>E43</f>
        <v>25.412784792074437</v>
      </c>
      <c r="D93" s="170">
        <f>F43</f>
        <v>6.6148147199276446</v>
      </c>
      <c r="E93" s="170">
        <f>G43</f>
        <v>14.796075406750777</v>
      </c>
      <c r="F93" s="170">
        <f t="shared" si="17"/>
        <v>6.2938250120100898</v>
      </c>
      <c r="G93" s="170">
        <f>E93*Q$66+D93*Q$63-F93</f>
        <v>15.425566495745208</v>
      </c>
      <c r="H93" s="184">
        <f t="shared" si="18"/>
        <v>0.85466396876461137</v>
      </c>
      <c r="I93" s="170">
        <f t="shared" si="19"/>
        <v>21.719391507755297</v>
      </c>
    </row>
    <row r="94" spans="2:16">
      <c r="B94" s="169" t="s">
        <v>257</v>
      </c>
      <c r="C94" s="170">
        <f>E42-E38-E39</f>
        <v>41.046937553268684</v>
      </c>
      <c r="D94" s="170">
        <f>F42-F38-F39</f>
        <v>10.92739763630339</v>
      </c>
      <c r="E94" s="170">
        <f>G42-G38-G39</f>
        <v>23.433566847444272</v>
      </c>
      <c r="F94" s="170">
        <f t="shared" si="17"/>
        <v>10.397136045603178</v>
      </c>
      <c r="G94" s="170">
        <f>E94*Q$66+D94*Q$63-F94</f>
        <v>24.430535375131768</v>
      </c>
      <c r="H94" s="184">
        <f t="shared" si="18"/>
        <v>0.84848404038760061</v>
      </c>
      <c r="I94" s="170">
        <f t="shared" si="19"/>
        <v>34.827671420734944</v>
      </c>
    </row>
    <row r="95" spans="2:16">
      <c r="B95" s="169" t="s">
        <v>549</v>
      </c>
      <c r="C95" s="170">
        <f>SUM(C38:C39,E38:E39)</f>
        <v>6.3335437988293899</v>
      </c>
      <c r="D95" s="170">
        <f>SUM(D38:D39,F38:F39)</f>
        <v>1.7005543478250547</v>
      </c>
      <c r="E95" s="170">
        <f>G38+G39</f>
        <v>2.8100878638399736</v>
      </c>
      <c r="F95" s="170">
        <f t="shared" si="17"/>
        <v>1.6180334509416023</v>
      </c>
      <c r="G95" s="170">
        <f>MAX(C95*0.72,E95*Q$66+D95*Q$63)-F95</f>
        <v>2.9421180842155583</v>
      </c>
      <c r="H95" s="184">
        <f t="shared" si="18"/>
        <v>0.72</v>
      </c>
      <c r="I95" s="170">
        <f t="shared" si="19"/>
        <v>4.5601515351571607</v>
      </c>
    </row>
    <row r="96" spans="2:16">
      <c r="B96" s="169" t="s">
        <v>194</v>
      </c>
      <c r="C96" s="170">
        <f>E50</f>
        <v>0</v>
      </c>
      <c r="D96" s="170">
        <f>F50</f>
        <v>0</v>
      </c>
      <c r="E96" s="170">
        <f>G50</f>
        <v>0</v>
      </c>
      <c r="F96" s="170">
        <f t="shared" si="17"/>
        <v>0</v>
      </c>
      <c r="G96" s="170">
        <f>E96*Q$66+D96*Q$63-F96</f>
        <v>0</v>
      </c>
      <c r="H96" s="184">
        <f t="shared" si="18"/>
        <v>0.9</v>
      </c>
      <c r="I96" s="170">
        <f t="shared" si="19"/>
        <v>0</v>
      </c>
    </row>
    <row r="97" spans="2:13">
      <c r="B97" s="169" t="s">
        <v>52</v>
      </c>
      <c r="C97" s="170">
        <f>SUM(C90:C96)</f>
        <v>92.018240105595737</v>
      </c>
      <c r="D97" s="170">
        <f>SUM(D90:D96)</f>
        <v>25.917918983688708</v>
      </c>
      <c r="E97" s="170">
        <f>SUM(E90:E96)</f>
        <v>51.210772870917928</v>
      </c>
      <c r="F97" s="170">
        <f>SUM(F90:F96)</f>
        <v>24.624404092132444</v>
      </c>
      <c r="G97" s="170">
        <f>SUM(G90:G96)</f>
        <v>53.437809319314283</v>
      </c>
      <c r="H97" s="184">
        <f ca="1">MAX(0.1,SUM(F97:G97)/(C97+Tiny))</f>
        <v>0.84833412724496704</v>
      </c>
      <c r="I97" s="170">
        <f t="shared" si="19"/>
        <v>78.062213410598389</v>
      </c>
    </row>
    <row r="99" spans="2:13" ht="16.5" thickBot="1">
      <c r="B99" s="168" t="s">
        <v>205</v>
      </c>
      <c r="C99" s="173"/>
      <c r="D99" s="173"/>
      <c r="E99" s="173" t="s">
        <v>327</v>
      </c>
      <c r="F99" s="173" t="s">
        <v>489</v>
      </c>
      <c r="G99" s="173" t="s">
        <v>332</v>
      </c>
      <c r="H99" s="173" t="s">
        <v>332</v>
      </c>
      <c r="I99" s="173"/>
    </row>
    <row r="100" spans="2:13" ht="13.5" thickTop="1">
      <c r="B100" s="172"/>
      <c r="C100" s="172" t="s">
        <v>329</v>
      </c>
      <c r="D100" s="172"/>
      <c r="E100" s="172" t="s">
        <v>205</v>
      </c>
      <c r="F100" s="172" t="s">
        <v>490</v>
      </c>
      <c r="G100" s="172" t="s">
        <v>205</v>
      </c>
      <c r="H100" s="172" t="s">
        <v>331</v>
      </c>
      <c r="I100" s="172" t="s">
        <v>54</v>
      </c>
      <c r="L100" s="172"/>
      <c r="M100" s="172" t="s">
        <v>329</v>
      </c>
    </row>
    <row r="101" spans="2:13">
      <c r="B101" s="169" t="s">
        <v>254</v>
      </c>
      <c r="C101" s="170">
        <f>H36</f>
        <v>5.8749127000090411</v>
      </c>
      <c r="D101" s="169"/>
      <c r="E101" s="170">
        <f>I36</f>
        <v>5.0511233349716926</v>
      </c>
      <c r="F101" s="216">
        <v>0.9</v>
      </c>
      <c r="G101" s="170">
        <f t="shared" ref="G101:G107" si="20">E101*Q$66</f>
        <v>5.266020666957834</v>
      </c>
      <c r="H101" s="184">
        <f t="shared" ref="H101:H107" ca="1" si="21">IF(C101&gt;0,MAX(0.7*F101,G101/(C101+Tiny)),F101)</f>
        <v>0.89635726264551518</v>
      </c>
      <c r="I101" s="170">
        <f t="shared" ref="I101:I107" ca="1" si="22">MAX(Tiny,C101*H101)</f>
        <v>5.2660206660614772</v>
      </c>
      <c r="L101" s="169" t="s">
        <v>254</v>
      </c>
      <c r="M101" s="125">
        <f t="shared" ref="M101:M108" si="23">SUM(C76,C90,C101)</f>
        <v>6.5724224523826429</v>
      </c>
    </row>
    <row r="102" spans="2:13">
      <c r="B102" s="169" t="s">
        <v>255</v>
      </c>
      <c r="C102" s="170">
        <f>H26</f>
        <v>2.4648948836063873</v>
      </c>
      <c r="D102" s="169"/>
      <c r="E102" s="170">
        <f>I26</f>
        <v>2.02746746024139</v>
      </c>
      <c r="F102" s="216">
        <v>0.9</v>
      </c>
      <c r="G102" s="170">
        <f t="shared" si="20"/>
        <v>2.1137249754515262</v>
      </c>
      <c r="H102" s="184">
        <f t="shared" ca="1" si="21"/>
        <v>0.85753148690113878</v>
      </c>
      <c r="I102" s="170">
        <f t="shared" ca="1" si="22"/>
        <v>2.1137249745939948</v>
      </c>
      <c r="L102" s="169" t="s">
        <v>255</v>
      </c>
      <c r="M102" s="125">
        <f t="shared" si="23"/>
        <v>4.7670987480346776</v>
      </c>
    </row>
    <row r="103" spans="2:13">
      <c r="B103" s="169" t="s">
        <v>256</v>
      </c>
      <c r="C103" s="170">
        <f>H47-H43</f>
        <v>0.55462391841255521</v>
      </c>
      <c r="D103" s="169"/>
      <c r="E103" s="170">
        <f>I47-I43</f>
        <v>0.3826755220225655</v>
      </c>
      <c r="F103" s="216">
        <v>0.88</v>
      </c>
      <c r="G103" s="170">
        <f t="shared" si="20"/>
        <v>0.39895624677337266</v>
      </c>
      <c r="H103" s="184">
        <f t="shared" ca="1" si="21"/>
        <v>0.71932751691621577</v>
      </c>
      <c r="I103" s="170">
        <f t="shared" ca="1" si="22"/>
        <v>0.39895624605404517</v>
      </c>
      <c r="L103" s="169" t="s">
        <v>256</v>
      </c>
      <c r="M103" s="125">
        <f t="shared" si="23"/>
        <v>34.195494463033889</v>
      </c>
    </row>
    <row r="104" spans="2:13">
      <c r="B104" s="169" t="s">
        <v>347</v>
      </c>
      <c r="C104" s="170">
        <f>H43</f>
        <v>5.3778482529818676</v>
      </c>
      <c r="D104" s="169"/>
      <c r="E104" s="170">
        <f>I43</f>
        <v>4.5150562063246609</v>
      </c>
      <c r="F104" s="216">
        <v>0.87</v>
      </c>
      <c r="G104" s="170">
        <f t="shared" si="20"/>
        <v>4.7071468499620686</v>
      </c>
      <c r="H104" s="184">
        <f t="shared" ca="1" si="21"/>
        <v>0.87528443118059374</v>
      </c>
      <c r="I104" s="170">
        <f t="shared" ca="1" si="22"/>
        <v>4.7071468490867838</v>
      </c>
      <c r="L104" s="169" t="s">
        <v>347</v>
      </c>
      <c r="M104" s="125">
        <f t="shared" si="23"/>
        <v>34.783559045056307</v>
      </c>
    </row>
    <row r="105" spans="2:13">
      <c r="B105" s="169" t="s">
        <v>257</v>
      </c>
      <c r="C105" s="170">
        <f>H42-H38-H39</f>
        <v>33.083035697022865</v>
      </c>
      <c r="D105" s="169"/>
      <c r="E105" s="170">
        <f>I42-I38-I39</f>
        <v>27.776983154118781</v>
      </c>
      <c r="F105" s="216">
        <v>0.86</v>
      </c>
      <c r="G105" s="170">
        <f t="shared" si="20"/>
        <v>28.958739998010532</v>
      </c>
      <c r="H105" s="184">
        <f t="shared" ca="1" si="21"/>
        <v>0.87533502857300338</v>
      </c>
      <c r="I105" s="170">
        <f t="shared" ca="1" si="22"/>
        <v>28.958739997135201</v>
      </c>
      <c r="L105" s="169" t="s">
        <v>257</v>
      </c>
      <c r="M105" s="125">
        <f t="shared" si="23"/>
        <v>79.779427650291552</v>
      </c>
    </row>
    <row r="106" spans="2:13">
      <c r="B106" s="169" t="s">
        <v>549</v>
      </c>
      <c r="C106" s="170">
        <f>H38+H39</f>
        <v>5.7348719775366517</v>
      </c>
      <c r="D106" s="169"/>
      <c r="E106" s="170">
        <f>I38+I39</f>
        <v>4.3435732750053901</v>
      </c>
      <c r="F106" s="216">
        <v>0.8</v>
      </c>
      <c r="G106" s="170">
        <f t="shared" si="20"/>
        <v>4.5283682693430602</v>
      </c>
      <c r="H106" s="184">
        <f t="shared" ca="1" si="21"/>
        <v>0.78961976593216798</v>
      </c>
      <c r="I106" s="170">
        <f t="shared" ca="1" si="22"/>
        <v>4.5283682685534403</v>
      </c>
      <c r="L106" s="169" t="s">
        <v>549</v>
      </c>
      <c r="M106" s="125">
        <f t="shared" si="23"/>
        <v>65.247616976366047</v>
      </c>
    </row>
    <row r="107" spans="2:13">
      <c r="B107" s="169" t="s">
        <v>194</v>
      </c>
      <c r="C107" s="170">
        <f>H50</f>
        <v>0.75326447562163512</v>
      </c>
      <c r="D107" s="169"/>
      <c r="E107" s="170">
        <f>I50</f>
        <v>1.3018919099951054</v>
      </c>
      <c r="F107" s="216">
        <v>0.9</v>
      </c>
      <c r="G107" s="170">
        <f t="shared" si="20"/>
        <v>1.3572802027448128</v>
      </c>
      <c r="H107" s="184">
        <f t="shared" ca="1" si="21"/>
        <v>1.8018640794428102</v>
      </c>
      <c r="I107" s="170">
        <f t="shared" ca="1" si="22"/>
        <v>1.3572802009429488</v>
      </c>
      <c r="L107" s="169" t="s">
        <v>194</v>
      </c>
      <c r="M107" s="125">
        <f t="shared" si="23"/>
        <v>245.95689927562165</v>
      </c>
    </row>
    <row r="108" spans="2:13">
      <c r="B108" s="169" t="s">
        <v>52</v>
      </c>
      <c r="C108" s="170">
        <f>SUM(C101:C107)</f>
        <v>53.843451905190996</v>
      </c>
      <c r="D108" s="169"/>
      <c r="E108" s="170">
        <f>SUM(E101:E107)</f>
        <v>45.398770862679591</v>
      </c>
      <c r="F108" s="169"/>
      <c r="G108" s="170">
        <f>SUM(G101:G107)</f>
        <v>47.330237209243208</v>
      </c>
      <c r="H108" s="184">
        <f ca="1">MAX(0.1,SUM(F108:G108)/(C108+Tiny))</f>
        <v>0.87903422855771829</v>
      </c>
      <c r="I108" s="170">
        <f>C108*H108</f>
        <v>47.330237208364174</v>
      </c>
      <c r="L108" s="169" t="s">
        <v>52</v>
      </c>
      <c r="M108" s="125">
        <f t="shared" si="23"/>
        <v>145.86169201078673</v>
      </c>
    </row>
    <row r="110" spans="2:13">
      <c r="C110" s="125"/>
      <c r="D110" s="125"/>
      <c r="E110" s="125"/>
      <c r="F110" s="125"/>
      <c r="G110" s="125"/>
      <c r="H110" s="125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27"/>
  <sheetViews>
    <sheetView showGridLines="0" showRowColHeaders="0" showZeros="0" showOutlineSymbols="0" zoomScale="80" workbookViewId="0">
      <pane xSplit="2" ySplit="3" topLeftCell="C68" activePane="bottomRight" state="frozen"/>
      <selection activeCell="D25" sqref="D25"/>
      <selection pane="topRight" activeCell="D25" sqref="D25"/>
      <selection pane="bottomLeft" activeCell="D25" sqref="D25"/>
      <selection pane="bottomRight" activeCell="D25" sqref="D25"/>
    </sheetView>
  </sheetViews>
  <sheetFormatPr defaultColWidth="0" defaultRowHeight="12.75" zeroHeight="1"/>
  <cols>
    <col min="1" max="2" width="0" style="364" hidden="1" customWidth="1"/>
    <col min="3" max="11" width="7.28515625" style="364" hidden="1" customWidth="1"/>
    <col min="12" max="12" width="5.42578125" style="364" hidden="1" customWidth="1"/>
    <col min="13" max="21" width="7.28515625" style="364" hidden="1" customWidth="1"/>
    <col min="22" max="22" width="4.85546875" style="364" hidden="1" customWidth="1"/>
    <col min="23" max="31" width="7.28515625" style="364" hidden="1" customWidth="1"/>
    <col min="32" max="16384" width="0" style="364" hidden="1"/>
  </cols>
  <sheetData>
    <row r="1" spans="1:31" hidden="1">
      <c r="A1" s="364" t="s">
        <v>383</v>
      </c>
      <c r="B1" s="364">
        <f>MATCH(Region,$D1:$F1,0)</f>
        <v>1</v>
      </c>
      <c r="D1" s="365" t="s">
        <v>345</v>
      </c>
      <c r="E1" s="366" t="s">
        <v>683</v>
      </c>
      <c r="F1" s="367" t="s">
        <v>552</v>
      </c>
    </row>
    <row r="2" spans="1:31" hidden="1">
      <c r="A2" s="364" t="s">
        <v>333</v>
      </c>
      <c r="B2" s="364">
        <f>3.6*8.76</f>
        <v>31.536000000000001</v>
      </c>
    </row>
    <row r="3" spans="1:31" ht="18" hidden="1">
      <c r="C3" s="368" t="s">
        <v>345</v>
      </c>
      <c r="D3" s="369" t="s">
        <v>350</v>
      </c>
      <c r="E3" s="370"/>
      <c r="F3" s="370"/>
      <c r="G3" s="371"/>
      <c r="H3" s="371"/>
      <c r="I3" s="371"/>
      <c r="J3" s="371"/>
      <c r="K3" s="371"/>
      <c r="M3" s="368" t="s">
        <v>683</v>
      </c>
      <c r="N3" s="369" t="s">
        <v>314</v>
      </c>
      <c r="O3" s="370"/>
      <c r="P3" s="370"/>
      <c r="Q3" s="370"/>
      <c r="R3" s="371"/>
      <c r="S3" s="371"/>
      <c r="T3" s="371"/>
      <c r="U3" s="371"/>
      <c r="W3" s="368" t="s">
        <v>552</v>
      </c>
      <c r="X3" s="369" t="s">
        <v>553</v>
      </c>
      <c r="Y3" s="370"/>
      <c r="Z3" s="370"/>
      <c r="AA3" s="370"/>
      <c r="AB3" s="371"/>
      <c r="AC3" s="371"/>
      <c r="AD3" s="371"/>
      <c r="AE3" s="371"/>
    </row>
    <row r="4" spans="1:31" hidden="1"/>
    <row r="5" spans="1:31" hidden="1">
      <c r="A5" s="372">
        <f ca="1">BaseYear</f>
        <v>2010</v>
      </c>
      <c r="B5" s="373" t="s">
        <v>37</v>
      </c>
      <c r="C5" s="373" t="s">
        <v>254</v>
      </c>
      <c r="D5" s="373" t="s">
        <v>255</v>
      </c>
      <c r="E5" s="373" t="s">
        <v>256</v>
      </c>
      <c r="F5" s="373" t="s">
        <v>347</v>
      </c>
      <c r="G5" s="373" t="s">
        <v>348</v>
      </c>
      <c r="H5" s="373" t="s">
        <v>597</v>
      </c>
      <c r="I5" s="374"/>
      <c r="J5" s="375" t="b">
        <f>C3=INDEX($D$1:$F$1,CalIndex)</f>
        <v>1</v>
      </c>
      <c r="K5" s="374"/>
      <c r="M5" s="373" t="s">
        <v>254</v>
      </c>
      <c r="N5" s="373" t="s">
        <v>255</v>
      </c>
      <c r="O5" s="373" t="s">
        <v>256</v>
      </c>
      <c r="P5" s="373" t="s">
        <v>347</v>
      </c>
      <c r="Q5" s="373" t="s">
        <v>314</v>
      </c>
      <c r="R5" s="373"/>
      <c r="S5" s="374"/>
      <c r="T5" s="375" t="b">
        <f>M3=INDEX($D$1:$F$1,CalIndex)</f>
        <v>0</v>
      </c>
      <c r="U5" s="374"/>
      <c r="W5" s="373" t="s">
        <v>254</v>
      </c>
      <c r="X5" s="373" t="s">
        <v>255</v>
      </c>
      <c r="Y5" s="373" t="s">
        <v>256</v>
      </c>
      <c r="Z5" s="373" t="s">
        <v>347</v>
      </c>
      <c r="AA5" s="373" t="s">
        <v>348</v>
      </c>
      <c r="AB5" s="373" t="s">
        <v>597</v>
      </c>
      <c r="AC5" s="374"/>
      <c r="AD5" s="375" t="b">
        <f>W3=INDEX($D$1:$F$1,CalIndex)</f>
        <v>0</v>
      </c>
      <c r="AE5" s="374"/>
    </row>
    <row r="6" spans="1:31" hidden="1">
      <c r="B6" s="376">
        <v>1</v>
      </c>
      <c r="C6" s="612">
        <v>0.20990487382345133</v>
      </c>
      <c r="D6" s="612">
        <v>0.70029602669011137</v>
      </c>
      <c r="E6" s="612">
        <v>0.74550782963136486</v>
      </c>
      <c r="F6" s="612">
        <v>8.0397738704047914E-2</v>
      </c>
      <c r="G6" s="612">
        <v>3.4747800703721687E-2</v>
      </c>
      <c r="H6" s="612">
        <v>0.3571356292373597</v>
      </c>
      <c r="M6" s="612">
        <v>0</v>
      </c>
      <c r="N6" s="612">
        <v>0.84642757007858127</v>
      </c>
      <c r="O6" s="612">
        <v>0.67756958637751119</v>
      </c>
      <c r="P6" s="612">
        <v>5.7391573201743727E-2</v>
      </c>
      <c r="Q6" s="612">
        <v>0.11610774932540165</v>
      </c>
      <c r="R6" s="612"/>
      <c r="W6" s="612">
        <v>1</v>
      </c>
      <c r="X6" s="612">
        <v>1</v>
      </c>
      <c r="Y6" s="612">
        <v>1</v>
      </c>
      <c r="Z6" s="612">
        <v>1</v>
      </c>
      <c r="AA6" s="612">
        <v>1</v>
      </c>
      <c r="AB6" s="612">
        <v>1</v>
      </c>
    </row>
    <row r="7" spans="1:31" hidden="1">
      <c r="B7" s="376">
        <v>2</v>
      </c>
      <c r="C7" s="612">
        <v>8.4041575169043092E-2</v>
      </c>
      <c r="D7" s="612">
        <v>0.29855589178603836</v>
      </c>
      <c r="E7" s="612">
        <v>1.4810441986048439E-3</v>
      </c>
      <c r="F7" s="612">
        <v>5.8205059686275672E-2</v>
      </c>
      <c r="G7" s="612">
        <v>0.26257563124010669</v>
      </c>
      <c r="H7" s="612">
        <v>0.27001045636995313</v>
      </c>
      <c r="M7" s="612">
        <v>0</v>
      </c>
      <c r="N7" s="612">
        <v>0.15357242992141876</v>
      </c>
      <c r="O7" s="612">
        <v>1.0196204246051879E-2</v>
      </c>
      <c r="P7" s="612">
        <v>2.7553831903610066E-2</v>
      </c>
      <c r="Q7" s="612">
        <v>7.5247058854281595E-2</v>
      </c>
      <c r="R7" s="612"/>
      <c r="W7" s="612">
        <v>0</v>
      </c>
      <c r="X7" s="612">
        <v>0</v>
      </c>
      <c r="Y7" s="612">
        <v>0</v>
      </c>
      <c r="Z7" s="612">
        <v>0</v>
      </c>
      <c r="AA7" s="612">
        <v>0</v>
      </c>
      <c r="AB7" s="612"/>
    </row>
    <row r="8" spans="1:31" hidden="1">
      <c r="B8" s="376">
        <v>3</v>
      </c>
      <c r="C8" s="612">
        <v>0.38966843480190339</v>
      </c>
      <c r="D8" s="613">
        <v>0</v>
      </c>
      <c r="E8" s="612">
        <v>0.22465381148240945</v>
      </c>
      <c r="F8" s="612">
        <v>0.63933624177253034</v>
      </c>
      <c r="G8" s="612">
        <v>0.45093849193613056</v>
      </c>
      <c r="H8" s="612">
        <v>0.16706580767025334</v>
      </c>
      <c r="M8" s="612">
        <v>1</v>
      </c>
      <c r="N8" s="612">
        <v>0</v>
      </c>
      <c r="O8" s="612">
        <v>9.0387703539273015E-2</v>
      </c>
      <c r="P8" s="612">
        <v>0.74051903892799953</v>
      </c>
      <c r="Q8" s="612">
        <v>0.52699081704834294</v>
      </c>
      <c r="R8" s="612"/>
      <c r="W8" s="612">
        <v>0</v>
      </c>
      <c r="X8" s="612">
        <v>0</v>
      </c>
      <c r="Y8" s="612">
        <v>0</v>
      </c>
      <c r="Z8" s="612">
        <v>0</v>
      </c>
      <c r="AA8" s="612">
        <v>0</v>
      </c>
      <c r="AB8" s="612"/>
    </row>
    <row r="9" spans="1:31" hidden="1">
      <c r="B9" s="376">
        <v>4</v>
      </c>
      <c r="C9" s="612">
        <v>0.31638511620560211</v>
      </c>
      <c r="D9" s="612">
        <v>1.14808152385018E-3</v>
      </c>
      <c r="E9" s="612">
        <v>2.8357314687620844E-2</v>
      </c>
      <c r="F9" s="612">
        <v>0.2220609598371461</v>
      </c>
      <c r="G9" s="612">
        <v>0.25173807612004112</v>
      </c>
      <c r="H9" s="612">
        <v>0.20578810672243394</v>
      </c>
      <c r="M9" s="612">
        <v>0</v>
      </c>
      <c r="N9" s="612">
        <v>0</v>
      </c>
      <c r="O9" s="612">
        <v>0.22184650583716395</v>
      </c>
      <c r="P9" s="612">
        <v>0.17453555596664672</v>
      </c>
      <c r="Q9" s="612">
        <v>0.28165437477197391</v>
      </c>
      <c r="R9" s="612"/>
      <c r="W9" s="612">
        <v>0</v>
      </c>
      <c r="X9" s="612">
        <v>0</v>
      </c>
      <c r="Y9" s="612">
        <v>0</v>
      </c>
      <c r="Z9" s="612">
        <v>0</v>
      </c>
      <c r="AA9" s="612">
        <v>0</v>
      </c>
      <c r="AB9" s="612"/>
    </row>
    <row r="10" spans="1:31" hidden="1"/>
    <row r="11" spans="1:31" hidden="1">
      <c r="B11" s="373" t="s">
        <v>349</v>
      </c>
      <c r="C11" s="373" t="s">
        <v>254</v>
      </c>
      <c r="D11" s="373" t="s">
        <v>255</v>
      </c>
      <c r="E11" s="373" t="s">
        <v>256</v>
      </c>
      <c r="F11" s="373" t="s">
        <v>347</v>
      </c>
      <c r="G11" s="373" t="s">
        <v>314</v>
      </c>
      <c r="H11" s="379" t="s">
        <v>597</v>
      </c>
      <c r="I11" s="379" t="s">
        <v>598</v>
      </c>
      <c r="J11" s="380" t="s">
        <v>432</v>
      </c>
      <c r="K11" s="373"/>
      <c r="M11" s="373" t="s">
        <v>254</v>
      </c>
      <c r="N11" s="373" t="s">
        <v>255</v>
      </c>
      <c r="O11" s="373" t="s">
        <v>256</v>
      </c>
      <c r="P11" s="373" t="s">
        <v>347</v>
      </c>
      <c r="Q11" s="373" t="s">
        <v>314</v>
      </c>
      <c r="R11" s="373"/>
      <c r="T11" s="380" t="s">
        <v>432</v>
      </c>
      <c r="U11" s="373"/>
      <c r="W11" s="373" t="s">
        <v>254</v>
      </c>
      <c r="X11" s="373" t="s">
        <v>255</v>
      </c>
      <c r="Y11" s="373" t="s">
        <v>256</v>
      </c>
      <c r="Z11" s="373" t="s">
        <v>347</v>
      </c>
      <c r="AA11" s="373" t="s">
        <v>314</v>
      </c>
      <c r="AB11" s="379" t="s">
        <v>597</v>
      </c>
      <c r="AC11" s="379" t="s">
        <v>598</v>
      </c>
      <c r="AD11" s="380" t="s">
        <v>432</v>
      </c>
      <c r="AE11" s="373"/>
    </row>
    <row r="12" spans="1:31" hidden="1">
      <c r="B12" s="376">
        <v>1</v>
      </c>
      <c r="C12" s="612">
        <v>0.12613960738784311</v>
      </c>
      <c r="D12" s="612">
        <v>0.19635978277771926</v>
      </c>
      <c r="E12" s="612">
        <v>0.74006686346366035</v>
      </c>
      <c r="F12" s="612">
        <v>3.3204959845226666E-3</v>
      </c>
      <c r="G12" s="612">
        <v>0.12111273768638783</v>
      </c>
      <c r="H12" s="490">
        <v>0.3706170803589473</v>
      </c>
      <c r="I12" s="490">
        <v>0.88043914848038551</v>
      </c>
      <c r="J12" s="376" t="s">
        <v>433</v>
      </c>
      <c r="K12" s="612">
        <v>0.4</v>
      </c>
      <c r="M12" s="612">
        <v>0.21983300926455449</v>
      </c>
      <c r="N12" s="612">
        <v>0.45990698058573998</v>
      </c>
      <c r="O12" s="612">
        <v>0.58254867260735776</v>
      </c>
      <c r="P12" s="612">
        <v>0.16569635428441035</v>
      </c>
      <c r="Q12" s="612">
        <v>0.17614719476254134</v>
      </c>
      <c r="R12" s="612"/>
      <c r="T12" s="376" t="s">
        <v>433</v>
      </c>
      <c r="U12" s="612">
        <v>0.3</v>
      </c>
      <c r="W12" s="612">
        <v>1</v>
      </c>
      <c r="X12" s="612">
        <v>1</v>
      </c>
      <c r="Y12" s="612">
        <v>1</v>
      </c>
      <c r="Z12" s="612">
        <v>1</v>
      </c>
      <c r="AA12" s="612">
        <v>1</v>
      </c>
      <c r="AB12" s="612">
        <v>1</v>
      </c>
      <c r="AC12" s="612">
        <v>1</v>
      </c>
      <c r="AD12" s="376" t="s">
        <v>433</v>
      </c>
      <c r="AE12" s="612">
        <v>0.2</v>
      </c>
    </row>
    <row r="13" spans="1:31" hidden="1">
      <c r="B13" s="376">
        <v>2</v>
      </c>
      <c r="C13" s="612">
        <v>7.2326903831882672E-2</v>
      </c>
      <c r="D13" s="612">
        <v>0.78677049598253102</v>
      </c>
      <c r="E13" s="612">
        <v>0.24304413327206439</v>
      </c>
      <c r="F13" s="612">
        <v>1.8179293793987743E-2</v>
      </c>
      <c r="G13" s="612">
        <v>0.10258092375136239</v>
      </c>
      <c r="H13" s="490">
        <v>0.21761487087003237</v>
      </c>
      <c r="I13" s="490">
        <v>9.452403266836254E-2</v>
      </c>
      <c r="J13" s="376" t="s">
        <v>386</v>
      </c>
      <c r="K13" s="612">
        <v>0.46466294936307173</v>
      </c>
      <c r="M13" s="612">
        <v>5.5358572572343598E-2</v>
      </c>
      <c r="N13" s="612">
        <v>0.54009301941426002</v>
      </c>
      <c r="O13" s="612">
        <v>4.2421931833605868E-2</v>
      </c>
      <c r="P13" s="612">
        <v>0.12396894069647035</v>
      </c>
      <c r="Q13" s="612">
        <v>0.22978340816611731</v>
      </c>
      <c r="R13" s="612"/>
      <c r="T13" s="376" t="s">
        <v>386</v>
      </c>
      <c r="U13" s="612">
        <v>0.31277780826370805</v>
      </c>
      <c r="W13" s="612">
        <v>0</v>
      </c>
      <c r="X13" s="612">
        <v>0</v>
      </c>
      <c r="Y13" s="612">
        <v>0</v>
      </c>
      <c r="Z13" s="612">
        <v>0</v>
      </c>
      <c r="AA13" s="612">
        <v>0</v>
      </c>
      <c r="AB13" s="612"/>
      <c r="AD13" s="376" t="s">
        <v>386</v>
      </c>
      <c r="AE13" s="612">
        <v>0.23929445192036936</v>
      </c>
    </row>
    <row r="14" spans="1:31" hidden="1">
      <c r="B14" s="376">
        <v>3</v>
      </c>
      <c r="C14" s="612">
        <v>0.255842675920954</v>
      </c>
      <c r="D14" s="612">
        <v>1.3984161684326556E-2</v>
      </c>
      <c r="E14" s="612">
        <v>1.2417538825356955E-2</v>
      </c>
      <c r="F14" s="612">
        <v>0.2919815290963606</v>
      </c>
      <c r="G14" s="612">
        <v>0.10411714134198516</v>
      </c>
      <c r="H14" s="490">
        <v>0.1277224145557192</v>
      </c>
      <c r="I14" s="490">
        <v>1.0041504886865707E-3</v>
      </c>
      <c r="M14" s="612">
        <v>0.16693354683746997</v>
      </c>
      <c r="N14" s="612">
        <v>0</v>
      </c>
      <c r="O14" s="612">
        <v>1.7843254362528992E-2</v>
      </c>
      <c r="P14" s="612">
        <v>0.409398544368268</v>
      </c>
      <c r="Q14" s="612">
        <v>8.5459668685294379E-2</v>
      </c>
      <c r="R14" s="612"/>
      <c r="W14" s="612">
        <v>0</v>
      </c>
      <c r="X14" s="612">
        <v>0</v>
      </c>
      <c r="Y14" s="612">
        <v>0</v>
      </c>
      <c r="Z14" s="612">
        <v>0</v>
      </c>
      <c r="AA14" s="612">
        <v>0</v>
      </c>
      <c r="AB14" s="612"/>
    </row>
    <row r="15" spans="1:31" hidden="1">
      <c r="B15" s="376">
        <v>4</v>
      </c>
      <c r="C15" s="612">
        <v>0.5456908128593202</v>
      </c>
      <c r="D15" s="612">
        <v>2.8855595554231278E-3</v>
      </c>
      <c r="E15" s="612">
        <v>4.4714644389183007E-3</v>
      </c>
      <c r="F15" s="612">
        <v>0.68651868112512915</v>
      </c>
      <c r="G15" s="612">
        <v>0.67218919722026449</v>
      </c>
      <c r="H15" s="490">
        <v>0.2840456342153011</v>
      </c>
      <c r="I15" s="490">
        <v>2.4032668362565259E-2</v>
      </c>
      <c r="M15" s="612">
        <v>0.55787487132563196</v>
      </c>
      <c r="N15" s="612">
        <v>0</v>
      </c>
      <c r="O15" s="612">
        <v>0.35718614119650727</v>
      </c>
      <c r="P15" s="612">
        <v>0.30093616065085133</v>
      </c>
      <c r="Q15" s="612">
        <v>0.5086097283860469</v>
      </c>
      <c r="R15" s="612"/>
      <c r="W15" s="612">
        <v>0</v>
      </c>
      <c r="X15" s="612">
        <v>0</v>
      </c>
      <c r="Y15" s="612">
        <v>0</v>
      </c>
      <c r="Z15" s="612">
        <v>0</v>
      </c>
      <c r="AA15" s="612">
        <v>0</v>
      </c>
      <c r="AB15" s="612"/>
    </row>
    <row r="16" spans="1:31" hidden="1"/>
    <row r="17" spans="1:31" hidden="1">
      <c r="A17" s="372">
        <f ca="1">AuxYear</f>
        <v>2017</v>
      </c>
      <c r="B17" s="373" t="s">
        <v>37</v>
      </c>
      <c r="C17" s="373" t="s">
        <v>254</v>
      </c>
      <c r="D17" s="373" t="s">
        <v>255</v>
      </c>
      <c r="E17" s="373" t="s">
        <v>256</v>
      </c>
      <c r="F17" s="373" t="s">
        <v>347</v>
      </c>
      <c r="G17" s="373" t="s">
        <v>348</v>
      </c>
      <c r="H17" s="373" t="s">
        <v>597</v>
      </c>
      <c r="I17" s="382"/>
      <c r="J17" s="382" t="b">
        <f>C15=INDEX($D$1:$F$1,CalIndex)</f>
        <v>0</v>
      </c>
      <c r="K17" s="382"/>
      <c r="M17" s="373" t="s">
        <v>254</v>
      </c>
      <c r="N17" s="373" t="s">
        <v>255</v>
      </c>
      <c r="O17" s="373" t="s">
        <v>256</v>
      </c>
      <c r="P17" s="373" t="s">
        <v>347</v>
      </c>
      <c r="Q17" s="373" t="s">
        <v>314</v>
      </c>
      <c r="R17" s="373"/>
      <c r="T17" s="364" t="b">
        <f>M15=INDEX($D$1:$F$1,CalIndex)</f>
        <v>0</v>
      </c>
      <c r="W17" s="373" t="s">
        <v>254</v>
      </c>
      <c r="X17" s="373" t="s">
        <v>255</v>
      </c>
      <c r="Y17" s="373" t="s">
        <v>256</v>
      </c>
      <c r="Z17" s="373" t="s">
        <v>347</v>
      </c>
      <c r="AA17" s="373" t="s">
        <v>348</v>
      </c>
      <c r="AB17" s="373" t="s">
        <v>597</v>
      </c>
      <c r="AD17" s="364" t="b">
        <f>W15=INDEX($D$1:$F$1,CalIndex)</f>
        <v>0</v>
      </c>
    </row>
    <row r="18" spans="1:31" hidden="1">
      <c r="B18" s="376">
        <v>1</v>
      </c>
      <c r="C18" s="612">
        <v>0.17025440313111548</v>
      </c>
      <c r="D18" s="612">
        <v>0.81730310262529826</v>
      </c>
      <c r="E18" s="612">
        <v>0.96381954967169103</v>
      </c>
      <c r="F18" s="612">
        <v>0.10022799146870634</v>
      </c>
      <c r="G18" s="612">
        <v>8.0135527756463862E-2</v>
      </c>
      <c r="H18" s="612">
        <v>0.3571356292373597</v>
      </c>
      <c r="M18" s="612">
        <v>0</v>
      </c>
      <c r="N18" s="612">
        <v>0.84642757007858127</v>
      </c>
      <c r="O18" s="612">
        <v>0.67756958637751119</v>
      </c>
      <c r="P18" s="612">
        <v>5.7391573201743727E-2</v>
      </c>
      <c r="Q18" s="612">
        <v>0.11610774932540165</v>
      </c>
      <c r="R18" s="612"/>
      <c r="W18" s="612">
        <v>1</v>
      </c>
      <c r="X18" s="612">
        <v>1</v>
      </c>
      <c r="Y18" s="612">
        <v>1</v>
      </c>
      <c r="Z18" s="612">
        <v>1</v>
      </c>
      <c r="AA18" s="612">
        <v>1</v>
      </c>
      <c r="AB18" s="612">
        <v>1</v>
      </c>
    </row>
    <row r="19" spans="1:31" hidden="1">
      <c r="B19" s="376">
        <v>2</v>
      </c>
      <c r="C19" s="612">
        <v>0.15557729941291581</v>
      </c>
      <c r="D19" s="612">
        <v>0.10799522673031035</v>
      </c>
      <c r="E19" s="612">
        <v>0</v>
      </c>
      <c r="F19" s="612">
        <v>7.1868794587041263E-2</v>
      </c>
      <c r="G19" s="612">
        <v>0.25077807760946969</v>
      </c>
      <c r="H19" s="612">
        <v>0.27001045636995313</v>
      </c>
      <c r="M19" s="612">
        <v>0</v>
      </c>
      <c r="N19" s="612">
        <v>0.15357242992141876</v>
      </c>
      <c r="O19" s="612">
        <v>1.0196204246051879E-2</v>
      </c>
      <c r="P19" s="612">
        <v>2.7553831903610066E-2</v>
      </c>
      <c r="Q19" s="612">
        <v>7.5247058854281595E-2</v>
      </c>
      <c r="R19" s="612"/>
      <c r="W19" s="612">
        <v>0</v>
      </c>
      <c r="X19" s="612">
        <v>0</v>
      </c>
      <c r="Y19" s="612">
        <v>0</v>
      </c>
      <c r="Z19" s="612">
        <v>0</v>
      </c>
      <c r="AA19" s="612">
        <v>0</v>
      </c>
      <c r="AB19" s="612"/>
    </row>
    <row r="20" spans="1:31" hidden="1">
      <c r="B20" s="376">
        <v>3</v>
      </c>
      <c r="C20" s="612">
        <v>0.35909980430528388</v>
      </c>
      <c r="D20" s="613">
        <v>7.4701670644391385E-2</v>
      </c>
      <c r="E20" s="612">
        <v>2.2808836430337345E-2</v>
      </c>
      <c r="F20" s="612">
        <v>0.61988673972199748</v>
      </c>
      <c r="G20" s="612">
        <v>0.4715107206593615</v>
      </c>
      <c r="H20" s="612">
        <v>0.16706580767025334</v>
      </c>
      <c r="M20" s="612">
        <v>1</v>
      </c>
      <c r="N20" s="612">
        <v>0</v>
      </c>
      <c r="O20" s="612">
        <v>9.0387703539273015E-2</v>
      </c>
      <c r="P20" s="612">
        <v>0.74051903892799953</v>
      </c>
      <c r="Q20" s="612">
        <v>0.52699081704834294</v>
      </c>
      <c r="R20" s="612"/>
      <c r="W20" s="612">
        <v>0</v>
      </c>
      <c r="X20" s="612">
        <v>0</v>
      </c>
      <c r="Y20" s="612">
        <v>0</v>
      </c>
      <c r="Z20" s="612">
        <v>0</v>
      </c>
      <c r="AA20" s="612">
        <v>0</v>
      </c>
      <c r="AB20" s="612"/>
    </row>
    <row r="21" spans="1:31" hidden="1">
      <c r="B21" s="376">
        <v>4</v>
      </c>
      <c r="C21" s="612">
        <v>0.31506849315068475</v>
      </c>
      <c r="D21" s="612">
        <v>0</v>
      </c>
      <c r="E21" s="612">
        <v>1.337161389797166E-2</v>
      </c>
      <c r="F21" s="612">
        <v>0.20801647422225492</v>
      </c>
      <c r="G21" s="612">
        <v>0.19757567397470496</v>
      </c>
      <c r="H21" s="612">
        <v>0.20578810672243394</v>
      </c>
      <c r="M21" s="612">
        <v>0</v>
      </c>
      <c r="N21" s="612">
        <v>0</v>
      </c>
      <c r="O21" s="612">
        <v>0.22184650583716395</v>
      </c>
      <c r="P21" s="612">
        <v>0.17453555596664672</v>
      </c>
      <c r="Q21" s="612">
        <v>0.28165437477197391</v>
      </c>
      <c r="R21" s="612"/>
      <c r="W21" s="612">
        <v>0</v>
      </c>
      <c r="X21" s="612">
        <v>0</v>
      </c>
      <c r="Y21" s="612">
        <v>0</v>
      </c>
      <c r="Z21" s="612">
        <v>0</v>
      </c>
      <c r="AA21" s="612">
        <v>0</v>
      </c>
      <c r="AB21" s="612"/>
    </row>
    <row r="22" spans="1:31" hidden="1"/>
    <row r="23" spans="1:31" hidden="1">
      <c r="B23" s="373" t="s">
        <v>349</v>
      </c>
      <c r="C23" s="373" t="s">
        <v>254</v>
      </c>
      <c r="D23" s="373" t="s">
        <v>255</v>
      </c>
      <c r="E23" s="373" t="s">
        <v>256</v>
      </c>
      <c r="F23" s="373" t="s">
        <v>347</v>
      </c>
      <c r="G23" s="373" t="s">
        <v>348</v>
      </c>
      <c r="H23" s="379" t="s">
        <v>597</v>
      </c>
      <c r="I23" s="379" t="s">
        <v>598</v>
      </c>
      <c r="J23" s="380" t="s">
        <v>432</v>
      </c>
      <c r="K23" s="373"/>
      <c r="M23" s="373" t="s">
        <v>254</v>
      </c>
      <c r="N23" s="373" t="s">
        <v>255</v>
      </c>
      <c r="O23" s="373" t="s">
        <v>256</v>
      </c>
      <c r="P23" s="373" t="s">
        <v>347</v>
      </c>
      <c r="Q23" s="373" t="s">
        <v>314</v>
      </c>
      <c r="R23" s="373"/>
      <c r="T23" s="380" t="s">
        <v>432</v>
      </c>
      <c r="U23" s="373"/>
      <c r="W23" s="373" t="s">
        <v>254</v>
      </c>
      <c r="X23" s="373" t="s">
        <v>255</v>
      </c>
      <c r="Y23" s="373" t="s">
        <v>256</v>
      </c>
      <c r="Z23" s="373" t="s">
        <v>347</v>
      </c>
      <c r="AA23" s="373" t="s">
        <v>348</v>
      </c>
      <c r="AB23" s="379" t="s">
        <v>597</v>
      </c>
      <c r="AC23" s="379" t="s">
        <v>598</v>
      </c>
      <c r="AD23" s="380" t="s">
        <v>432</v>
      </c>
      <c r="AE23" s="373"/>
    </row>
    <row r="24" spans="1:31" hidden="1">
      <c r="B24" s="376">
        <v>1</v>
      </c>
      <c r="C24" s="612">
        <v>0.32098227259517581</v>
      </c>
      <c r="D24" s="612">
        <v>0.17773339990014977</v>
      </c>
      <c r="E24" s="612">
        <v>0</v>
      </c>
      <c r="F24" s="612">
        <v>0</v>
      </c>
      <c r="G24" s="612">
        <v>0.17341137474563117</v>
      </c>
      <c r="H24" s="490">
        <v>0.3706170803589473</v>
      </c>
      <c r="I24" s="490">
        <v>0.88043914848038551</v>
      </c>
      <c r="J24" s="376" t="s">
        <v>433</v>
      </c>
      <c r="K24" s="612">
        <v>0.4</v>
      </c>
      <c r="M24" s="612">
        <v>0.21983300926455449</v>
      </c>
      <c r="N24" s="612">
        <v>0.45990698058573998</v>
      </c>
      <c r="O24" s="612">
        <v>0.58254867260735776</v>
      </c>
      <c r="P24" s="612">
        <v>0.16569635428441035</v>
      </c>
      <c r="Q24" s="612">
        <v>0.17614719476254134</v>
      </c>
      <c r="R24" s="612"/>
      <c r="T24" s="376" t="s">
        <v>433</v>
      </c>
      <c r="U24" s="612">
        <v>0.3</v>
      </c>
      <c r="W24" s="612">
        <v>1</v>
      </c>
      <c r="X24" s="612">
        <v>1</v>
      </c>
      <c r="Y24" s="612">
        <v>1</v>
      </c>
      <c r="Z24" s="612">
        <v>1</v>
      </c>
      <c r="AA24" s="612">
        <v>1</v>
      </c>
      <c r="AB24" s="612">
        <v>1</v>
      </c>
      <c r="AC24" s="612">
        <v>1</v>
      </c>
      <c r="AD24" s="376" t="s">
        <v>433</v>
      </c>
      <c r="AE24" s="612">
        <v>0.2</v>
      </c>
    </row>
    <row r="25" spans="1:31" hidden="1">
      <c r="B25" s="376">
        <v>2</v>
      </c>
      <c r="C25" s="612">
        <v>6.0738157512351051E-2</v>
      </c>
      <c r="D25" s="612">
        <v>0.81739890164752871</v>
      </c>
      <c r="E25" s="612">
        <v>0</v>
      </c>
      <c r="F25" s="612">
        <v>4.4230129697372798E-2</v>
      </c>
      <c r="G25" s="612">
        <v>0.14590807057293306</v>
      </c>
      <c r="H25" s="490">
        <v>0.21761487087003237</v>
      </c>
      <c r="I25" s="490">
        <v>9.452403266836254E-2</v>
      </c>
      <c r="J25" s="376" t="s">
        <v>386</v>
      </c>
      <c r="K25" s="612">
        <v>0.46466294936307173</v>
      </c>
      <c r="M25" s="612">
        <v>5.5358572572343598E-2</v>
      </c>
      <c r="N25" s="612">
        <v>0.54009301941426002</v>
      </c>
      <c r="O25" s="612">
        <v>4.2421931833605868E-2</v>
      </c>
      <c r="P25" s="612">
        <v>0.12396894069647035</v>
      </c>
      <c r="Q25" s="612">
        <v>0.22978340816611731</v>
      </c>
      <c r="R25" s="612"/>
      <c r="T25" s="376" t="s">
        <v>386</v>
      </c>
      <c r="U25" s="612">
        <v>0.31277780826370805</v>
      </c>
      <c r="W25" s="612">
        <v>0</v>
      </c>
      <c r="X25" s="612">
        <v>0</v>
      </c>
      <c r="Y25" s="612">
        <v>0</v>
      </c>
      <c r="Z25" s="612">
        <v>0</v>
      </c>
      <c r="AA25" s="612">
        <v>0</v>
      </c>
      <c r="AB25" s="612"/>
      <c r="AC25" s="612"/>
      <c r="AD25" s="376" t="s">
        <v>386</v>
      </c>
      <c r="AE25" s="612">
        <v>0.23929445192036936</v>
      </c>
    </row>
    <row r="26" spans="1:31" hidden="1">
      <c r="B26" s="376">
        <v>3</v>
      </c>
      <c r="C26" s="612">
        <v>0.19064225515838415</v>
      </c>
      <c r="D26" s="612">
        <v>0</v>
      </c>
      <c r="E26" s="612">
        <v>7.1428571428571425E-2</v>
      </c>
      <c r="F26" s="612">
        <v>0.21375124709012308</v>
      </c>
      <c r="G26" s="612">
        <v>9.2349004552415723E-2</v>
      </c>
      <c r="H26" s="490">
        <v>0.1277224145557192</v>
      </c>
      <c r="I26" s="490">
        <v>1.0041504886865707E-3</v>
      </c>
      <c r="M26" s="612">
        <v>0.16693354683746997</v>
      </c>
      <c r="N26" s="612">
        <v>0</v>
      </c>
      <c r="O26" s="612">
        <v>1.7843254362528992E-2</v>
      </c>
      <c r="P26" s="612">
        <v>0.409398544368268</v>
      </c>
      <c r="Q26" s="612">
        <v>8.5459668685294379E-2</v>
      </c>
      <c r="R26" s="612"/>
      <c r="W26" s="612">
        <v>0</v>
      </c>
      <c r="X26" s="612">
        <v>0</v>
      </c>
      <c r="Y26" s="612">
        <v>0</v>
      </c>
      <c r="Z26" s="612">
        <v>0</v>
      </c>
      <c r="AA26" s="612">
        <v>0</v>
      </c>
      <c r="AB26" s="612"/>
      <c r="AC26" s="612"/>
    </row>
    <row r="27" spans="1:31" hidden="1">
      <c r="B27" s="376">
        <v>4</v>
      </c>
      <c r="C27" s="612">
        <v>0.42763731473408889</v>
      </c>
      <c r="D27" s="612">
        <v>4.8676984523215181E-3</v>
      </c>
      <c r="E27" s="612">
        <v>0.92857142857142849</v>
      </c>
      <c r="F27" s="612">
        <v>0.74201862321250422</v>
      </c>
      <c r="G27" s="612">
        <v>0.58833155012902016</v>
      </c>
      <c r="H27" s="490">
        <v>0.2840456342153011</v>
      </c>
      <c r="I27" s="490">
        <v>2.4032668362565259E-2</v>
      </c>
      <c r="M27" s="612">
        <v>0.55787487132563196</v>
      </c>
      <c r="N27" s="612">
        <v>0</v>
      </c>
      <c r="O27" s="612">
        <v>0.35718614119650727</v>
      </c>
      <c r="P27" s="612">
        <v>0.30093616065085133</v>
      </c>
      <c r="Q27" s="612">
        <v>0.5086097283860469</v>
      </c>
      <c r="R27" s="612"/>
      <c r="W27" s="612">
        <v>0</v>
      </c>
      <c r="X27" s="612">
        <v>0</v>
      </c>
      <c r="Y27" s="612">
        <v>0</v>
      </c>
      <c r="Z27" s="612">
        <v>0</v>
      </c>
      <c r="AA27" s="612">
        <v>0</v>
      </c>
      <c r="AB27" s="612"/>
      <c r="AC27" s="612"/>
    </row>
    <row r="28" spans="1:31" hidden="1"/>
    <row r="29" spans="1:31" hidden="1"/>
    <row r="30" spans="1:31" ht="18" hidden="1">
      <c r="C30" s="368" t="s">
        <v>351</v>
      </c>
      <c r="D30" s="368"/>
      <c r="E30" s="368"/>
      <c r="F30" s="368"/>
      <c r="G30" s="368"/>
      <c r="H30" s="368"/>
      <c r="I30" s="368"/>
      <c r="J30" s="368"/>
      <c r="K30" s="368"/>
      <c r="M30" s="368" t="s">
        <v>351</v>
      </c>
      <c r="N30" s="368"/>
      <c r="O30" s="368"/>
      <c r="P30" s="368"/>
      <c r="Q30" s="368"/>
      <c r="R30" s="368"/>
      <c r="S30" s="368"/>
      <c r="T30" s="368"/>
      <c r="U30" s="368"/>
      <c r="W30" s="368" t="s">
        <v>351</v>
      </c>
      <c r="X30" s="368"/>
      <c r="Y30" s="368"/>
      <c r="Z30" s="368"/>
      <c r="AA30" s="368"/>
      <c r="AB30" s="368"/>
      <c r="AC30" s="368"/>
      <c r="AD30" s="368"/>
      <c r="AE30" s="368"/>
    </row>
    <row r="31" spans="1:31" hidden="1"/>
    <row r="32" spans="1:31" hidden="1">
      <c r="B32" s="364" t="s">
        <v>353</v>
      </c>
    </row>
    <row r="33" spans="2:31" hidden="1">
      <c r="C33" s="364">
        <v>2010</v>
      </c>
      <c r="D33" s="364">
        <v>2015</v>
      </c>
      <c r="E33" s="364">
        <v>2020</v>
      </c>
      <c r="F33" s="364">
        <v>2025</v>
      </c>
      <c r="G33" s="364">
        <v>2030</v>
      </c>
      <c r="H33" s="364">
        <v>2040</v>
      </c>
      <c r="I33" s="364">
        <v>2050</v>
      </c>
      <c r="J33" s="364">
        <v>2070</v>
      </c>
      <c r="K33" s="364">
        <v>2100</v>
      </c>
      <c r="M33" s="364">
        <v>2010</v>
      </c>
      <c r="N33" s="364">
        <v>2015</v>
      </c>
      <c r="O33" s="364">
        <v>2020</v>
      </c>
      <c r="P33" s="364">
        <v>2025</v>
      </c>
      <c r="Q33" s="364">
        <v>2030</v>
      </c>
      <c r="R33" s="364">
        <v>2040</v>
      </c>
      <c r="S33" s="364">
        <v>2050</v>
      </c>
      <c r="T33" s="364">
        <v>2070</v>
      </c>
      <c r="U33" s="364">
        <v>2100</v>
      </c>
      <c r="W33" s="364">
        <v>2010</v>
      </c>
      <c r="X33" s="364">
        <v>2015</v>
      </c>
      <c r="Y33" s="364">
        <v>2020</v>
      </c>
      <c r="Z33" s="364">
        <v>2025</v>
      </c>
      <c r="AA33" s="364">
        <v>2030</v>
      </c>
      <c r="AB33" s="364">
        <v>2040</v>
      </c>
      <c r="AC33" s="364">
        <v>2050</v>
      </c>
      <c r="AD33" s="364">
        <v>2070</v>
      </c>
      <c r="AE33" s="364">
        <v>2100</v>
      </c>
    </row>
    <row r="34" spans="2:31" hidden="1">
      <c r="B34" s="382" t="s">
        <v>254</v>
      </c>
      <c r="C34" s="383">
        <v>977.45648159063217</v>
      </c>
      <c r="D34" s="383">
        <v>389.68878934339261</v>
      </c>
      <c r="E34" s="383">
        <v>229.27305591575302</v>
      </c>
      <c r="F34" s="383">
        <f>AVERAGE(E34,G34)</f>
        <v>201.55153444143184</v>
      </c>
      <c r="G34" s="383">
        <v>173.83001296711069</v>
      </c>
      <c r="H34" s="383">
        <v>150.81142677511886</v>
      </c>
      <c r="I34" s="376"/>
      <c r="J34" s="376"/>
      <c r="K34" s="376"/>
      <c r="M34" s="383">
        <v>2095.6137927529562</v>
      </c>
      <c r="N34" s="383">
        <f>M34</f>
        <v>2095.6137927529562</v>
      </c>
      <c r="O34" s="383">
        <f>N34*0.7</f>
        <v>1466.9296549270694</v>
      </c>
      <c r="P34" s="383">
        <f t="shared" ref="P34:Q38" si="0">O34*0.77</f>
        <v>1129.5358342938434</v>
      </c>
      <c r="Q34" s="383">
        <f t="shared" si="0"/>
        <v>869.74259240625952</v>
      </c>
      <c r="R34" s="383"/>
      <c r="S34" s="383"/>
      <c r="T34" s="383"/>
      <c r="U34" s="383"/>
      <c r="W34" s="376"/>
      <c r="X34" s="376"/>
      <c r="Y34" s="376"/>
      <c r="Z34" s="376"/>
      <c r="AA34" s="376"/>
      <c r="AB34" s="376"/>
      <c r="AC34" s="376"/>
      <c r="AD34" s="376"/>
      <c r="AE34" s="376"/>
    </row>
    <row r="35" spans="2:31" hidden="1">
      <c r="B35" s="382" t="s">
        <v>255</v>
      </c>
      <c r="C35" s="383">
        <v>350</v>
      </c>
      <c r="D35" s="383">
        <v>331.37472283813747</v>
      </c>
      <c r="E35" s="383">
        <v>305.76496674057648</v>
      </c>
      <c r="F35" s="383">
        <f>AVERAGE(E35,G35)</f>
        <v>185.47671840354766</v>
      </c>
      <c r="G35" s="383">
        <v>65.188470066518846</v>
      </c>
      <c r="H35" s="383">
        <v>0</v>
      </c>
      <c r="I35" s="376"/>
      <c r="J35" s="376"/>
      <c r="K35" s="376"/>
      <c r="M35" s="383">
        <v>233.63477080683441</v>
      </c>
      <c r="N35" s="383">
        <f>M35</f>
        <v>233.63477080683441</v>
      </c>
      <c r="O35" s="383">
        <f>N35*0.7</f>
        <v>163.54433956478408</v>
      </c>
      <c r="P35" s="383">
        <f t="shared" si="0"/>
        <v>125.92914146488374</v>
      </c>
      <c r="Q35" s="383">
        <f t="shared" si="0"/>
        <v>96.965438927960477</v>
      </c>
      <c r="R35" s="383"/>
      <c r="S35" s="383"/>
      <c r="T35" s="383"/>
      <c r="U35" s="383"/>
      <c r="W35" s="376"/>
      <c r="X35" s="376"/>
      <c r="Y35" s="376"/>
      <c r="Z35" s="376"/>
      <c r="AA35" s="376"/>
      <c r="AB35" s="376"/>
      <c r="AC35" s="376"/>
      <c r="AD35" s="376"/>
      <c r="AE35" s="376"/>
    </row>
    <row r="36" spans="2:31" hidden="1">
      <c r="B36" s="382" t="s">
        <v>256</v>
      </c>
      <c r="C36" s="383">
        <v>1879</v>
      </c>
      <c r="D36" s="383">
        <v>1769</v>
      </c>
      <c r="E36" s="383">
        <v>845</v>
      </c>
      <c r="F36" s="383">
        <f>AVERAGE(E36,G36)</f>
        <v>702.5</v>
      </c>
      <c r="G36" s="383">
        <v>560</v>
      </c>
      <c r="H36" s="383">
        <v>560</v>
      </c>
      <c r="I36" s="376"/>
      <c r="J36" s="376"/>
      <c r="K36" s="376"/>
      <c r="M36" s="383">
        <v>430</v>
      </c>
      <c r="N36" s="383">
        <f>M36</f>
        <v>430</v>
      </c>
      <c r="O36" s="383">
        <f>N36*0.7</f>
        <v>301</v>
      </c>
      <c r="P36" s="383">
        <f t="shared" si="0"/>
        <v>231.77</v>
      </c>
      <c r="Q36" s="383">
        <f t="shared" si="0"/>
        <v>178.46290000000002</v>
      </c>
      <c r="R36" s="383"/>
      <c r="S36" s="383"/>
      <c r="T36" s="383"/>
      <c r="U36" s="383"/>
      <c r="W36" s="383"/>
      <c r="X36" s="383"/>
      <c r="Y36" s="383"/>
      <c r="Z36" s="383"/>
      <c r="AA36" s="383"/>
      <c r="AB36" s="376"/>
      <c r="AC36" s="376"/>
      <c r="AD36" s="376"/>
      <c r="AE36" s="376"/>
    </row>
    <row r="37" spans="2:31" hidden="1">
      <c r="B37" s="382" t="s">
        <v>347</v>
      </c>
      <c r="C37" s="383">
        <v>300</v>
      </c>
      <c r="D37" s="383">
        <v>300</v>
      </c>
      <c r="E37" s="383">
        <v>293.44262295081967</v>
      </c>
      <c r="F37" s="383">
        <f>AVERAGE(E37,G37)</f>
        <v>223.77049180327867</v>
      </c>
      <c r="G37" s="383">
        <v>154.09836065573771</v>
      </c>
      <c r="H37" s="383">
        <v>85.245901639344254</v>
      </c>
      <c r="I37" s="376"/>
      <c r="J37" s="376"/>
      <c r="K37" s="376"/>
      <c r="M37" s="383">
        <v>0</v>
      </c>
      <c r="N37" s="383">
        <f>M37</f>
        <v>0</v>
      </c>
      <c r="O37" s="383">
        <f>N37*0.7</f>
        <v>0</v>
      </c>
      <c r="P37" s="383">
        <f t="shared" si="0"/>
        <v>0</v>
      </c>
      <c r="Q37" s="383">
        <f t="shared" si="0"/>
        <v>0</v>
      </c>
      <c r="R37" s="383"/>
      <c r="S37" s="383"/>
      <c r="T37" s="383"/>
      <c r="U37" s="383"/>
      <c r="W37" s="376"/>
      <c r="X37" s="376"/>
      <c r="Y37" s="376"/>
      <c r="Z37" s="376"/>
      <c r="AA37" s="376"/>
      <c r="AB37" s="376"/>
      <c r="AC37" s="376"/>
      <c r="AD37" s="376"/>
      <c r="AE37" s="376"/>
    </row>
    <row r="38" spans="2:31" hidden="1">
      <c r="B38" s="382" t="s">
        <v>257</v>
      </c>
      <c r="C38" s="383">
        <v>120</v>
      </c>
      <c r="D38" s="383">
        <v>114.5326001571092</v>
      </c>
      <c r="E38" s="383">
        <v>90.023566378633163</v>
      </c>
      <c r="F38" s="383">
        <f>AVERAGE(E38,G38)</f>
        <v>84.131971720345646</v>
      </c>
      <c r="G38" s="383">
        <v>78.24037706205813</v>
      </c>
      <c r="H38" s="383">
        <v>17.910447761194032</v>
      </c>
      <c r="I38" s="376"/>
      <c r="J38" s="376"/>
      <c r="K38" s="376"/>
      <c r="M38" s="383">
        <v>200</v>
      </c>
      <c r="N38" s="383">
        <f>M38</f>
        <v>200</v>
      </c>
      <c r="O38" s="383">
        <f>N38*0.7</f>
        <v>140</v>
      </c>
      <c r="P38" s="383">
        <f t="shared" si="0"/>
        <v>107.8</v>
      </c>
      <c r="Q38" s="383">
        <f t="shared" si="0"/>
        <v>83.006</v>
      </c>
      <c r="R38" s="383"/>
      <c r="S38" s="383"/>
      <c r="T38" s="383"/>
      <c r="U38" s="383"/>
      <c r="W38" s="376"/>
      <c r="X38" s="376"/>
      <c r="Y38" s="376"/>
      <c r="Z38" s="376"/>
      <c r="AA38" s="376"/>
      <c r="AB38" s="376"/>
      <c r="AC38" s="376"/>
      <c r="AD38" s="376"/>
      <c r="AE38" s="376"/>
    </row>
    <row r="39" spans="2:31" hidden="1">
      <c r="B39" s="382" t="s">
        <v>549</v>
      </c>
      <c r="C39" s="383">
        <v>24</v>
      </c>
      <c r="D39" s="383">
        <v>90</v>
      </c>
      <c r="E39" s="383">
        <v>135</v>
      </c>
      <c r="F39" s="383">
        <v>135</v>
      </c>
      <c r="G39" s="383">
        <v>135</v>
      </c>
      <c r="H39" s="383">
        <v>135</v>
      </c>
      <c r="I39" s="376">
        <v>45</v>
      </c>
      <c r="J39" s="376"/>
      <c r="K39" s="376"/>
      <c r="M39" s="383">
        <v>20</v>
      </c>
      <c r="N39" s="383">
        <v>20</v>
      </c>
      <c r="O39" s="383">
        <v>20</v>
      </c>
      <c r="P39" s="376"/>
      <c r="Q39" s="383"/>
      <c r="R39" s="383"/>
      <c r="S39" s="383"/>
      <c r="T39" s="383"/>
      <c r="U39" s="383"/>
      <c r="W39" s="376"/>
      <c r="X39" s="376">
        <v>80</v>
      </c>
      <c r="Y39" s="376">
        <v>80</v>
      </c>
      <c r="Z39" s="376">
        <v>80</v>
      </c>
      <c r="AA39" s="376">
        <v>80</v>
      </c>
      <c r="AB39" s="376">
        <v>80</v>
      </c>
      <c r="AC39" s="376">
        <v>80</v>
      </c>
      <c r="AD39" s="376"/>
      <c r="AE39" s="376"/>
    </row>
    <row r="40" spans="2:31" hidden="1">
      <c r="B40" s="382" t="s">
        <v>147</v>
      </c>
      <c r="C40" s="376">
        <v>3100</v>
      </c>
      <c r="D40" s="376">
        <v>3200</v>
      </c>
      <c r="E40" s="376">
        <f>D40</f>
        <v>3200</v>
      </c>
      <c r="F40" s="383">
        <f>AVERAGE(E40,G40)</f>
        <v>3200</v>
      </c>
      <c r="G40" s="376">
        <f>E40</f>
        <v>3200</v>
      </c>
      <c r="H40" s="376">
        <f>G40</f>
        <v>3200</v>
      </c>
      <c r="I40" s="376">
        <f>H40</f>
        <v>3200</v>
      </c>
      <c r="J40" s="376">
        <f>I40</f>
        <v>3200</v>
      </c>
      <c r="K40" s="376">
        <f>J40</f>
        <v>3200</v>
      </c>
      <c r="M40" s="383">
        <v>16350</v>
      </c>
      <c r="N40" s="383">
        <f>M40</f>
        <v>16350</v>
      </c>
      <c r="O40" s="383">
        <f>N40</f>
        <v>16350</v>
      </c>
      <c r="P40" s="383">
        <f>N40</f>
        <v>16350</v>
      </c>
      <c r="Q40" s="383">
        <f>O40</f>
        <v>16350</v>
      </c>
      <c r="R40" s="383">
        <f>Q40</f>
        <v>16350</v>
      </c>
      <c r="S40" s="383">
        <f>R40</f>
        <v>16350</v>
      </c>
      <c r="T40" s="383">
        <f>S40</f>
        <v>16350</v>
      </c>
      <c r="U40" s="383">
        <f>T40</f>
        <v>16350</v>
      </c>
      <c r="W40" s="383"/>
      <c r="X40" s="383"/>
      <c r="Y40" s="383"/>
      <c r="Z40" s="383"/>
      <c r="AA40" s="383"/>
      <c r="AB40" s="383"/>
      <c r="AC40" s="383"/>
      <c r="AD40" s="383"/>
      <c r="AE40" s="383"/>
    </row>
    <row r="41" spans="2:31" hidden="1">
      <c r="B41" s="382" t="s">
        <v>112</v>
      </c>
      <c r="C41" s="376">
        <v>2710</v>
      </c>
      <c r="D41" s="376">
        <v>2750</v>
      </c>
      <c r="E41" s="384">
        <f>2790+610</f>
        <v>3400</v>
      </c>
      <c r="F41" s="376">
        <v>4390</v>
      </c>
      <c r="G41" s="376">
        <v>4390</v>
      </c>
      <c r="H41" s="376">
        <v>3885</v>
      </c>
      <c r="I41" s="376">
        <v>2490</v>
      </c>
      <c r="J41" s="376">
        <v>1600</v>
      </c>
      <c r="K41" s="376"/>
      <c r="M41" s="383">
        <v>8817</v>
      </c>
      <c r="N41" s="383">
        <v>8817</v>
      </c>
      <c r="O41" s="383">
        <v>7770</v>
      </c>
      <c r="P41" s="376">
        <v>7150</v>
      </c>
      <c r="Q41" s="383">
        <v>6610</v>
      </c>
      <c r="R41" s="383"/>
      <c r="S41" s="383"/>
      <c r="T41" s="383"/>
      <c r="U41" s="383"/>
      <c r="W41" s="376"/>
      <c r="X41" s="376"/>
      <c r="Y41" s="376"/>
      <c r="Z41" s="376"/>
      <c r="AA41" s="376"/>
      <c r="AB41" s="376"/>
      <c r="AC41" s="376"/>
      <c r="AD41" s="376"/>
      <c r="AE41" s="376"/>
    </row>
    <row r="42" spans="2:31" hidden="1">
      <c r="B42" s="382" t="s">
        <v>194</v>
      </c>
      <c r="C42" s="376"/>
      <c r="D42" s="376"/>
      <c r="E42" s="376"/>
      <c r="F42" s="376"/>
      <c r="G42" s="376"/>
      <c r="H42" s="376"/>
      <c r="I42" s="376"/>
      <c r="J42" s="376"/>
      <c r="K42" s="376"/>
      <c r="M42" s="383"/>
      <c r="N42" s="383"/>
      <c r="O42" s="383"/>
      <c r="P42" s="376"/>
      <c r="Q42" s="383"/>
      <c r="R42" s="383"/>
      <c r="S42" s="383"/>
      <c r="T42" s="383"/>
      <c r="U42" s="383"/>
      <c r="W42" s="376"/>
      <c r="X42" s="376"/>
      <c r="Y42" s="376"/>
      <c r="Z42" s="376"/>
      <c r="AA42" s="376"/>
      <c r="AB42" s="376"/>
      <c r="AC42" s="376"/>
      <c r="AD42" s="376"/>
      <c r="AE42" s="376"/>
    </row>
    <row r="43" spans="2:31" hidden="1">
      <c r="B43" s="382" t="s">
        <v>197</v>
      </c>
      <c r="C43" s="383">
        <v>197</v>
      </c>
      <c r="D43" s="383">
        <v>900</v>
      </c>
      <c r="E43" s="383">
        <v>2500</v>
      </c>
      <c r="F43" s="383">
        <v>3000</v>
      </c>
      <c r="G43" s="383">
        <v>3000</v>
      </c>
      <c r="H43" s="383">
        <v>2100</v>
      </c>
      <c r="I43" s="376">
        <v>1000</v>
      </c>
      <c r="J43" s="376">
        <v>1000</v>
      </c>
      <c r="K43" s="376"/>
      <c r="M43" s="383">
        <v>2010</v>
      </c>
      <c r="N43" s="383">
        <v>5800</v>
      </c>
      <c r="O43" s="383">
        <v>5800</v>
      </c>
      <c r="P43" s="383">
        <v>5800</v>
      </c>
      <c r="Q43" s="383">
        <v>5800</v>
      </c>
      <c r="R43" s="383">
        <v>2900</v>
      </c>
      <c r="S43" s="383"/>
      <c r="T43" s="383"/>
      <c r="U43" s="383"/>
      <c r="W43" s="383">
        <v>10</v>
      </c>
      <c r="X43" s="383">
        <v>20</v>
      </c>
      <c r="Y43" s="383">
        <v>100</v>
      </c>
      <c r="Z43" s="383">
        <v>100</v>
      </c>
      <c r="AA43" s="383">
        <v>100</v>
      </c>
      <c r="AB43" s="383">
        <v>70</v>
      </c>
      <c r="AC43" s="383">
        <v>50</v>
      </c>
      <c r="AD43" s="376"/>
      <c r="AE43" s="376"/>
    </row>
    <row r="44" spans="2:31" hidden="1">
      <c r="B44" s="382" t="s">
        <v>195</v>
      </c>
      <c r="C44" s="383">
        <v>7</v>
      </c>
      <c r="D44" s="383">
        <v>15</v>
      </c>
      <c r="E44" s="383">
        <v>260</v>
      </c>
      <c r="F44" s="383">
        <v>400</v>
      </c>
      <c r="G44" s="383">
        <v>400</v>
      </c>
      <c r="H44" s="383">
        <v>400</v>
      </c>
      <c r="I44" s="383">
        <v>120</v>
      </c>
      <c r="J44" s="383">
        <v>120</v>
      </c>
      <c r="K44" s="376"/>
      <c r="M44" s="383">
        <v>11</v>
      </c>
      <c r="N44" s="383">
        <v>20</v>
      </c>
      <c r="O44" s="383">
        <v>40</v>
      </c>
      <c r="P44" s="383">
        <f>N44</f>
        <v>20</v>
      </c>
      <c r="Q44" s="383">
        <f>O44</f>
        <v>40</v>
      </c>
      <c r="R44" s="383">
        <f>Q44</f>
        <v>40</v>
      </c>
      <c r="S44" s="383">
        <f>R44</f>
        <v>40</v>
      </c>
      <c r="T44" s="383">
        <f>S44</f>
        <v>40</v>
      </c>
      <c r="U44" s="383"/>
      <c r="W44" s="383">
        <v>0.5</v>
      </c>
      <c r="X44" s="383">
        <v>1</v>
      </c>
      <c r="Y44" s="383">
        <f>X44*3</f>
        <v>3</v>
      </c>
      <c r="Z44" s="383">
        <f>Y44*3</f>
        <v>9</v>
      </c>
      <c r="AA44" s="383">
        <f>Z44*3</f>
        <v>27</v>
      </c>
      <c r="AB44" s="383"/>
      <c r="AC44" s="383"/>
      <c r="AD44" s="383"/>
      <c r="AE44" s="376"/>
    </row>
    <row r="45" spans="2:31" hidden="1">
      <c r="B45" s="364" t="s">
        <v>52</v>
      </c>
      <c r="C45" s="385">
        <f t="shared" ref="C45:K45" si="1">SUM(C34:C43)</f>
        <v>9657.4564815906324</v>
      </c>
      <c r="D45" s="385">
        <f t="shared" si="1"/>
        <v>9844.5961123386405</v>
      </c>
      <c r="E45" s="385">
        <f t="shared" si="1"/>
        <v>10998.504211985783</v>
      </c>
      <c r="F45" s="385">
        <f t="shared" si="1"/>
        <v>12122.430716368604</v>
      </c>
      <c r="G45" s="385">
        <f t="shared" si="1"/>
        <v>11756.357220751426</v>
      </c>
      <c r="H45" s="385">
        <f t="shared" si="1"/>
        <v>10133.967776175657</v>
      </c>
      <c r="I45" s="385">
        <f t="shared" si="1"/>
        <v>6735</v>
      </c>
      <c r="J45" s="385">
        <f t="shared" si="1"/>
        <v>5800</v>
      </c>
      <c r="K45" s="385">
        <f t="shared" si="1"/>
        <v>3200</v>
      </c>
      <c r="M45" s="385">
        <f t="shared" ref="M45:U45" si="2">SUM(M34:M43)</f>
        <v>30156.248563559791</v>
      </c>
      <c r="N45" s="385">
        <f t="shared" si="2"/>
        <v>33946.248563559791</v>
      </c>
      <c r="O45" s="385">
        <f t="shared" si="2"/>
        <v>32011.473994491855</v>
      </c>
      <c r="P45" s="385">
        <f t="shared" si="2"/>
        <v>30895.034975758728</v>
      </c>
      <c r="Q45" s="385">
        <f t="shared" si="2"/>
        <v>29988.176931334219</v>
      </c>
      <c r="R45" s="385">
        <f t="shared" si="2"/>
        <v>19250</v>
      </c>
      <c r="S45" s="385">
        <f t="shared" si="2"/>
        <v>16350</v>
      </c>
      <c r="T45" s="385">
        <f t="shared" si="2"/>
        <v>16350</v>
      </c>
      <c r="U45" s="385">
        <f t="shared" si="2"/>
        <v>16350</v>
      </c>
      <c r="W45" s="386">
        <f t="shared" ref="W45:AE45" si="3">SUM(W34:W43)</f>
        <v>10</v>
      </c>
      <c r="X45" s="386">
        <f t="shared" si="3"/>
        <v>100</v>
      </c>
      <c r="Y45" s="386">
        <f t="shared" si="3"/>
        <v>180</v>
      </c>
      <c r="Z45" s="386">
        <f t="shared" si="3"/>
        <v>180</v>
      </c>
      <c r="AA45" s="386">
        <f t="shared" si="3"/>
        <v>180</v>
      </c>
      <c r="AB45" s="386">
        <f t="shared" si="3"/>
        <v>150</v>
      </c>
      <c r="AC45" s="386">
        <f t="shared" si="3"/>
        <v>130</v>
      </c>
      <c r="AD45" s="386">
        <f t="shared" si="3"/>
        <v>0</v>
      </c>
      <c r="AE45" s="386">
        <f t="shared" si="3"/>
        <v>0</v>
      </c>
    </row>
    <row r="46" spans="2:31" hidden="1">
      <c r="B46" s="382" t="s">
        <v>657</v>
      </c>
      <c r="C46" s="376">
        <f>2*495</f>
        <v>990</v>
      </c>
      <c r="D46" s="376">
        <f>2*495</f>
        <v>990</v>
      </c>
      <c r="E46" s="376">
        <f>2*505</f>
        <v>1010</v>
      </c>
      <c r="F46" s="376">
        <f>2*505</f>
        <v>1010</v>
      </c>
      <c r="G46" s="376">
        <f>2*505</f>
        <v>1010</v>
      </c>
      <c r="H46" s="376">
        <f>1*505</f>
        <v>505</v>
      </c>
      <c r="I46" s="376"/>
      <c r="J46" s="386"/>
      <c r="K46" s="386"/>
      <c r="M46" s="386"/>
      <c r="N46" s="386"/>
      <c r="O46" s="386"/>
      <c r="P46" s="386"/>
      <c r="Q46" s="386"/>
      <c r="R46" s="386"/>
      <c r="S46" s="386"/>
      <c r="T46" s="386"/>
      <c r="U46" s="386"/>
      <c r="W46" s="386"/>
      <c r="X46" s="386"/>
      <c r="Y46" s="386"/>
      <c r="Z46" s="386"/>
      <c r="AA46" s="386"/>
      <c r="AB46" s="386"/>
      <c r="AC46" s="386"/>
      <c r="AD46" s="386"/>
      <c r="AE46" s="386"/>
    </row>
    <row r="47" spans="2:31" hidden="1">
      <c r="B47" s="382" t="s">
        <v>658</v>
      </c>
      <c r="C47" s="376">
        <f>2*860</f>
        <v>1720</v>
      </c>
      <c r="D47" s="376">
        <f>2*880</f>
        <v>1760</v>
      </c>
      <c r="E47" s="376">
        <f>2*890</f>
        <v>1780</v>
      </c>
      <c r="F47" s="376">
        <f>2*890</f>
        <v>1780</v>
      </c>
      <c r="G47" s="376">
        <f>2*890</f>
        <v>1780</v>
      </c>
      <c r="H47" s="376">
        <f>2*890</f>
        <v>1780</v>
      </c>
      <c r="I47" s="376">
        <f>1*890</f>
        <v>890</v>
      </c>
      <c r="J47" s="386"/>
      <c r="K47" s="386"/>
      <c r="M47" s="386"/>
      <c r="N47" s="386"/>
      <c r="O47" s="386"/>
      <c r="P47" s="386"/>
      <c r="Q47" s="386"/>
      <c r="R47" s="386"/>
      <c r="S47" s="386"/>
      <c r="T47" s="386"/>
      <c r="U47" s="386"/>
      <c r="W47" s="386"/>
      <c r="X47" s="386"/>
      <c r="Y47" s="386"/>
      <c r="Z47" s="386"/>
      <c r="AA47" s="386"/>
      <c r="AB47" s="386"/>
      <c r="AC47" s="386"/>
      <c r="AD47" s="386"/>
      <c r="AE47" s="386"/>
    </row>
    <row r="48" spans="2:31" hidden="1">
      <c r="C48" s="386"/>
      <c r="D48" s="386"/>
      <c r="E48" s="386"/>
      <c r="F48" s="386"/>
      <c r="G48" s="386"/>
      <c r="H48" s="386"/>
      <c r="I48" s="386"/>
      <c r="J48" s="386"/>
      <c r="K48" s="386"/>
      <c r="M48" s="386"/>
      <c r="N48" s="386"/>
      <c r="O48" s="386"/>
      <c r="P48" s="386"/>
      <c r="Q48" s="386"/>
      <c r="R48" s="386"/>
      <c r="S48" s="386"/>
      <c r="T48" s="386"/>
      <c r="U48" s="386"/>
      <c r="W48" s="386"/>
      <c r="X48" s="386"/>
      <c r="Y48" s="386"/>
      <c r="Z48" s="386"/>
      <c r="AA48" s="386"/>
      <c r="AB48" s="386"/>
      <c r="AC48" s="386"/>
      <c r="AD48" s="386"/>
      <c r="AE48" s="386"/>
    </row>
    <row r="49" spans="1:31" hidden="1">
      <c r="B49" s="364" t="s">
        <v>352</v>
      </c>
      <c r="D49" s="387">
        <v>1</v>
      </c>
      <c r="E49" s="387">
        <v>2</v>
      </c>
      <c r="F49" s="387">
        <v>3</v>
      </c>
      <c r="G49" s="387">
        <v>4</v>
      </c>
      <c r="H49" s="388"/>
      <c r="N49" s="387">
        <v>1</v>
      </c>
      <c r="O49" s="387">
        <v>2</v>
      </c>
      <c r="P49" s="387">
        <v>3</v>
      </c>
      <c r="Q49" s="387">
        <v>4</v>
      </c>
      <c r="R49" s="388"/>
      <c r="X49" s="387">
        <v>1</v>
      </c>
      <c r="Y49" s="387">
        <v>2</v>
      </c>
      <c r="Z49" s="387">
        <v>3</v>
      </c>
      <c r="AA49" s="387">
        <v>4</v>
      </c>
      <c r="AB49" s="388"/>
    </row>
    <row r="50" spans="1:31" hidden="1">
      <c r="B50" s="364" t="s">
        <v>259</v>
      </c>
      <c r="D50" s="389">
        <v>0.44</v>
      </c>
      <c r="E50" s="390">
        <v>0.35</v>
      </c>
      <c r="F50" s="390">
        <v>0.41</v>
      </c>
      <c r="G50" s="391">
        <v>0.37</v>
      </c>
      <c r="N50" s="389">
        <v>0.47246836982896318</v>
      </c>
      <c r="O50" s="390">
        <v>0.47246836982896318</v>
      </c>
      <c r="P50" s="390">
        <v>0.47246836982896318</v>
      </c>
      <c r="Q50" s="391">
        <v>0.47246836982896318</v>
      </c>
      <c r="X50" s="389">
        <v>0.65</v>
      </c>
      <c r="Y50" s="390">
        <v>0.47246836982896318</v>
      </c>
      <c r="Z50" s="390">
        <v>0.47246836982896318</v>
      </c>
      <c r="AA50" s="391">
        <v>0.47246836982896318</v>
      </c>
    </row>
    <row r="51" spans="1:31" hidden="1">
      <c r="B51" s="364" t="s">
        <v>384</v>
      </c>
      <c r="D51" s="392">
        <v>0.42899999999999999</v>
      </c>
      <c r="E51" s="393">
        <v>0.4</v>
      </c>
      <c r="F51" s="393">
        <v>0.44</v>
      </c>
      <c r="G51" s="394">
        <v>0.3</v>
      </c>
      <c r="N51" s="392">
        <v>0.35</v>
      </c>
      <c r="O51" s="393">
        <v>0.2</v>
      </c>
      <c r="P51" s="393">
        <v>0.35</v>
      </c>
      <c r="Q51" s="394">
        <v>0.25</v>
      </c>
      <c r="X51" s="392">
        <v>0.33</v>
      </c>
      <c r="Y51" s="390">
        <f t="array" ref="Y51:AA51">O51:Q51/N51*X51</f>
        <v>0.18857142857142861</v>
      </c>
      <c r="Z51" s="390">
        <v>0.33</v>
      </c>
      <c r="AA51" s="391">
        <v>0.23571428571428574</v>
      </c>
    </row>
    <row r="52" spans="1:31" hidden="1">
      <c r="A52" s="388" t="s">
        <v>258</v>
      </c>
      <c r="B52" s="382" t="s">
        <v>254</v>
      </c>
      <c r="D52" s="395">
        <f t="array" aca="1" ref="D52:G56" ca="1">1/(1/((1-D51:G51)*IF(IEAData!$G90:$G94&gt;0,IEAData!$G90:$G94/MMULT(IEAData!$I90:$I94*TRANSPOSE(C6:G9),TRANSPOSE(1-D51:G51)),1))-1)</f>
        <v>6.3093958198806011</v>
      </c>
      <c r="E52" s="396">
        <f ca="1"/>
        <v>9.7561056493934473</v>
      </c>
      <c r="F52" s="396">
        <f ca="1"/>
        <v>5.5172441508325454</v>
      </c>
      <c r="G52" s="397">
        <f ca="1"/>
        <v>-18.181794102831532</v>
      </c>
      <c r="N52" s="395">
        <f t="array" aca="1" ref="N52:Q56" ca="1">1/(1/((1-N51:Q51)*IF(IEAData!$G90:$G94&gt;0,IEAData!$G90:$G94/MMULT(IEAData!$I90:$I94*TRANSPOSE(M6:Q9),TRANSPOSE(1-N51:Q51)),1))-1)</f>
        <v>11.835832108297048</v>
      </c>
      <c r="O52" s="396">
        <f ca="1"/>
        <v>-8.4137884995819761</v>
      </c>
      <c r="P52" s="396">
        <f ca="1"/>
        <v>11.835832108297048</v>
      </c>
      <c r="Q52" s="397">
        <f ca="1"/>
        <v>-16.636344437111418</v>
      </c>
      <c r="X52" s="395">
        <f t="array" aca="1" ref="X52:AA56" ca="1">1/(1/((1-X51:AA51)*IF(IEAData!$F90:$F94&gt;0,IEAData!$G90:$G94/MMULT(IEAData!$I90:$I94*TRANSPOSE(W6:AA9),TRANSPOSE(1-X51:AA51)),1))-1)</f>
        <v>11.835832108297048</v>
      </c>
      <c r="Y52" s="396">
        <f ca="1"/>
        <v>-9.5663859319464581</v>
      </c>
      <c r="Z52" s="396">
        <f ca="1"/>
        <v>11.835832108297048</v>
      </c>
      <c r="AA52" s="397">
        <f ca="1"/>
        <v>-20.284695010667765</v>
      </c>
    </row>
    <row r="53" spans="1:31" hidden="1">
      <c r="B53" s="382" t="s">
        <v>255</v>
      </c>
      <c r="D53" s="398">
        <f ca="1"/>
        <v>1.5102606658028332</v>
      </c>
      <c r="E53" s="399">
        <f ca="1"/>
        <v>1.7188016017011873</v>
      </c>
      <c r="F53" s="399">
        <f ca="1"/>
        <v>1.4392911045351555</v>
      </c>
      <c r="G53" s="400">
        <f ca="1"/>
        <v>2.8103372216268272</v>
      </c>
      <c r="N53" s="398">
        <f ca="1"/>
        <v>1.4390485743595065</v>
      </c>
      <c r="O53" s="399">
        <f ca="1"/>
        <v>2.651752114618648</v>
      </c>
      <c r="P53" s="399">
        <f ca="1"/>
        <v>1.4390485743595065</v>
      </c>
      <c r="Q53" s="400">
        <f ca="1"/>
        <v>2.1325761502108058</v>
      </c>
      <c r="X53" s="398">
        <f ca="1"/>
        <v>1.570123813137412</v>
      </c>
      <c r="Y53" s="399">
        <f ca="1"/>
        <v>2.8442299614520521</v>
      </c>
      <c r="Z53" s="399">
        <f ca="1"/>
        <v>1.570123813137412</v>
      </c>
      <c r="AA53" s="400">
        <f ca="1"/>
        <v>2.2990722734733766</v>
      </c>
    </row>
    <row r="54" spans="1:31" hidden="1">
      <c r="B54" s="382" t="s">
        <v>256</v>
      </c>
      <c r="D54" s="398">
        <f ca="1"/>
        <v>1.8048204398270575</v>
      </c>
      <c r="E54" s="399">
        <f ca="1"/>
        <v>2.087864557121645</v>
      </c>
      <c r="F54" s="399">
        <f ca="1"/>
        <v>1.7105767488963923</v>
      </c>
      <c r="G54" s="400">
        <f ca="1"/>
        <v>3.735824618868127</v>
      </c>
      <c r="N54" s="398">
        <f ca="1"/>
        <v>1.6466127263800772</v>
      </c>
      <c r="O54" s="399">
        <f ca="1"/>
        <v>3.2686445021361816</v>
      </c>
      <c r="P54" s="399">
        <f ca="1"/>
        <v>1.6466127263800772</v>
      </c>
      <c r="Q54" s="400">
        <f ca="1"/>
        <v>2.5445312215193514</v>
      </c>
      <c r="X54" s="398">
        <f ca="1"/>
        <v>1.8157662351639774</v>
      </c>
      <c r="Y54" s="399">
        <f ca="1"/>
        <v>3.5657525875602154</v>
      </c>
      <c r="Z54" s="399">
        <f ca="1"/>
        <v>1.8157662351639774</v>
      </c>
      <c r="AA54" s="400">
        <f ca="1"/>
        <v>2.782210235719472</v>
      </c>
    </row>
    <row r="55" spans="1:31" hidden="1">
      <c r="B55" s="382" t="s">
        <v>347</v>
      </c>
      <c r="D55" s="398">
        <f ca="1"/>
        <v>2.0512260789412031</v>
      </c>
      <c r="E55" s="399">
        <f ca="1"/>
        <v>2.4060623556131362</v>
      </c>
      <c r="F55" s="399">
        <f ca="1"/>
        <v>1.9352379814795493</v>
      </c>
      <c r="G55" s="400">
        <f ca="1"/>
        <v>4.6863463297970833</v>
      </c>
      <c r="N55" s="398">
        <f ca="1"/>
        <v>2.0979524197539368</v>
      </c>
      <c r="O55" s="399">
        <f ca="1"/>
        <v>5.0054465008849505</v>
      </c>
      <c r="P55" s="399">
        <f ca="1"/>
        <v>2.0979524197539368</v>
      </c>
      <c r="Q55" s="400">
        <f ca="1"/>
        <v>3.5743918849861656</v>
      </c>
      <c r="X55" s="398">
        <f ca="1"/>
        <v>2.3299622827416808</v>
      </c>
      <c r="Y55" s="399">
        <f ca="1"/>
        <v>5.5527958813823064</v>
      </c>
      <c r="Z55" s="399">
        <f ca="1"/>
        <v>2.3299622827416808</v>
      </c>
      <c r="AA55" s="400">
        <f ca="1"/>
        <v>3.9544444429726204</v>
      </c>
    </row>
    <row r="56" spans="1:31" hidden="1">
      <c r="B56" s="382" t="s">
        <v>257</v>
      </c>
      <c r="D56" s="401">
        <f ca="1"/>
        <v>1.9879315563405366</v>
      </c>
      <c r="E56" s="402">
        <f ca="1"/>
        <v>2.3234809953591</v>
      </c>
      <c r="F56" s="402">
        <f ca="1"/>
        <v>1.8777250336547116</v>
      </c>
      <c r="G56" s="403">
        <f ca="1"/>
        <v>4.4238495563284337</v>
      </c>
      <c r="H56" s="388" t="s">
        <v>321</v>
      </c>
      <c r="N56" s="401">
        <f ca="1"/>
        <v>1.9925586969638132</v>
      </c>
      <c r="O56" s="402">
        <f ca="1"/>
        <v>4.5399414159846296</v>
      </c>
      <c r="P56" s="402">
        <f ca="1"/>
        <v>1.9925586969638132</v>
      </c>
      <c r="Q56" s="403">
        <f ca="1"/>
        <v>3.3154486597889323</v>
      </c>
      <c r="R56" s="388" t="s">
        <v>321</v>
      </c>
      <c r="X56" s="401">
        <f ca="1"/>
        <v>2.4042737339027624</v>
      </c>
      <c r="Y56" s="402">
        <f ca="1"/>
        <v>5.9123985074919272</v>
      </c>
      <c r="Z56" s="402">
        <f ca="1"/>
        <v>2.4042737339027624</v>
      </c>
      <c r="AA56" s="403">
        <f ca="1"/>
        <v>4.1450599804901493</v>
      </c>
      <c r="AB56" s="388" t="s">
        <v>321</v>
      </c>
    </row>
    <row r="57" spans="1:31" hidden="1">
      <c r="B57" s="364" t="s">
        <v>377</v>
      </c>
      <c r="D57" s="404">
        <f t="array" aca="1" ref="D57:G57" ca="1">TRANSPOSE(MMULT(C6:G9/TRANSPOSE(1+1/D52:G56),IEAData!$C90:$C94*IEAData!$H90:$H94))/D50:G50/$B2*1000</f>
        <v>1372.7454923735108</v>
      </c>
      <c r="E57" s="405">
        <f ca="1"/>
        <v>853.2842242432157</v>
      </c>
      <c r="F57" s="405">
        <f ca="1"/>
        <v>1912.9635563655886</v>
      </c>
      <c r="G57" s="406">
        <f ca="1"/>
        <v>1037.5668454839158</v>
      </c>
      <c r="H57" s="407">
        <f>SUM(D57:G57)</f>
        <v>5176.560118466231</v>
      </c>
      <c r="N57" s="404">
        <f t="array" aca="1" ref="N57:Q57" ca="1">TRANSPOSE(MMULT(M6:Q9/TRANSPOSE(1+1/N52:Q56),IEAData!$C90:$C94*IEAData!$H90:$H94))/N50:Q50/$B2*1000</f>
        <v>1346.0430373943827</v>
      </c>
      <c r="O57" s="405">
        <f ca="1"/>
        <v>293.81461577675464</v>
      </c>
      <c r="P57" s="405">
        <f ca="1"/>
        <v>1826.8537524975775</v>
      </c>
      <c r="Q57" s="406">
        <f ca="1"/>
        <v>916.3804970084542</v>
      </c>
      <c r="R57" s="407">
        <f>SUM(N57:Q57)</f>
        <v>4383.0919026771689</v>
      </c>
      <c r="X57" s="404">
        <f t="array" aca="1" ref="X57:AA57" ca="1">TRANSPOSE(MMULT(W6:AA9/TRANSPOSE(1+1/X52:AA56),IEAData!$C90:$C94*IEAData!$H90:$H94))/X50:AA50/$B2*1000</f>
        <v>3185.9573631821709</v>
      </c>
      <c r="Y57" s="405">
        <f ca="1"/>
        <v>0</v>
      </c>
      <c r="Z57" s="405">
        <f ca="1"/>
        <v>0</v>
      </c>
      <c r="AA57" s="406">
        <f ca="1"/>
        <v>0</v>
      </c>
      <c r="AB57" s="407">
        <f>SUM(X57:AA57)</f>
        <v>3185.9573631821709</v>
      </c>
    </row>
    <row r="58" spans="1:31" hidden="1">
      <c r="D58" s="408">
        <f t="array" aca="1" ref="D58" ca="1">SUM(OFFSET($D$76,D49*4-3,0,4)*D53:D56/(1+D53:D56))</f>
        <v>1094.0038526437656</v>
      </c>
      <c r="E58" s="408">
        <f t="array" aca="1" ref="E58" ca="1">SUM(OFFSET($D$76,E49*4-3,0,4)*E53:E56/(1+E53:E56))</f>
        <v>890.22729095176055</v>
      </c>
      <c r="F58" s="408">
        <f t="array" aca="1" ref="F58" ca="1">SUM(OFFSET($D$76,F49*4-3,0,4)*F53:F56/(1+F53:F56))</f>
        <v>2044.289946376613</v>
      </c>
      <c r="G58" s="408">
        <f t="array" aca="1" ref="G58" ca="1">SUM(OFFSET($D$76,G49*4-3,0,4)*G53:G56/(1+G53:G56))</f>
        <v>1648.2068394677842</v>
      </c>
      <c r="H58" s="407">
        <f ca="1">SUM(D58:G58)</f>
        <v>5676.7279294399232</v>
      </c>
      <c r="AE58" s="364" t="s">
        <v>385</v>
      </c>
    </row>
    <row r="59" spans="1:31" hidden="1">
      <c r="K59" s="364" t="s">
        <v>385</v>
      </c>
      <c r="U59" s="364" t="s">
        <v>385</v>
      </c>
    </row>
    <row r="60" spans="1:31" hidden="1">
      <c r="B60" s="364" t="s">
        <v>352</v>
      </c>
      <c r="D60" s="409">
        <v>1</v>
      </c>
      <c r="E60" s="409">
        <v>2</v>
      </c>
      <c r="F60" s="409">
        <v>3</v>
      </c>
      <c r="G60" s="409">
        <v>4</v>
      </c>
      <c r="H60" s="410" t="s">
        <v>377</v>
      </c>
      <c r="I60" s="410" t="s">
        <v>378</v>
      </c>
      <c r="J60" s="411" t="s">
        <v>379</v>
      </c>
      <c r="K60" s="410" t="s">
        <v>375</v>
      </c>
      <c r="N60" s="409">
        <v>1</v>
      </c>
      <c r="O60" s="409">
        <v>2</v>
      </c>
      <c r="P60" s="409">
        <v>3</v>
      </c>
      <c r="Q60" s="409">
        <v>4</v>
      </c>
      <c r="R60" s="410" t="s">
        <v>377</v>
      </c>
      <c r="S60" s="410" t="s">
        <v>378</v>
      </c>
      <c r="T60" s="411" t="s">
        <v>379</v>
      </c>
      <c r="U60" s="410" t="s">
        <v>375</v>
      </c>
      <c r="X60" s="409">
        <v>1</v>
      </c>
      <c r="Y60" s="409">
        <v>2</v>
      </c>
      <c r="Z60" s="409">
        <v>3</v>
      </c>
      <c r="AA60" s="409">
        <v>4</v>
      </c>
      <c r="AB60" s="410" t="s">
        <v>377</v>
      </c>
      <c r="AC60" s="410" t="s">
        <v>378</v>
      </c>
      <c r="AD60" s="411" t="s">
        <v>379</v>
      </c>
      <c r="AE60" s="410" t="s">
        <v>375</v>
      </c>
    </row>
    <row r="61" spans="1:31" hidden="1">
      <c r="A61" s="388" t="s">
        <v>386</v>
      </c>
      <c r="B61" s="382" t="s">
        <v>254</v>
      </c>
      <c r="D61" s="412">
        <f t="array" aca="1" ref="D61:G65" ca="1">TRANSPOSE(C6:G9)*IEAData!$I$90:$I$94*D52:G56/(D52:G56+1)*J61:J65*J5</f>
        <v>0.28654088337928002</v>
      </c>
      <c r="E61" s="412">
        <f ca="1"/>
        <v>0.12055171651190877</v>
      </c>
      <c r="F61" s="412">
        <f ca="1"/>
        <v>0.52168844628743061</v>
      </c>
      <c r="G61" s="412">
        <f ca="1"/>
        <v>0.52947084290288282</v>
      </c>
      <c r="H61" s="386">
        <f>IF(J$5,SUMPRODUCT(D61:G61/D$66:G$66,D$57:G$57))</f>
        <v>110.61740110879992</v>
      </c>
      <c r="I61" s="386">
        <f>IF(J$5,SUMPRODUCT(D61:G61/D$66:G$66,D$57:G$57/D52:G52))</f>
        <v>7.9196926069645954</v>
      </c>
      <c r="J61" s="413">
        <v>9</v>
      </c>
      <c r="K61" s="414">
        <v>115</v>
      </c>
      <c r="M61" s="415"/>
      <c r="N61" s="412">
        <f t="array" aca="1" ref="N61:Q65" ca="1">TRANSPOSE(M6:Q9)*IEAData!$I$90:$I$94*N52:Q56/(N52:Q56+1)*T61:T65*T5</f>
        <v>0</v>
      </c>
      <c r="O61" s="412">
        <f ca="1"/>
        <v>0</v>
      </c>
      <c r="P61" s="412">
        <f ca="1"/>
        <v>0</v>
      </c>
      <c r="Q61" s="412">
        <f ca="1"/>
        <v>0</v>
      </c>
      <c r="R61" s="386" t="b">
        <f>IF(T$5,SUMPRODUCT(N61:Q61/N$66:Q$66,N$57:Q$57))</f>
        <v>0</v>
      </c>
      <c r="S61" s="386" t="b">
        <f>IF(T$5,SUMPRODUCT(N61:Q61/N$66:Q$66,N$57:Q$57/N52:Q52))</f>
        <v>0</v>
      </c>
      <c r="T61" s="416">
        <v>3</v>
      </c>
      <c r="U61" s="417"/>
      <c r="X61" s="412">
        <f t="array" aca="1" ref="X61:AA65" ca="1">TRANSPOSE(W6:AA9)*IEAData!$I$90:$I$94*X52:AA56/(X52:AA56+1)*AD61:AD65*AD5</f>
        <v>0</v>
      </c>
      <c r="Y61" s="412">
        <f ca="1"/>
        <v>0</v>
      </c>
      <c r="Z61" s="412">
        <f ca="1"/>
        <v>0</v>
      </c>
      <c r="AA61" s="412">
        <f ca="1"/>
        <v>0</v>
      </c>
      <c r="AB61" s="386" t="b">
        <f ca="1">IF(AD$5,SUMPRODUCT(X61:AA61/(X$66:AA$66+Tiny),X$57:AA$57))</f>
        <v>0</v>
      </c>
      <c r="AC61" s="386" t="b">
        <f ca="1">IF(AD$5,SUMPRODUCT(X61:AA61/(X$66:AA$66+Tiny),X$57:AA$57/X52:AA52))</f>
        <v>0</v>
      </c>
      <c r="AD61" s="416">
        <v>1.7</v>
      </c>
      <c r="AE61" s="414">
        <v>135</v>
      </c>
    </row>
    <row r="62" spans="1:31" hidden="1">
      <c r="B62" s="382" t="s">
        <v>255</v>
      </c>
      <c r="D62" s="412">
        <f ca="1"/>
        <v>14.782813421393531</v>
      </c>
      <c r="E62" s="412">
        <f ca="1"/>
        <v>6.6224123890422568</v>
      </c>
      <c r="F62" s="412">
        <f ca="1"/>
        <v>0</v>
      </c>
      <c r="G62" s="412">
        <f ca="1"/>
        <v>2.9710509050665503E-2</v>
      </c>
      <c r="H62" s="386">
        <f>IF(J$5,SUMPRODUCT(D62:G62/D$66:G$66,D$57:G$57))</f>
        <v>1224.5284450484701</v>
      </c>
      <c r="I62" s="386">
        <f>IF(J$5,SUMPRODUCT(D62:G62/D$66:G$66,D$57:G$57/D53:G53))</f>
        <v>771.27822220386065</v>
      </c>
      <c r="J62" s="413">
        <v>2.2000000000000002</v>
      </c>
      <c r="K62" s="418">
        <v>782.6</v>
      </c>
      <c r="M62" s="415"/>
      <c r="N62" s="412">
        <f ca="1"/>
        <v>0</v>
      </c>
      <c r="O62" s="412">
        <f ca="1"/>
        <v>0</v>
      </c>
      <c r="P62" s="412">
        <f ca="1"/>
        <v>0</v>
      </c>
      <c r="Q62" s="412">
        <f ca="1"/>
        <v>0</v>
      </c>
      <c r="R62" s="386" t="b">
        <f>IF(T$5,SUMPRODUCT(N62:Q62/N$66:Q$66,N$57:Q$57))</f>
        <v>0</v>
      </c>
      <c r="S62" s="386" t="b">
        <f>IF(T$5,SUMPRODUCT(N62:Q62/N$66:Q$66,N$57:Q$57/N53:Q53))</f>
        <v>0</v>
      </c>
      <c r="T62" s="416">
        <v>1</v>
      </c>
      <c r="U62" s="417"/>
      <c r="X62" s="412">
        <f ca="1"/>
        <v>0</v>
      </c>
      <c r="Y62" s="412">
        <f ca="1"/>
        <v>0</v>
      </c>
      <c r="Z62" s="412">
        <f ca="1"/>
        <v>0</v>
      </c>
      <c r="AA62" s="412">
        <f ca="1"/>
        <v>0</v>
      </c>
      <c r="AB62" s="386" t="b">
        <f ca="1">IF(AD$5,SUMPRODUCT(X62:AA62/(X$66:AA$66+Tiny),X$57:AA$57))</f>
        <v>0</v>
      </c>
      <c r="AC62" s="386" t="b">
        <f ca="1">IF(AD$5,SUMPRODUCT(X62:AA62/(X$66:AA$66+Tiny),X$57:AA$57/X53:AA53))</f>
        <v>0</v>
      </c>
      <c r="AD62" s="416">
        <v>0.83</v>
      </c>
      <c r="AE62" s="418">
        <v>1085.4000000000001</v>
      </c>
    </row>
    <row r="63" spans="1:31" hidden="1">
      <c r="B63" s="382" t="s">
        <v>256</v>
      </c>
      <c r="D63" s="412">
        <f ca="1"/>
        <v>9.9093464606054216</v>
      </c>
      <c r="E63" s="412">
        <f ca="1"/>
        <v>2.0685973567690939E-2</v>
      </c>
      <c r="F63" s="412">
        <f ca="1"/>
        <v>2.9285895878135006</v>
      </c>
      <c r="G63" s="412">
        <f ca="1"/>
        <v>0.46208283750295892</v>
      </c>
      <c r="H63" s="386">
        <f>IF(J$5,SUMPRODUCT(D63:G63/D$66:G$66,D$57:G$57))</f>
        <v>765.70631992054678</v>
      </c>
      <c r="I63" s="386">
        <f>IF(J$5,SUMPRODUCT(D63:G63/D$66:G$66,D$57:G$57/D54:G54))</f>
        <v>419.32096952942572</v>
      </c>
      <c r="J63" s="413">
        <v>1</v>
      </c>
      <c r="K63" s="418">
        <v>480</v>
      </c>
      <c r="M63" s="415"/>
      <c r="N63" s="412">
        <f ca="1"/>
        <v>0</v>
      </c>
      <c r="O63" s="412">
        <f ca="1"/>
        <v>0</v>
      </c>
      <c r="P63" s="412">
        <f ca="1"/>
        <v>0</v>
      </c>
      <c r="Q63" s="412">
        <f ca="1"/>
        <v>0</v>
      </c>
      <c r="R63" s="386" t="b">
        <f>IF(T$5,SUMPRODUCT(N63:Q63/N$66:Q$66,N$57:Q$57))</f>
        <v>0</v>
      </c>
      <c r="S63" s="386" t="b">
        <f>IF(T$5,SUMPRODUCT(N63:Q63/N$66:Q$66,N$57:Q$57/N54:Q54))</f>
        <v>0</v>
      </c>
      <c r="T63" s="416">
        <v>1</v>
      </c>
      <c r="U63" s="417"/>
      <c r="X63" s="412">
        <f ca="1"/>
        <v>0</v>
      </c>
      <c r="Y63" s="412">
        <f ca="1"/>
        <v>0</v>
      </c>
      <c r="Z63" s="412">
        <f ca="1"/>
        <v>0</v>
      </c>
      <c r="AA63" s="412">
        <f ca="1"/>
        <v>0</v>
      </c>
      <c r="AB63" s="386" t="b">
        <f ca="1">IF(AD$5,SUMPRODUCT(X63:AA63/(X$66:AA$66+Tiny),X$57:AA$57))</f>
        <v>0</v>
      </c>
      <c r="AC63" s="386" t="b">
        <f ca="1">IF(AD$5,SUMPRODUCT(X63:AA63/(X$66:AA$66+Tiny),X$57:AA$57/X54:AA54))</f>
        <v>0</v>
      </c>
      <c r="AD63" s="419">
        <v>1.3</v>
      </c>
      <c r="AE63" s="418">
        <v>463</v>
      </c>
    </row>
    <row r="64" spans="1:31" hidden="1">
      <c r="B64" s="382" t="s">
        <v>347</v>
      </c>
      <c r="D64" s="412">
        <f ca="1"/>
        <v>2.0154098969187619</v>
      </c>
      <c r="E64" s="412">
        <f ca="1"/>
        <v>1.5331880801315658</v>
      </c>
      <c r="F64" s="412">
        <f ca="1"/>
        <v>15.718127078197874</v>
      </c>
      <c r="G64" s="412">
        <f ca="1"/>
        <v>6.8242306586396753</v>
      </c>
      <c r="H64" s="386">
        <f>IF(J$5,SUMPRODUCT(D64:G64/D$66:G$66,D$57:G$57))</f>
        <v>2037.8878572529391</v>
      </c>
      <c r="I64" s="386">
        <f>IF(J$5,SUMPRODUCT(D64:G64/D$66:G$66,D$57:G$57/D55:G55))</f>
        <v>854.90995667245011</v>
      </c>
      <c r="J64" s="413">
        <v>1.1499999999999999</v>
      </c>
      <c r="K64" s="418">
        <v>849</v>
      </c>
      <c r="M64" s="415"/>
      <c r="N64" s="412">
        <f ca="1"/>
        <v>0</v>
      </c>
      <c r="O64" s="412">
        <f ca="1"/>
        <v>0</v>
      </c>
      <c r="P64" s="412">
        <f ca="1"/>
        <v>0</v>
      </c>
      <c r="Q64" s="412">
        <f ca="1"/>
        <v>0</v>
      </c>
      <c r="R64" s="386" t="b">
        <f>IF(T$5,SUMPRODUCT(N64:Q64/N$66:Q$66,N$57:Q$57))</f>
        <v>0</v>
      </c>
      <c r="S64" s="386" t="b">
        <f>IF(T$5,SUMPRODUCT(N64:Q64/N$66:Q$66,N$57:Q$57/N55:Q55))</f>
        <v>0</v>
      </c>
      <c r="T64" s="416">
        <v>1</v>
      </c>
      <c r="U64" s="417"/>
      <c r="X64" s="412">
        <f ca="1"/>
        <v>0</v>
      </c>
      <c r="Y64" s="412">
        <f ca="1"/>
        <v>0</v>
      </c>
      <c r="Z64" s="412">
        <f ca="1"/>
        <v>0</v>
      </c>
      <c r="AA64" s="412">
        <f ca="1"/>
        <v>0</v>
      </c>
      <c r="AB64" s="386" t="b">
        <f ca="1">IF(AD$5,SUMPRODUCT(X64:AA64/(X$66:AA$66+Tiny),X$57:AA$57))</f>
        <v>0</v>
      </c>
      <c r="AC64" s="386" t="b">
        <f ca="1">IF(AD$5,SUMPRODUCT(X64:AA64/(X$66:AA$66+Tiny),X$57:AA$57/X55:AA55))</f>
        <v>0</v>
      </c>
      <c r="AD64" s="416">
        <v>1</v>
      </c>
      <c r="AE64" s="418">
        <v>0</v>
      </c>
    </row>
    <row r="65" spans="1:31" hidden="1">
      <c r="B65" s="382" t="s">
        <v>257</v>
      </c>
      <c r="D65" s="412">
        <f ca="1"/>
        <v>0.43167860988492485</v>
      </c>
      <c r="E65" s="412">
        <f ca="1"/>
        <v>3.4276997109235432</v>
      </c>
      <c r="F65" s="412">
        <f ca="1"/>
        <v>5.4941743162157124</v>
      </c>
      <c r="G65" s="412">
        <f ca="1"/>
        <v>3.8339288421961277</v>
      </c>
      <c r="H65" s="386">
        <f>IF(J$5,SUMPRODUCT(D65:G65/D$66:G$66,D$57:G$57))</f>
        <v>1037.820095135475</v>
      </c>
      <c r="I65" s="386">
        <f>IF(J$5,SUMPRODUCT(D65:G65/D$66:G$66,D$57:G$57/D56:G56))</f>
        <v>422.17887180857741</v>
      </c>
      <c r="J65" s="413">
        <v>0.68</v>
      </c>
      <c r="K65" s="420">
        <v>353</v>
      </c>
      <c r="M65" s="415"/>
      <c r="N65" s="412">
        <f ca="1"/>
        <v>0</v>
      </c>
      <c r="O65" s="412">
        <f ca="1"/>
        <v>0</v>
      </c>
      <c r="P65" s="412">
        <f ca="1"/>
        <v>0</v>
      </c>
      <c r="Q65" s="412">
        <f ca="1"/>
        <v>0</v>
      </c>
      <c r="R65" s="386" t="b">
        <f>IF(T$5,SUMPRODUCT(N65:Q65/N$66:Q$66,N$57:Q$57))</f>
        <v>0</v>
      </c>
      <c r="S65" s="386" t="b">
        <f>IF(T$5,SUMPRODUCT(N65:Q65/N$66:Q$66,N$57:Q$57/N56:Q56))</f>
        <v>0</v>
      </c>
      <c r="T65" s="416">
        <v>0.9</v>
      </c>
      <c r="U65" s="417"/>
      <c r="X65" s="412">
        <f ca="1"/>
        <v>0</v>
      </c>
      <c r="Y65" s="412">
        <f ca="1"/>
        <v>0</v>
      </c>
      <c r="Z65" s="412">
        <f ca="1"/>
        <v>0</v>
      </c>
      <c r="AA65" s="412">
        <f ca="1"/>
        <v>0</v>
      </c>
      <c r="AB65" s="386" t="b">
        <f ca="1">IF(AD$5,SUMPRODUCT(X65:AA65/(X$66:AA$66+Tiny),X$57:AA$57))</f>
        <v>0</v>
      </c>
      <c r="AC65" s="386" t="b">
        <f ca="1">IF(AD$5,SUMPRODUCT(X65:AA65/(X$66:AA$66+Tiny),X$57:AA$57/X56:AA56))</f>
        <v>0</v>
      </c>
      <c r="AD65" s="416">
        <v>4</v>
      </c>
      <c r="AE65" s="420">
        <v>20</v>
      </c>
    </row>
    <row r="66" spans="1:31" hidden="1">
      <c r="B66" s="364" t="s">
        <v>52</v>
      </c>
      <c r="D66" s="421">
        <f t="shared" ref="D66:I66" si="4">SUM(D61:D65)</f>
        <v>27.42578927218192</v>
      </c>
      <c r="E66" s="421">
        <f t="shared" si="4"/>
        <v>11.724537870176965</v>
      </c>
      <c r="F66" s="421">
        <f t="shared" si="4"/>
        <v>24.662579428514519</v>
      </c>
      <c r="G66" s="421">
        <f t="shared" si="4"/>
        <v>11.67942369029231</v>
      </c>
      <c r="H66" s="385">
        <f t="shared" si="4"/>
        <v>5176.560118466231</v>
      </c>
      <c r="I66" s="385">
        <f t="shared" si="4"/>
        <v>2475.6077128212783</v>
      </c>
      <c r="J66" s="422"/>
      <c r="K66" s="423">
        <f>SUM(K61:K65)</f>
        <v>2579.6</v>
      </c>
      <c r="N66" s="421">
        <f t="shared" ref="N66:S66" si="5">SUM(N61:N65)</f>
        <v>0</v>
      </c>
      <c r="O66" s="421">
        <f t="shared" si="5"/>
        <v>0</v>
      </c>
      <c r="P66" s="421">
        <f t="shared" si="5"/>
        <v>0</v>
      </c>
      <c r="Q66" s="421">
        <f t="shared" si="5"/>
        <v>0</v>
      </c>
      <c r="R66" s="385">
        <f t="shared" si="5"/>
        <v>0</v>
      </c>
      <c r="S66" s="385">
        <f t="shared" si="5"/>
        <v>0</v>
      </c>
      <c r="T66" s="422"/>
      <c r="U66" s="385">
        <f>SUM(U61:U65)</f>
        <v>0</v>
      </c>
      <c r="X66" s="421">
        <f t="shared" ref="X66:AC66" si="6">SUM(X61:X65)</f>
        <v>0</v>
      </c>
      <c r="Y66" s="421">
        <f t="shared" si="6"/>
        <v>0</v>
      </c>
      <c r="Z66" s="421">
        <f t="shared" si="6"/>
        <v>0</v>
      </c>
      <c r="AA66" s="421">
        <f t="shared" si="6"/>
        <v>0</v>
      </c>
      <c r="AB66" s="385">
        <f t="shared" si="6"/>
        <v>0</v>
      </c>
      <c r="AC66" s="385">
        <f t="shared" si="6"/>
        <v>0</v>
      </c>
      <c r="AD66" s="422"/>
      <c r="AE66" s="385">
        <f>SUM(AE61:AE65)</f>
        <v>1703.4</v>
      </c>
    </row>
    <row r="67" spans="1:31" hidden="1">
      <c r="D67" s="415"/>
      <c r="E67" s="415"/>
      <c r="F67" s="415"/>
      <c r="G67" s="415"/>
      <c r="N67" s="415"/>
      <c r="O67" s="415"/>
      <c r="P67" s="415"/>
      <c r="Q67" s="415"/>
      <c r="X67" s="415"/>
      <c r="Y67" s="415"/>
      <c r="Z67" s="415"/>
      <c r="AA67" s="415"/>
    </row>
    <row r="68" spans="1:31" hidden="1">
      <c r="B68" s="364" t="s">
        <v>352</v>
      </c>
      <c r="D68" s="387">
        <v>1</v>
      </c>
      <c r="E68" s="387">
        <v>2</v>
      </c>
      <c r="F68" s="387">
        <v>3</v>
      </c>
      <c r="G68" s="387">
        <v>4</v>
      </c>
      <c r="N68" s="387">
        <v>1</v>
      </c>
      <c r="O68" s="387">
        <v>2</v>
      </c>
      <c r="P68" s="387">
        <v>3</v>
      </c>
      <c r="Q68" s="387">
        <v>4</v>
      </c>
      <c r="X68" s="387">
        <v>1</v>
      </c>
      <c r="Y68" s="387">
        <v>2</v>
      </c>
      <c r="Z68" s="387">
        <v>3</v>
      </c>
      <c r="AA68" s="387">
        <v>4</v>
      </c>
    </row>
    <row r="69" spans="1:31" hidden="1">
      <c r="A69" s="388" t="s">
        <v>386</v>
      </c>
      <c r="B69" s="382" t="s">
        <v>254</v>
      </c>
      <c r="D69" s="424">
        <f t="array" ref="D69:G73">IF(J5,D61:G65/D66:G66*D57:G57*(1+1/D52:G56))</f>
        <v>16.615415029175683</v>
      </c>
      <c r="E69" s="425">
        <v>9.6727496132235355</v>
      </c>
      <c r="F69" s="425">
        <v>47.799263625450159</v>
      </c>
      <c r="G69" s="426">
        <v>44.449665447915137</v>
      </c>
      <c r="H69" s="386">
        <f t="shared" ref="H69:H74" si="7">SUM(D69:G69)</f>
        <v>118.53709371576451</v>
      </c>
      <c r="N69" s="424" t="b">
        <f t="array" ref="N69:Q73">IF(T5,N61:Q65/N66:Q66*N57:Q57*(1+1/N52:Q56))</f>
        <v>0</v>
      </c>
      <c r="O69" s="425" t="b">
        <v>0</v>
      </c>
      <c r="P69" s="425" t="b">
        <v>0</v>
      </c>
      <c r="Q69" s="426" t="b">
        <v>0</v>
      </c>
      <c r="R69" s="386">
        <f t="shared" ref="R69:R74" si="8">SUM(N69:Q69)</f>
        <v>0</v>
      </c>
      <c r="X69" s="424" t="b">
        <f t="array" aca="1" ref="X69:AA73" ca="1">IF(AD5,X61:AA65/(Tiny+X66:AA66)*X57:AA57*(1+1/(Tiny+X52:AA56)))</f>
        <v>0</v>
      </c>
      <c r="Y69" s="425" t="b">
        <f ca="1"/>
        <v>0</v>
      </c>
      <c r="Z69" s="425" t="b">
        <f ca="1"/>
        <v>0</v>
      </c>
      <c r="AA69" s="426" t="b">
        <f ca="1"/>
        <v>0</v>
      </c>
      <c r="AB69" s="386">
        <f t="shared" ref="AB69:AB74" si="9">SUM(X69:AA69)</f>
        <v>0</v>
      </c>
    </row>
    <row r="70" spans="1:31" hidden="1">
      <c r="B70" s="382" t="s">
        <v>255</v>
      </c>
      <c r="D70" s="427">
        <v>1229.8577908954328</v>
      </c>
      <c r="E70" s="428">
        <v>762.37030449295457</v>
      </c>
      <c r="F70" s="428">
        <v>0</v>
      </c>
      <c r="G70" s="429">
        <v>3.5785718639435196</v>
      </c>
      <c r="H70" s="386">
        <f t="shared" si="7"/>
        <v>1995.806667252331</v>
      </c>
      <c r="N70" s="427" t="b">
        <v>0</v>
      </c>
      <c r="O70" s="428" t="b">
        <v>0</v>
      </c>
      <c r="P70" s="428" t="b">
        <v>0</v>
      </c>
      <c r="Q70" s="429" t="b">
        <v>0</v>
      </c>
      <c r="R70" s="386">
        <f t="shared" si="8"/>
        <v>0</v>
      </c>
      <c r="X70" s="427" t="b">
        <f ca="1"/>
        <v>0</v>
      </c>
      <c r="Y70" s="428" t="b">
        <f ca="1"/>
        <v>0</v>
      </c>
      <c r="Z70" s="428" t="b">
        <f ca="1"/>
        <v>0</v>
      </c>
      <c r="AA70" s="429" t="b">
        <f ca="1"/>
        <v>0</v>
      </c>
      <c r="AB70" s="386">
        <f t="shared" si="9"/>
        <v>0</v>
      </c>
    </row>
    <row r="71" spans="1:31" hidden="1">
      <c r="B71" s="382" t="s">
        <v>256</v>
      </c>
      <c r="D71" s="427">
        <v>770.80933807630254</v>
      </c>
      <c r="E71" s="428">
        <v>2.2265367550744339</v>
      </c>
      <c r="F71" s="428">
        <v>359.95304974952893</v>
      </c>
      <c r="G71" s="429">
        <v>52.038364869066498</v>
      </c>
      <c r="H71" s="386">
        <f t="shared" si="7"/>
        <v>1185.0272894499724</v>
      </c>
      <c r="N71" s="427" t="b">
        <v>0</v>
      </c>
      <c r="O71" s="428" t="b">
        <v>0</v>
      </c>
      <c r="P71" s="428" t="b">
        <v>0</v>
      </c>
      <c r="Q71" s="429" t="b">
        <v>0</v>
      </c>
      <c r="R71" s="386">
        <f t="shared" si="8"/>
        <v>0</v>
      </c>
      <c r="X71" s="427" t="b">
        <f ca="1"/>
        <v>0</v>
      </c>
      <c r="Y71" s="428" t="b">
        <f ca="1"/>
        <v>0</v>
      </c>
      <c r="Z71" s="428" t="b">
        <f ca="1"/>
        <v>0</v>
      </c>
      <c r="AA71" s="429" t="b">
        <f ca="1"/>
        <v>0</v>
      </c>
      <c r="AB71" s="386">
        <f t="shared" si="9"/>
        <v>0</v>
      </c>
    </row>
    <row r="72" spans="1:31" hidden="1">
      <c r="B72" s="382" t="s">
        <v>347</v>
      </c>
      <c r="D72" s="427">
        <v>150.05661200264137</v>
      </c>
      <c r="E72" s="428">
        <v>157.95709312518019</v>
      </c>
      <c r="F72" s="428">
        <v>1849.1746645998869</v>
      </c>
      <c r="G72" s="429">
        <v>735.60944419768066</v>
      </c>
      <c r="H72" s="386">
        <f t="shared" si="7"/>
        <v>2892.7978139253892</v>
      </c>
      <c r="N72" s="427" t="b">
        <v>0</v>
      </c>
      <c r="O72" s="428" t="b">
        <v>0</v>
      </c>
      <c r="P72" s="428" t="b">
        <v>0</v>
      </c>
      <c r="Q72" s="429" t="b">
        <v>0</v>
      </c>
      <c r="R72" s="386">
        <f t="shared" si="8"/>
        <v>0</v>
      </c>
      <c r="X72" s="427" t="b">
        <f ca="1"/>
        <v>0</v>
      </c>
      <c r="Y72" s="428" t="b">
        <f ca="1"/>
        <v>0</v>
      </c>
      <c r="Z72" s="428" t="b">
        <f ca="1"/>
        <v>0</v>
      </c>
      <c r="AA72" s="429" t="b">
        <f ca="1"/>
        <v>0</v>
      </c>
      <c r="AB72" s="386">
        <f t="shared" si="9"/>
        <v>0</v>
      </c>
    </row>
    <row r="73" spans="1:31" hidden="1">
      <c r="B73" s="382" t="s">
        <v>257</v>
      </c>
      <c r="D73" s="430">
        <v>32.475858334802993</v>
      </c>
      <c r="E73" s="431">
        <v>356.82463119794119</v>
      </c>
      <c r="F73" s="431">
        <v>653.11240446485476</v>
      </c>
      <c r="G73" s="432">
        <v>417.5860729464535</v>
      </c>
      <c r="H73" s="386">
        <f t="shared" si="7"/>
        <v>1459.9989669440524</v>
      </c>
      <c r="N73" s="430" t="b">
        <v>0</v>
      </c>
      <c r="O73" s="431" t="b">
        <v>0</v>
      </c>
      <c r="P73" s="431" t="b">
        <v>0</v>
      </c>
      <c r="Q73" s="432" t="b">
        <v>0</v>
      </c>
      <c r="R73" s="386">
        <f t="shared" si="8"/>
        <v>0</v>
      </c>
      <c r="X73" s="430" t="b">
        <f ca="1"/>
        <v>0</v>
      </c>
      <c r="Y73" s="431" t="b">
        <f ca="1"/>
        <v>0</v>
      </c>
      <c r="Z73" s="431" t="b">
        <f ca="1"/>
        <v>0</v>
      </c>
      <c r="AA73" s="432" t="b">
        <f ca="1"/>
        <v>0</v>
      </c>
      <c r="AB73" s="386">
        <f t="shared" si="9"/>
        <v>0</v>
      </c>
    </row>
    <row r="74" spans="1:31" hidden="1">
      <c r="B74" s="364" t="s">
        <v>52</v>
      </c>
      <c r="D74" s="386">
        <f>SUM(D69:D73)</f>
        <v>2199.8150143383555</v>
      </c>
      <c r="E74" s="386">
        <f>SUM(E69:E73)</f>
        <v>1289.0513151843741</v>
      </c>
      <c r="F74" s="386">
        <f>SUM(F69:F73)</f>
        <v>2910.0393824397206</v>
      </c>
      <c r="G74" s="386">
        <f>SUM(G69:G73)</f>
        <v>1253.2621193250593</v>
      </c>
      <c r="H74" s="386">
        <f t="shared" si="7"/>
        <v>7652.1678312875101</v>
      </c>
      <c r="N74" s="386">
        <f>SUM(N69:N73)</f>
        <v>0</v>
      </c>
      <c r="O74" s="386">
        <f>SUM(O69:O73)</f>
        <v>0</v>
      </c>
      <c r="P74" s="386">
        <f>SUM(P69:P73)</f>
        <v>0</v>
      </c>
      <c r="Q74" s="386">
        <f>SUM(Q69:Q73)</f>
        <v>0</v>
      </c>
      <c r="R74" s="386">
        <f t="shared" si="8"/>
        <v>0</v>
      </c>
      <c r="X74" s="386">
        <f>SUM(X69:X73)</f>
        <v>0</v>
      </c>
      <c r="Y74" s="386">
        <f>SUM(Y69:Y73)</f>
        <v>0</v>
      </c>
      <c r="Z74" s="386">
        <f>SUM(Z69:Z73)</f>
        <v>0</v>
      </c>
      <c r="AA74" s="386">
        <f>SUM(AA69:AA73)</f>
        <v>0</v>
      </c>
      <c r="AB74" s="386">
        <f t="shared" si="9"/>
        <v>0</v>
      </c>
    </row>
    <row r="75" spans="1:31" hidden="1"/>
    <row r="76" spans="1:31" hidden="1">
      <c r="B76" s="364" t="s">
        <v>352</v>
      </c>
      <c r="D76" s="411">
        <v>2010</v>
      </c>
      <c r="E76" s="411">
        <v>2015</v>
      </c>
      <c r="F76" s="411">
        <v>2020</v>
      </c>
      <c r="G76" s="411">
        <v>2025</v>
      </c>
      <c r="H76" s="411">
        <v>2030</v>
      </c>
      <c r="I76" s="411">
        <v>2040</v>
      </c>
      <c r="J76" s="411">
        <v>2050</v>
      </c>
      <c r="N76" s="411">
        <v>2010</v>
      </c>
      <c r="O76" s="411">
        <v>2015</v>
      </c>
      <c r="P76" s="411">
        <v>2020</v>
      </c>
      <c r="Q76" s="411">
        <v>2025</v>
      </c>
      <c r="R76" s="411">
        <v>2030</v>
      </c>
      <c r="S76" s="411">
        <v>2040</v>
      </c>
      <c r="T76" s="411">
        <v>2050</v>
      </c>
      <c r="X76" s="411">
        <v>2010</v>
      </c>
      <c r="Y76" s="411">
        <v>2015</v>
      </c>
      <c r="Z76" s="411">
        <v>2020</v>
      </c>
      <c r="AA76" s="411">
        <v>2025</v>
      </c>
      <c r="AB76" s="411">
        <v>2030</v>
      </c>
      <c r="AC76" s="411">
        <v>2040</v>
      </c>
      <c r="AD76" s="411">
        <v>2050</v>
      </c>
    </row>
    <row r="77" spans="1:31" hidden="1">
      <c r="A77" s="364">
        <v>1</v>
      </c>
      <c r="B77" s="382" t="s">
        <v>255</v>
      </c>
      <c r="D77" s="383">
        <v>905</v>
      </c>
      <c r="E77" s="383">
        <v>905</v>
      </c>
      <c r="F77" s="383">
        <v>905</v>
      </c>
      <c r="G77" s="383">
        <v>452</v>
      </c>
      <c r="H77" s="383">
        <v>452</v>
      </c>
      <c r="I77" s="383">
        <v>0</v>
      </c>
      <c r="J77" s="376">
        <v>0</v>
      </c>
      <c r="N77" s="376">
        <v>100</v>
      </c>
      <c r="O77" s="376">
        <v>100</v>
      </c>
      <c r="P77" s="376">
        <v>60</v>
      </c>
      <c r="Q77" s="376"/>
      <c r="R77" s="376"/>
      <c r="S77" s="376"/>
      <c r="T77" s="376"/>
      <c r="X77" s="383">
        <v>2125</v>
      </c>
      <c r="Y77" s="383">
        <v>1996</v>
      </c>
      <c r="Z77" s="383">
        <v>1996</v>
      </c>
      <c r="AA77" s="383">
        <v>1996</v>
      </c>
      <c r="AB77" s="383">
        <v>1744.1055013960595</v>
      </c>
      <c r="AC77" s="383">
        <v>825.36537363763932</v>
      </c>
      <c r="AD77" s="376"/>
    </row>
    <row r="78" spans="1:31" hidden="1">
      <c r="A78" s="364">
        <v>1</v>
      </c>
      <c r="B78" s="382" t="s">
        <v>256</v>
      </c>
      <c r="D78" s="383">
        <v>854</v>
      </c>
      <c r="E78" s="383">
        <v>854</v>
      </c>
      <c r="F78" s="383">
        <v>593</v>
      </c>
      <c r="G78" s="383">
        <v>0</v>
      </c>
      <c r="H78" s="383">
        <v>0</v>
      </c>
      <c r="I78" s="383">
        <v>0</v>
      </c>
      <c r="J78" s="376">
        <v>0</v>
      </c>
      <c r="N78" s="376">
        <v>100</v>
      </c>
      <c r="O78" s="376">
        <v>100</v>
      </c>
      <c r="P78" s="376">
        <v>60</v>
      </c>
      <c r="Q78" s="376"/>
      <c r="R78" s="376"/>
      <c r="S78" s="376"/>
      <c r="T78" s="376"/>
      <c r="X78" s="383">
        <v>1564</v>
      </c>
      <c r="Y78" s="383">
        <v>1564</v>
      </c>
      <c r="Z78" s="383">
        <v>1564</v>
      </c>
      <c r="AA78" s="383">
        <v>680</v>
      </c>
      <c r="AB78" s="383">
        <v>460</v>
      </c>
      <c r="AC78" s="383">
        <v>0</v>
      </c>
      <c r="AD78" s="376"/>
    </row>
    <row r="79" spans="1:31" hidden="1">
      <c r="A79" s="364">
        <v>1</v>
      </c>
      <c r="B79" s="382" t="s">
        <v>257</v>
      </c>
      <c r="D79" s="383">
        <v>0</v>
      </c>
      <c r="E79" s="383">
        <v>0</v>
      </c>
      <c r="F79" s="383">
        <v>390</v>
      </c>
      <c r="G79" s="383">
        <v>390</v>
      </c>
      <c r="H79" s="383">
        <v>390</v>
      </c>
      <c r="I79" s="383">
        <v>390</v>
      </c>
      <c r="J79" s="376">
        <v>390</v>
      </c>
      <c r="N79" s="376">
        <v>100</v>
      </c>
      <c r="O79" s="376">
        <v>100</v>
      </c>
      <c r="P79" s="376">
        <v>60</v>
      </c>
      <c r="Q79" s="376"/>
      <c r="R79" s="376"/>
      <c r="S79" s="376"/>
      <c r="T79" s="376"/>
      <c r="X79" s="383">
        <v>70</v>
      </c>
      <c r="Y79" s="383">
        <v>293.39999999999998</v>
      </c>
      <c r="Z79" s="383">
        <v>403.4</v>
      </c>
      <c r="AA79" s="383">
        <v>403.4</v>
      </c>
      <c r="AB79" s="383">
        <v>403.4</v>
      </c>
      <c r="AC79" s="383">
        <v>403.4</v>
      </c>
      <c r="AD79" s="376">
        <v>100</v>
      </c>
    </row>
    <row r="80" spans="1:31" hidden="1">
      <c r="A80" s="364">
        <v>1</v>
      </c>
      <c r="B80" s="382" t="s">
        <v>314</v>
      </c>
      <c r="D80" s="433">
        <v>0</v>
      </c>
      <c r="E80" s="433">
        <v>0</v>
      </c>
      <c r="F80" s="433">
        <v>0</v>
      </c>
      <c r="G80" s="433">
        <v>0</v>
      </c>
      <c r="H80" s="433">
        <v>0</v>
      </c>
      <c r="I80" s="433">
        <v>0</v>
      </c>
      <c r="J80" s="434">
        <v>0</v>
      </c>
      <c r="N80" s="434">
        <v>100</v>
      </c>
      <c r="O80" s="434">
        <v>100</v>
      </c>
      <c r="P80" s="434">
        <v>60</v>
      </c>
      <c r="Q80" s="434"/>
      <c r="R80" s="434"/>
      <c r="S80" s="434"/>
      <c r="T80" s="434"/>
      <c r="X80" s="433">
        <v>215</v>
      </c>
      <c r="Y80" s="433">
        <v>0</v>
      </c>
      <c r="Z80" s="433">
        <v>0</v>
      </c>
      <c r="AA80" s="433">
        <v>0</v>
      </c>
      <c r="AB80" s="433">
        <v>0</v>
      </c>
      <c r="AC80" s="433">
        <v>0</v>
      </c>
      <c r="AD80" s="434"/>
    </row>
    <row r="81" spans="1:30" hidden="1">
      <c r="A81" s="364">
        <v>2</v>
      </c>
      <c r="B81" s="382" t="s">
        <v>255</v>
      </c>
      <c r="D81" s="383">
        <v>671.8</v>
      </c>
      <c r="E81" s="383">
        <v>854.8</v>
      </c>
      <c r="F81" s="383">
        <v>627.79999999999995</v>
      </c>
      <c r="G81" s="383">
        <v>627.79999999999995</v>
      </c>
      <c r="H81" s="383">
        <v>492.4</v>
      </c>
      <c r="I81" s="383">
        <v>194.7</v>
      </c>
      <c r="J81" s="376">
        <v>0</v>
      </c>
      <c r="N81" s="376">
        <v>100</v>
      </c>
      <c r="O81" s="376">
        <v>100</v>
      </c>
      <c r="P81" s="376">
        <v>60</v>
      </c>
      <c r="Q81" s="376"/>
      <c r="R81" s="376"/>
      <c r="S81" s="376"/>
      <c r="T81" s="376"/>
      <c r="X81" s="383">
        <v>0</v>
      </c>
      <c r="Y81" s="383">
        <v>0</v>
      </c>
      <c r="Z81" s="383">
        <v>0</v>
      </c>
      <c r="AA81" s="383">
        <v>0</v>
      </c>
      <c r="AB81" s="383">
        <v>0</v>
      </c>
      <c r="AC81" s="383">
        <v>0</v>
      </c>
      <c r="AD81" s="376"/>
    </row>
    <row r="82" spans="1:30" hidden="1">
      <c r="A82" s="364">
        <v>2</v>
      </c>
      <c r="B82" s="382" t="s">
        <v>256</v>
      </c>
      <c r="D82" s="383">
        <v>0</v>
      </c>
      <c r="E82" s="383">
        <v>0</v>
      </c>
      <c r="F82" s="383">
        <v>0</v>
      </c>
      <c r="G82" s="383">
        <v>0</v>
      </c>
      <c r="H82" s="383">
        <v>0</v>
      </c>
      <c r="I82" s="383">
        <v>0</v>
      </c>
      <c r="J82" s="376">
        <v>0</v>
      </c>
      <c r="N82" s="376">
        <v>100</v>
      </c>
      <c r="O82" s="376">
        <v>100</v>
      </c>
      <c r="P82" s="376">
        <v>60</v>
      </c>
      <c r="Q82" s="376"/>
      <c r="R82" s="376"/>
      <c r="S82" s="376"/>
      <c r="T82" s="376"/>
      <c r="X82" s="383">
        <v>0</v>
      </c>
      <c r="Y82" s="383">
        <v>0</v>
      </c>
      <c r="Z82" s="383">
        <v>0</v>
      </c>
      <c r="AA82" s="383">
        <v>0</v>
      </c>
      <c r="AB82" s="383">
        <v>0</v>
      </c>
      <c r="AC82" s="383">
        <v>0</v>
      </c>
      <c r="AD82" s="376"/>
    </row>
    <row r="83" spans="1:30" hidden="1">
      <c r="A83" s="364">
        <v>2</v>
      </c>
      <c r="B83" s="382" t="s">
        <v>257</v>
      </c>
      <c r="D83" s="383">
        <v>659</v>
      </c>
      <c r="E83" s="383">
        <v>768.5</v>
      </c>
      <c r="F83" s="383">
        <v>736.5</v>
      </c>
      <c r="G83" s="383">
        <v>631.5</v>
      </c>
      <c r="H83" s="383">
        <v>461.5</v>
      </c>
      <c r="I83" s="383">
        <v>309.5</v>
      </c>
      <c r="J83" s="376">
        <v>0</v>
      </c>
      <c r="N83" s="376">
        <v>100</v>
      </c>
      <c r="O83" s="376">
        <v>100</v>
      </c>
      <c r="P83" s="376">
        <v>60</v>
      </c>
      <c r="Q83" s="376"/>
      <c r="R83" s="376"/>
      <c r="S83" s="376"/>
      <c r="T83" s="376"/>
      <c r="X83" s="383">
        <v>0</v>
      </c>
      <c r="Y83" s="383">
        <v>0</v>
      </c>
      <c r="Z83" s="383">
        <v>0</v>
      </c>
      <c r="AA83" s="383">
        <v>0</v>
      </c>
      <c r="AB83" s="383">
        <v>0</v>
      </c>
      <c r="AC83" s="383">
        <v>0</v>
      </c>
      <c r="AD83" s="376"/>
    </row>
    <row r="84" spans="1:30" hidden="1">
      <c r="A84" s="364">
        <v>2</v>
      </c>
      <c r="B84" s="382" t="s">
        <v>314</v>
      </c>
      <c r="D84" s="433">
        <v>0</v>
      </c>
      <c r="E84" s="433">
        <v>0</v>
      </c>
      <c r="F84" s="433">
        <v>0</v>
      </c>
      <c r="G84" s="433">
        <v>0</v>
      </c>
      <c r="H84" s="433">
        <v>0</v>
      </c>
      <c r="I84" s="433">
        <v>0</v>
      </c>
      <c r="J84" s="434">
        <v>0</v>
      </c>
      <c r="N84" s="434">
        <v>100</v>
      </c>
      <c r="O84" s="434">
        <v>100</v>
      </c>
      <c r="P84" s="434">
        <v>60</v>
      </c>
      <c r="Q84" s="434"/>
      <c r="R84" s="434"/>
      <c r="S84" s="434"/>
      <c r="T84" s="434"/>
      <c r="X84" s="433">
        <v>0</v>
      </c>
      <c r="Y84" s="433">
        <v>0</v>
      </c>
      <c r="Z84" s="433">
        <v>0</v>
      </c>
      <c r="AA84" s="433">
        <v>0</v>
      </c>
      <c r="AB84" s="433">
        <v>0</v>
      </c>
      <c r="AC84" s="433">
        <v>0</v>
      </c>
      <c r="AD84" s="434"/>
    </row>
    <row r="85" spans="1:30" hidden="1">
      <c r="A85" s="364">
        <v>3</v>
      </c>
      <c r="B85" s="382" t="s">
        <v>255</v>
      </c>
      <c r="D85" s="383">
        <v>0.4</v>
      </c>
      <c r="E85" s="383">
        <v>3.6</v>
      </c>
      <c r="F85" s="383">
        <v>3.6</v>
      </c>
      <c r="G85" s="383">
        <v>3.6</v>
      </c>
      <c r="H85" s="383">
        <v>3.6</v>
      </c>
      <c r="I85" s="383">
        <v>3.6</v>
      </c>
      <c r="J85" s="376">
        <v>0</v>
      </c>
      <c r="N85" s="376">
        <v>100</v>
      </c>
      <c r="O85" s="376">
        <v>100</v>
      </c>
      <c r="P85" s="376">
        <v>60</v>
      </c>
      <c r="Q85" s="376"/>
      <c r="R85" s="376"/>
      <c r="S85" s="376"/>
      <c r="T85" s="376"/>
      <c r="X85" s="383">
        <v>0</v>
      </c>
      <c r="Y85" s="383">
        <v>0</v>
      </c>
      <c r="Z85" s="383">
        <v>0</v>
      </c>
      <c r="AA85" s="383">
        <v>0</v>
      </c>
      <c r="AB85" s="383">
        <v>0</v>
      </c>
      <c r="AC85" s="383">
        <v>0</v>
      </c>
      <c r="AD85" s="376"/>
    </row>
    <row r="86" spans="1:30" hidden="1">
      <c r="A86" s="364">
        <v>3</v>
      </c>
      <c r="B86" s="382" t="s">
        <v>256</v>
      </c>
      <c r="D86" s="383">
        <v>385</v>
      </c>
      <c r="E86" s="383">
        <v>385</v>
      </c>
      <c r="F86" s="383">
        <v>385</v>
      </c>
      <c r="G86" s="383">
        <v>385</v>
      </c>
      <c r="H86" s="383">
        <v>385</v>
      </c>
      <c r="I86" s="383">
        <v>385</v>
      </c>
      <c r="J86" s="376">
        <v>0</v>
      </c>
      <c r="N86" s="376">
        <v>100</v>
      </c>
      <c r="O86" s="376">
        <v>100</v>
      </c>
      <c r="P86" s="376">
        <v>60</v>
      </c>
      <c r="Q86" s="376"/>
      <c r="R86" s="376"/>
      <c r="S86" s="376"/>
      <c r="T86" s="376"/>
      <c r="X86" s="383">
        <v>0</v>
      </c>
      <c r="Y86" s="383">
        <v>0</v>
      </c>
      <c r="Z86" s="383">
        <v>0</v>
      </c>
      <c r="AA86" s="383">
        <v>0</v>
      </c>
      <c r="AB86" s="383">
        <v>0</v>
      </c>
      <c r="AC86" s="383">
        <v>0</v>
      </c>
      <c r="AD86" s="376"/>
    </row>
    <row r="87" spans="1:30" hidden="1">
      <c r="A87" s="364">
        <v>3</v>
      </c>
      <c r="B87" s="382" t="s">
        <v>257</v>
      </c>
      <c r="D87" s="383">
        <v>2642.8</v>
      </c>
      <c r="E87" s="383">
        <v>2642.8</v>
      </c>
      <c r="F87" s="383">
        <v>2357.8000000000002</v>
      </c>
      <c r="G87" s="383">
        <v>1774.8</v>
      </c>
      <c r="H87" s="383">
        <v>1100.7</v>
      </c>
      <c r="I87" s="383">
        <v>668.7</v>
      </c>
      <c r="J87" s="376">
        <v>0</v>
      </c>
      <c r="N87" s="376">
        <v>100</v>
      </c>
      <c r="O87" s="376">
        <v>100</v>
      </c>
      <c r="P87" s="376">
        <v>60</v>
      </c>
      <c r="Q87" s="376"/>
      <c r="R87" s="376"/>
      <c r="S87" s="376"/>
      <c r="T87" s="376"/>
      <c r="X87" s="383">
        <v>0</v>
      </c>
      <c r="Y87" s="383">
        <v>0</v>
      </c>
      <c r="Z87" s="383">
        <v>0</v>
      </c>
      <c r="AA87" s="383">
        <v>0</v>
      </c>
      <c r="AB87" s="383">
        <v>0</v>
      </c>
      <c r="AC87" s="383">
        <v>0</v>
      </c>
      <c r="AD87" s="376"/>
    </row>
    <row r="88" spans="1:30" hidden="1">
      <c r="A88" s="364">
        <v>3</v>
      </c>
      <c r="B88" s="382" t="s">
        <v>314</v>
      </c>
      <c r="D88" s="433">
        <v>89.9</v>
      </c>
      <c r="E88" s="433">
        <v>89.9</v>
      </c>
      <c r="F88" s="433">
        <v>0</v>
      </c>
      <c r="G88" s="433">
        <v>0</v>
      </c>
      <c r="H88" s="433">
        <v>0</v>
      </c>
      <c r="I88" s="433">
        <v>0</v>
      </c>
      <c r="J88" s="434">
        <v>0</v>
      </c>
      <c r="N88" s="434">
        <v>100</v>
      </c>
      <c r="O88" s="434">
        <v>100</v>
      </c>
      <c r="P88" s="434">
        <v>60</v>
      </c>
      <c r="Q88" s="434"/>
      <c r="R88" s="434"/>
      <c r="S88" s="434"/>
      <c r="T88" s="434"/>
      <c r="X88" s="433">
        <v>0</v>
      </c>
      <c r="Y88" s="433">
        <v>0</v>
      </c>
      <c r="Z88" s="433">
        <v>0</v>
      </c>
      <c r="AA88" s="433">
        <v>0</v>
      </c>
      <c r="AB88" s="433">
        <v>0</v>
      </c>
      <c r="AC88" s="433">
        <v>0</v>
      </c>
      <c r="AD88" s="434"/>
    </row>
    <row r="89" spans="1:30" hidden="1">
      <c r="A89" s="364">
        <v>4</v>
      </c>
      <c r="B89" s="382" t="s">
        <v>255</v>
      </c>
      <c r="D89" s="383">
        <v>7</v>
      </c>
      <c r="E89" s="383">
        <v>7</v>
      </c>
      <c r="F89" s="383">
        <v>7</v>
      </c>
      <c r="G89" s="383">
        <v>7</v>
      </c>
      <c r="H89" s="383">
        <v>7</v>
      </c>
      <c r="I89" s="383">
        <v>0</v>
      </c>
      <c r="J89" s="376">
        <v>0</v>
      </c>
      <c r="N89" s="376">
        <v>100</v>
      </c>
      <c r="O89" s="376">
        <v>100</v>
      </c>
      <c r="P89" s="376">
        <v>60</v>
      </c>
      <c r="Q89" s="376"/>
      <c r="R89" s="376"/>
      <c r="S89" s="376"/>
      <c r="T89" s="376"/>
      <c r="X89" s="383">
        <v>0</v>
      </c>
      <c r="Y89" s="383">
        <v>0</v>
      </c>
      <c r="Z89" s="383">
        <v>0</v>
      </c>
      <c r="AA89" s="383">
        <v>0</v>
      </c>
      <c r="AB89" s="383">
        <v>0</v>
      </c>
      <c r="AC89" s="383">
        <v>0</v>
      </c>
      <c r="AD89" s="376"/>
    </row>
    <row r="90" spans="1:30" hidden="1">
      <c r="A90" s="364">
        <v>4</v>
      </c>
      <c r="B90" s="382" t="s">
        <v>256</v>
      </c>
      <c r="D90" s="383">
        <v>186</v>
      </c>
      <c r="E90" s="383">
        <v>186</v>
      </c>
      <c r="F90" s="383">
        <v>226</v>
      </c>
      <c r="G90" s="383">
        <v>175</v>
      </c>
      <c r="H90" s="383">
        <v>175</v>
      </c>
      <c r="I90" s="383">
        <v>40</v>
      </c>
      <c r="J90" s="376">
        <v>40</v>
      </c>
      <c r="N90" s="376">
        <v>100</v>
      </c>
      <c r="O90" s="376">
        <v>100</v>
      </c>
      <c r="P90" s="376">
        <v>60</v>
      </c>
      <c r="Q90" s="376"/>
      <c r="R90" s="376"/>
      <c r="S90" s="376"/>
      <c r="T90" s="376"/>
      <c r="X90" s="383">
        <v>0</v>
      </c>
      <c r="Y90" s="383">
        <v>0</v>
      </c>
      <c r="Z90" s="383">
        <v>0</v>
      </c>
      <c r="AA90" s="383">
        <v>0</v>
      </c>
      <c r="AB90" s="383">
        <v>0</v>
      </c>
      <c r="AC90" s="383">
        <v>0</v>
      </c>
      <c r="AD90" s="376"/>
    </row>
    <row r="91" spans="1:30" hidden="1">
      <c r="A91" s="364">
        <v>4</v>
      </c>
      <c r="B91" s="382" t="s">
        <v>257</v>
      </c>
      <c r="D91" s="383">
        <v>1644.3</v>
      </c>
      <c r="E91" s="383">
        <v>1652.7</v>
      </c>
      <c r="F91" s="383">
        <v>1342.1</v>
      </c>
      <c r="G91" s="383">
        <v>1160.0999999999999</v>
      </c>
      <c r="H91" s="383">
        <v>817.1</v>
      </c>
      <c r="I91" s="383">
        <v>168.8</v>
      </c>
      <c r="J91" s="376">
        <v>0</v>
      </c>
      <c r="N91" s="376">
        <v>100</v>
      </c>
      <c r="O91" s="376">
        <v>100</v>
      </c>
      <c r="P91" s="376">
        <v>60</v>
      </c>
      <c r="Q91" s="376"/>
      <c r="R91" s="376"/>
      <c r="S91" s="376"/>
      <c r="T91" s="376"/>
      <c r="X91" s="383">
        <v>0</v>
      </c>
      <c r="Y91" s="383">
        <v>0</v>
      </c>
      <c r="Z91" s="383">
        <v>0</v>
      </c>
      <c r="AA91" s="383">
        <v>0</v>
      </c>
      <c r="AB91" s="383">
        <v>0</v>
      </c>
      <c r="AC91" s="383">
        <v>0</v>
      </c>
      <c r="AD91" s="376"/>
    </row>
    <row r="92" spans="1:30" hidden="1">
      <c r="A92" s="364">
        <v>4</v>
      </c>
      <c r="B92" s="382" t="s">
        <v>314</v>
      </c>
      <c r="D92" s="433">
        <v>173.1</v>
      </c>
      <c r="E92" s="433">
        <v>173.1</v>
      </c>
      <c r="F92" s="433">
        <v>173.1</v>
      </c>
      <c r="G92" s="433">
        <v>134.1</v>
      </c>
      <c r="H92" s="433">
        <v>105</v>
      </c>
      <c r="I92" s="433">
        <v>0</v>
      </c>
      <c r="J92" s="434">
        <v>0</v>
      </c>
      <c r="N92" s="434">
        <v>100</v>
      </c>
      <c r="O92" s="434">
        <v>100</v>
      </c>
      <c r="P92" s="434">
        <v>60</v>
      </c>
      <c r="Q92" s="434"/>
      <c r="R92" s="434"/>
      <c r="S92" s="434"/>
      <c r="T92" s="434"/>
      <c r="X92" s="433">
        <v>0</v>
      </c>
      <c r="Y92" s="433">
        <v>0</v>
      </c>
      <c r="Z92" s="433">
        <v>0</v>
      </c>
      <c r="AA92" s="433">
        <v>0</v>
      </c>
      <c r="AB92" s="433">
        <v>0</v>
      </c>
      <c r="AC92" s="433">
        <v>0</v>
      </c>
      <c r="AD92" s="434"/>
    </row>
    <row r="93" spans="1:30" hidden="1"/>
    <row r="94" spans="1:30" hidden="1"/>
    <row r="95" spans="1:30" hidden="1"/>
    <row r="96" spans="1:30" hidden="1">
      <c r="B96" s="435" t="s">
        <v>381</v>
      </c>
      <c r="D96" s="387">
        <v>1</v>
      </c>
      <c r="E96" s="387">
        <v>2</v>
      </c>
      <c r="F96" s="387">
        <v>3</v>
      </c>
      <c r="G96" s="387">
        <v>4</v>
      </c>
      <c r="N96" s="387">
        <v>1</v>
      </c>
      <c r="O96" s="387">
        <v>2</v>
      </c>
      <c r="P96" s="387">
        <v>3</v>
      </c>
      <c r="Q96" s="387">
        <v>4</v>
      </c>
      <c r="X96" s="387">
        <v>1</v>
      </c>
      <c r="Y96" s="387">
        <v>2</v>
      </c>
      <c r="Z96" s="387">
        <v>3</v>
      </c>
      <c r="AA96" s="387">
        <v>4</v>
      </c>
    </row>
    <row r="97" spans="1:30" hidden="1">
      <c r="B97" s="364" t="s">
        <v>259</v>
      </c>
      <c r="D97" s="436">
        <f>0.065852+0.02</f>
        <v>8.5851999999999998E-2</v>
      </c>
      <c r="E97" s="437">
        <v>0.14659</v>
      </c>
      <c r="F97" s="437">
        <f>0.056715+0.02</f>
        <v>7.6715000000000005E-2</v>
      </c>
      <c r="G97" s="438">
        <v>0.1227</v>
      </c>
      <c r="H97" s="388" t="s">
        <v>321</v>
      </c>
      <c r="N97" s="436">
        <v>0.13</v>
      </c>
      <c r="O97" s="437">
        <v>0.13</v>
      </c>
      <c r="P97" s="437">
        <v>0.13</v>
      </c>
      <c r="Q97" s="438">
        <v>0.13</v>
      </c>
      <c r="R97" s="388" t="s">
        <v>321</v>
      </c>
      <c r="X97" s="436">
        <v>0.09</v>
      </c>
      <c r="Y97" s="437">
        <v>0.1</v>
      </c>
      <c r="Z97" s="437">
        <v>0.1</v>
      </c>
      <c r="AA97" s="438">
        <v>0.1</v>
      </c>
      <c r="AB97" s="388" t="s">
        <v>321</v>
      </c>
    </row>
    <row r="98" spans="1:30" hidden="1">
      <c r="D98" s="404">
        <f t="array" aca="1" ref="D98:G98" ca="1">TRANSPOSE(MMULT(C12:G15,IEAData!$C101:$C105*IEAData!$H101:$H105))/D97:G97/$B2*1000</f>
        <v>1579.2689494586145</v>
      </c>
      <c r="E98" s="405">
        <f ca="1"/>
        <v>1834.924538869428</v>
      </c>
      <c r="F98" s="405">
        <f ca="1"/>
        <v>2280.3926766292197</v>
      </c>
      <c r="G98" s="406">
        <f ca="1"/>
        <v>4008.0256537452447</v>
      </c>
      <c r="H98" s="386">
        <f>SUM(D98:G98)</f>
        <v>9702.6118187025077</v>
      </c>
      <c r="N98" s="404">
        <f t="array" aca="1" ref="N98:Q98" ca="1">TRANSPOSE(MMULT(M12:Q15,IEAData!$C101:$C105*IEAData!$H101:$H105))/N97:Q97/$B2*1000</f>
        <v>2165.7953778614879</v>
      </c>
      <c r="O98" s="405">
        <f ca="1"/>
        <v>1886.101270310254</v>
      </c>
      <c r="P98" s="405">
        <f ca="1"/>
        <v>1165.206855041258</v>
      </c>
      <c r="Q98" s="406">
        <f ca="1"/>
        <v>3023.5892498942503</v>
      </c>
      <c r="R98" s="386">
        <f>SUM(N98:Q98)</f>
        <v>8240.6927531072506</v>
      </c>
      <c r="X98" s="404">
        <f t="array" aca="1" ref="X98:AA98" ca="1">TRANSPOSE(MMULT(W12:AA15,IEAData!$C101:$C105*IEAData!$H101:$H105))/X97:AA97/$B2*1000</f>
        <v>11903.222865599364</v>
      </c>
      <c r="Y98" s="405">
        <f ca="1"/>
        <v>0</v>
      </c>
      <c r="Z98" s="405">
        <f ca="1"/>
        <v>0</v>
      </c>
      <c r="AA98" s="406">
        <f ca="1"/>
        <v>0</v>
      </c>
      <c r="AB98" s="386">
        <f>SUM(X98:AA98)</f>
        <v>11903.222865599364</v>
      </c>
    </row>
    <row r="99" spans="1:30" hidden="1">
      <c r="D99" s="439">
        <f t="array" aca="1" ref="D99:G99" ca="1">TRANSPOSE(MMULT(C12:G15,J102:J106*IEAData!$G101:$G105))</f>
        <v>16.534952401418831</v>
      </c>
      <c r="E99" s="439">
        <f ca="1"/>
        <v>21.216432268192552</v>
      </c>
      <c r="F99" s="439">
        <f ca="1"/>
        <v>27.130034137331783</v>
      </c>
      <c r="G99" s="439">
        <f ca="1"/>
        <v>61.379909849649536</v>
      </c>
      <c r="N99" s="439">
        <f t="array" aca="1" ref="N99:Q99" ca="1">TRANSPOSE(MMULT(M12:Q15,T102:T106*IEAData!$G101:$G105))</f>
        <v>20.686021291529148</v>
      </c>
      <c r="O99" s="439">
        <f ca="1"/>
        <v>14.295673824160545</v>
      </c>
      <c r="P99" s="439">
        <f ca="1"/>
        <v>10.787702785771081</v>
      </c>
      <c r="Q99" s="439">
        <f ca="1"/>
        <v>32.48298620156428</v>
      </c>
      <c r="X99" s="439">
        <f t="array" aca="1" ref="X99:AA99" ca="1">TRANSPOSE(MMULT(W12:AA15,AD102:AD106*IEAData!$G101:$G105))</f>
        <v>113.36545195025764</v>
      </c>
      <c r="Y99" s="439">
        <f ca="1"/>
        <v>0</v>
      </c>
      <c r="Z99" s="439">
        <f ca="1"/>
        <v>0</v>
      </c>
      <c r="AA99" s="439">
        <f ca="1"/>
        <v>0</v>
      </c>
    </row>
    <row r="100" spans="1:30" hidden="1">
      <c r="D100" s="415"/>
      <c r="E100" s="415"/>
      <c r="F100" s="415"/>
      <c r="G100" s="415"/>
    </row>
    <row r="101" spans="1:30" hidden="1">
      <c r="B101" s="364" t="s">
        <v>381</v>
      </c>
      <c r="D101" s="409">
        <v>1</v>
      </c>
      <c r="E101" s="409">
        <v>2</v>
      </c>
      <c r="F101" s="409">
        <v>3</v>
      </c>
      <c r="G101" s="409">
        <v>4</v>
      </c>
      <c r="H101" s="410" t="s">
        <v>377</v>
      </c>
      <c r="J101" s="411" t="s">
        <v>379</v>
      </c>
      <c r="N101" s="409">
        <v>1</v>
      </c>
      <c r="O101" s="409">
        <v>2</v>
      </c>
      <c r="P101" s="409">
        <v>3</v>
      </c>
      <c r="Q101" s="409">
        <v>4</v>
      </c>
      <c r="R101" s="410" t="s">
        <v>377</v>
      </c>
      <c r="T101" s="411" t="s">
        <v>379</v>
      </c>
      <c r="X101" s="409">
        <v>1</v>
      </c>
      <c r="Y101" s="409">
        <v>2</v>
      </c>
      <c r="Z101" s="409">
        <v>3</v>
      </c>
      <c r="AA101" s="409">
        <v>4</v>
      </c>
      <c r="AB101" s="410" t="s">
        <v>377</v>
      </c>
      <c r="AD101" s="411" t="s">
        <v>379</v>
      </c>
    </row>
    <row r="102" spans="1:30" hidden="1">
      <c r="B102" s="382" t="s">
        <v>254</v>
      </c>
      <c r="D102" s="440">
        <f t="array" aca="1" ref="D102:G106" ca="1">IF(J5,IEAData!$G101:$G105*TRANSPOSE(C12:G15)*J102:J106/D99:G99*D98:G98)</f>
        <v>1156.7959954708328</v>
      </c>
      <c r="E102" s="440">
        <f ca="1"/>
        <v>600.61736133297143</v>
      </c>
      <c r="F102" s="440">
        <f ca="1"/>
        <v>2064.8306598754434</v>
      </c>
      <c r="G102" s="440">
        <f ca="1"/>
        <v>3421.3936308048897</v>
      </c>
      <c r="H102" s="386">
        <f>SUM(D102:G102)</f>
        <v>7243.6376474841372</v>
      </c>
      <c r="J102" s="416">
        <v>8</v>
      </c>
      <c r="N102" s="440" t="b">
        <f t="array" aca="1" ref="N102:Q106" ca="1">IF(T5,IEAData!$G101:$G105*TRANSPOSE(M12:Q15)*T102:T106/N99:Q99*N98:Q98)</f>
        <v>0</v>
      </c>
      <c r="O102" s="440" t="b">
        <f ca="1"/>
        <v>0</v>
      </c>
      <c r="P102" s="440" t="b">
        <f ca="1"/>
        <v>0</v>
      </c>
      <c r="Q102" s="440" t="b">
        <f ca="1"/>
        <v>0</v>
      </c>
      <c r="R102" s="386">
        <f>SUM(N102:Q102)</f>
        <v>0</v>
      </c>
      <c r="T102" s="416">
        <v>4</v>
      </c>
      <c r="X102" s="440" t="b">
        <f t="array" aca="1" ref="X102:AA106" ca="1">IF(AD5,IEAData!$G101:$G105*TRANSPOSE(W12:AA15)*AD102:AD106/(Tiny+X99:AA99)*X98:AA98)</f>
        <v>0</v>
      </c>
      <c r="Y102" s="440" t="b">
        <f ca="1"/>
        <v>0</v>
      </c>
      <c r="Z102" s="440" t="b">
        <f ca="1"/>
        <v>0</v>
      </c>
      <c r="AA102" s="440" t="b">
        <f ca="1"/>
        <v>0</v>
      </c>
      <c r="AB102" s="386">
        <f>SUM(X102:AA102)</f>
        <v>0</v>
      </c>
      <c r="AD102" s="416">
        <v>7.5</v>
      </c>
    </row>
    <row r="103" spans="1:30" hidden="1">
      <c r="B103" s="382" t="s">
        <v>255</v>
      </c>
      <c r="D103" s="440">
        <f ca="1"/>
        <v>317.38151530388922</v>
      </c>
      <c r="E103" s="440">
        <f ca="1"/>
        <v>1151.5156840204088</v>
      </c>
      <c r="F103" s="440">
        <f ca="1"/>
        <v>19.891689557500779</v>
      </c>
      <c r="G103" s="440">
        <f ca="1"/>
        <v>3.1886747833234756</v>
      </c>
      <c r="H103" s="386">
        <f>SUM(D103:G103)</f>
        <v>1491.9775636651223</v>
      </c>
      <c r="J103" s="416">
        <v>2</v>
      </c>
      <c r="N103" s="440" t="b">
        <f ca="1"/>
        <v>0</v>
      </c>
      <c r="O103" s="440" t="b">
        <f ca="1"/>
        <v>0</v>
      </c>
      <c r="P103" s="440" t="b">
        <f ca="1"/>
        <v>0</v>
      </c>
      <c r="Q103" s="440" t="b">
        <f ca="1"/>
        <v>0</v>
      </c>
      <c r="R103" s="386">
        <f>SUM(N103:Q103)</f>
        <v>0</v>
      </c>
      <c r="T103" s="416">
        <v>2</v>
      </c>
      <c r="X103" s="440" t="b">
        <f ca="1"/>
        <v>0</v>
      </c>
      <c r="Y103" s="440" t="b">
        <f ca="1"/>
        <v>0</v>
      </c>
      <c r="Z103" s="440" t="b">
        <f ca="1"/>
        <v>0</v>
      </c>
      <c r="AA103" s="440" t="b">
        <f ca="1"/>
        <v>0</v>
      </c>
      <c r="AB103" s="386">
        <f>SUM(X103:AA103)</f>
        <v>0</v>
      </c>
      <c r="AD103" s="416">
        <v>2</v>
      </c>
    </row>
    <row r="104" spans="1:30" hidden="1">
      <c r="B104" s="382" t="s">
        <v>256</v>
      </c>
      <c r="D104" s="440">
        <f ca="1"/>
        <v>9.7000808131282579</v>
      </c>
      <c r="E104" s="440">
        <f ca="1"/>
        <v>2.8845776983455802</v>
      </c>
      <c r="F104" s="440">
        <f ca="1"/>
        <v>0.14323398331352649</v>
      </c>
      <c r="G104" s="440">
        <f ca="1"/>
        <v>4.006870194572773E-2</v>
      </c>
      <c r="H104" s="386">
        <f>SUM(D104:G104)</f>
        <v>12.767961196733093</v>
      </c>
      <c r="J104" s="416">
        <v>1</v>
      </c>
      <c r="N104" s="440" t="b">
        <f ca="1"/>
        <v>0</v>
      </c>
      <c r="O104" s="440" t="b">
        <f ca="1"/>
        <v>0</v>
      </c>
      <c r="P104" s="440" t="b">
        <f ca="1"/>
        <v>0</v>
      </c>
      <c r="Q104" s="440" t="b">
        <f ca="1"/>
        <v>0</v>
      </c>
      <c r="R104" s="386">
        <f>SUM(N104:Q104)</f>
        <v>0</v>
      </c>
      <c r="T104" s="416">
        <v>1</v>
      </c>
      <c r="X104" s="440" t="b">
        <f ca="1"/>
        <v>0</v>
      </c>
      <c r="Y104" s="440" t="b">
        <f ca="1"/>
        <v>0</v>
      </c>
      <c r="Z104" s="440" t="b">
        <f ca="1"/>
        <v>0</v>
      </c>
      <c r="AA104" s="440" t="b">
        <f ca="1"/>
        <v>0</v>
      </c>
      <c r="AB104" s="386">
        <f>SUM(X104:AA104)</f>
        <v>0</v>
      </c>
      <c r="AD104" s="416">
        <v>1</v>
      </c>
    </row>
    <row r="105" spans="1:30" hidden="1">
      <c r="B105" s="382" t="s">
        <v>347</v>
      </c>
      <c r="D105" s="440">
        <f ca="1"/>
        <v>1.6098211373045856</v>
      </c>
      <c r="E105" s="440">
        <f ca="1"/>
        <v>7.9807623788054682</v>
      </c>
      <c r="F105" s="440">
        <f ca="1"/>
        <v>124.57651990662794</v>
      </c>
      <c r="G105" s="440">
        <f ca="1"/>
        <v>227.55067303533065</v>
      </c>
      <c r="H105" s="386">
        <f>SUM(D105:G105)</f>
        <v>361.71777645806867</v>
      </c>
      <c r="J105" s="416">
        <v>1</v>
      </c>
      <c r="N105" s="440" t="b">
        <f ca="1"/>
        <v>0</v>
      </c>
      <c r="O105" s="440" t="b">
        <f ca="1"/>
        <v>0</v>
      </c>
      <c r="P105" s="440" t="b">
        <f ca="1"/>
        <v>0</v>
      </c>
      <c r="Q105" s="440" t="b">
        <f ca="1"/>
        <v>0</v>
      </c>
      <c r="R105" s="386">
        <f>SUM(N105:Q105)</f>
        <v>0</v>
      </c>
      <c r="T105" s="416">
        <v>1</v>
      </c>
      <c r="X105" s="440" t="b">
        <f ca="1"/>
        <v>0</v>
      </c>
      <c r="Y105" s="440" t="b">
        <f ca="1"/>
        <v>0</v>
      </c>
      <c r="Z105" s="440" t="b">
        <f ca="1"/>
        <v>0</v>
      </c>
      <c r="AA105" s="440" t="b">
        <f ca="1"/>
        <v>0</v>
      </c>
      <c r="AB105" s="386">
        <f>SUM(X105:AA105)</f>
        <v>0</v>
      </c>
      <c r="AD105" s="416">
        <v>0.6</v>
      </c>
    </row>
    <row r="106" spans="1:30" hidden="1">
      <c r="B106" s="382" t="s">
        <v>257</v>
      </c>
      <c r="D106" s="440">
        <f ca="1"/>
        <v>93.781536733459689</v>
      </c>
      <c r="E106" s="440">
        <f ca="1"/>
        <v>71.926153438896904</v>
      </c>
      <c r="F106" s="440">
        <f ca="1"/>
        <v>70.950573306334277</v>
      </c>
      <c r="G106" s="440">
        <f ca="1"/>
        <v>355.85260641975532</v>
      </c>
      <c r="H106" s="386">
        <f>SUM(D106:G106)</f>
        <v>592.51086989844612</v>
      </c>
      <c r="J106" s="416">
        <v>1</v>
      </c>
      <c r="N106" s="440" t="b">
        <f ca="1"/>
        <v>0</v>
      </c>
      <c r="O106" s="440" t="b">
        <f ca="1"/>
        <v>0</v>
      </c>
      <c r="P106" s="440" t="b">
        <f ca="1"/>
        <v>0</v>
      </c>
      <c r="Q106" s="440" t="b">
        <f ca="1"/>
        <v>0</v>
      </c>
      <c r="R106" s="386">
        <f>SUM(N106:Q106)</f>
        <v>0</v>
      </c>
      <c r="T106" s="416">
        <v>1</v>
      </c>
      <c r="X106" s="440" t="b">
        <f ca="1"/>
        <v>0</v>
      </c>
      <c r="Y106" s="440" t="b">
        <f ca="1"/>
        <v>0</v>
      </c>
      <c r="Z106" s="440" t="b">
        <f ca="1"/>
        <v>0</v>
      </c>
      <c r="AA106" s="440" t="b">
        <f ca="1"/>
        <v>0</v>
      </c>
      <c r="AB106" s="386">
        <f>SUM(X106:AA106)</f>
        <v>0</v>
      </c>
      <c r="AD106" s="416">
        <v>0.4</v>
      </c>
    </row>
    <row r="107" spans="1:30" hidden="1">
      <c r="B107" s="364" t="s">
        <v>52</v>
      </c>
      <c r="D107" s="385">
        <f>SUM(D102:D106)</f>
        <v>1579.2689494586148</v>
      </c>
      <c r="E107" s="385">
        <f>SUM(E102:E106)</f>
        <v>1834.924538869428</v>
      </c>
      <c r="F107" s="385">
        <f>SUM(F102:F106)</f>
        <v>2280.3926766292197</v>
      </c>
      <c r="G107" s="385">
        <f>SUM(G102:G106)</f>
        <v>4008.0256537452447</v>
      </c>
      <c r="H107" s="385">
        <f>SUM(H102:H106)</f>
        <v>9702.6118187025058</v>
      </c>
      <c r="J107" s="422"/>
      <c r="N107" s="385">
        <f>SUM(N102:N106)</f>
        <v>0</v>
      </c>
      <c r="O107" s="385">
        <f>SUM(O102:O106)</f>
        <v>0</v>
      </c>
      <c r="P107" s="385">
        <f>SUM(P102:P106)</f>
        <v>0</v>
      </c>
      <c r="Q107" s="385">
        <f>SUM(Q102:Q106)</f>
        <v>0</v>
      </c>
      <c r="R107" s="385">
        <f>SUM(R102:R106)</f>
        <v>0</v>
      </c>
      <c r="T107" s="422"/>
      <c r="X107" s="385">
        <f>SUM(X102:X106)</f>
        <v>0</v>
      </c>
      <c r="Y107" s="385">
        <f>SUM(Y102:Y106)</f>
        <v>0</v>
      </c>
      <c r="Z107" s="385">
        <f>SUM(Z102:Z106)</f>
        <v>0</v>
      </c>
      <c r="AA107" s="385">
        <f>SUM(AA102:AA106)</f>
        <v>0</v>
      </c>
      <c r="AB107" s="385">
        <f>SUM(AB102:AB106)</f>
        <v>0</v>
      </c>
      <c r="AD107" s="422"/>
    </row>
    <row r="108" spans="1:30" hidden="1">
      <c r="D108" s="415"/>
      <c r="E108" s="415"/>
      <c r="F108" s="415"/>
      <c r="G108" s="415"/>
      <c r="N108" s="415"/>
      <c r="O108" s="415"/>
      <c r="P108" s="415"/>
      <c r="Q108" s="415"/>
      <c r="X108" s="415"/>
      <c r="Y108" s="415"/>
      <c r="Z108" s="415"/>
      <c r="AA108" s="415"/>
    </row>
    <row r="109" spans="1:30" hidden="1"/>
    <row r="110" spans="1:30" hidden="1">
      <c r="B110" s="364" t="s">
        <v>381</v>
      </c>
      <c r="D110" s="411">
        <v>2010</v>
      </c>
      <c r="E110" s="411">
        <v>2015</v>
      </c>
      <c r="F110" s="411">
        <v>2020</v>
      </c>
      <c r="G110" s="411">
        <v>2025</v>
      </c>
      <c r="H110" s="411">
        <v>2030</v>
      </c>
      <c r="I110" s="411">
        <v>2040</v>
      </c>
      <c r="J110" s="411">
        <v>2050</v>
      </c>
      <c r="N110" s="411">
        <v>2010</v>
      </c>
      <c r="O110" s="411">
        <v>2015</v>
      </c>
      <c r="P110" s="411">
        <v>2020</v>
      </c>
      <c r="Q110" s="411">
        <v>2025</v>
      </c>
      <c r="R110" s="411">
        <v>2030</v>
      </c>
      <c r="S110" s="411">
        <v>2040</v>
      </c>
      <c r="T110" s="411">
        <v>2050</v>
      </c>
      <c r="X110" s="411">
        <v>2010</v>
      </c>
      <c r="Y110" s="411">
        <v>2015</v>
      </c>
      <c r="Z110" s="411">
        <v>2020</v>
      </c>
      <c r="AA110" s="411">
        <v>2025</v>
      </c>
      <c r="AB110" s="411">
        <v>2030</v>
      </c>
      <c r="AC110" s="411">
        <v>2040</v>
      </c>
      <c r="AD110" s="411">
        <v>2050</v>
      </c>
    </row>
    <row r="111" spans="1:30" hidden="1">
      <c r="A111" s="364">
        <v>1</v>
      </c>
      <c r="B111" s="382" t="s">
        <v>255</v>
      </c>
      <c r="D111" s="383">
        <v>464.5</v>
      </c>
      <c r="E111" s="383">
        <v>479.5</v>
      </c>
      <c r="F111" s="383">
        <v>369.5</v>
      </c>
      <c r="G111" s="383">
        <v>224</v>
      </c>
      <c r="H111" s="383">
        <v>130</v>
      </c>
      <c r="I111" s="383">
        <v>0</v>
      </c>
      <c r="J111" s="376">
        <v>0</v>
      </c>
      <c r="N111" s="383">
        <v>90</v>
      </c>
      <c r="O111" s="383">
        <v>70</v>
      </c>
      <c r="P111" s="383">
        <v>50</v>
      </c>
      <c r="Q111" s="383">
        <v>0</v>
      </c>
      <c r="R111" s="383">
        <v>0</v>
      </c>
      <c r="S111" s="383">
        <v>0</v>
      </c>
      <c r="T111" s="376"/>
      <c r="X111" s="383">
        <v>1912</v>
      </c>
      <c r="Y111" s="383">
        <v>2004</v>
      </c>
      <c r="Z111" s="383">
        <v>1389.1911315582172</v>
      </c>
      <c r="AA111" s="383">
        <v>816.33081529487788</v>
      </c>
      <c r="AB111" s="383">
        <v>618.04854178292499</v>
      </c>
      <c r="AC111" s="383">
        <v>0</v>
      </c>
      <c r="AD111" s="376">
        <v>0</v>
      </c>
    </row>
    <row r="112" spans="1:30" hidden="1">
      <c r="A112" s="364">
        <v>1</v>
      </c>
      <c r="B112" s="382" t="s">
        <v>256</v>
      </c>
      <c r="D112" s="383">
        <v>9.9129999999999996E-2</v>
      </c>
      <c r="E112" s="383">
        <v>8.7129999999999999E-2</v>
      </c>
      <c r="F112" s="383">
        <v>3.56E-2</v>
      </c>
      <c r="G112" s="383">
        <v>7.4000000000000003E-3</v>
      </c>
      <c r="H112" s="383">
        <v>3.8999999999999998E-3</v>
      </c>
      <c r="I112" s="383">
        <v>0</v>
      </c>
      <c r="J112" s="376">
        <v>0</v>
      </c>
      <c r="N112" s="383">
        <v>90</v>
      </c>
      <c r="O112" s="383">
        <v>70</v>
      </c>
      <c r="P112" s="383">
        <v>50</v>
      </c>
      <c r="Q112" s="383">
        <v>0</v>
      </c>
      <c r="R112" s="383">
        <v>0</v>
      </c>
      <c r="S112" s="383">
        <v>0</v>
      </c>
      <c r="T112" s="376"/>
      <c r="X112" s="383">
        <v>420</v>
      </c>
      <c r="Y112" s="383">
        <v>420</v>
      </c>
      <c r="Z112" s="383">
        <v>260</v>
      </c>
      <c r="AA112" s="383">
        <v>0</v>
      </c>
      <c r="AB112" s="383">
        <v>0</v>
      </c>
      <c r="AC112" s="383">
        <v>0</v>
      </c>
      <c r="AD112" s="376">
        <v>0</v>
      </c>
    </row>
    <row r="113" spans="1:30" hidden="1">
      <c r="A113" s="364">
        <v>1</v>
      </c>
      <c r="B113" s="382" t="s">
        <v>257</v>
      </c>
      <c r="D113" s="383">
        <v>58.8</v>
      </c>
      <c r="E113" s="383">
        <v>154.80000000000001</v>
      </c>
      <c r="F113" s="383">
        <v>221.8</v>
      </c>
      <c r="G113" s="383">
        <v>219.8</v>
      </c>
      <c r="H113" s="383">
        <v>219.8</v>
      </c>
      <c r="I113" s="383">
        <v>168</v>
      </c>
      <c r="J113" s="376">
        <v>0</v>
      </c>
      <c r="N113" s="383">
        <v>90</v>
      </c>
      <c r="O113" s="383">
        <v>70</v>
      </c>
      <c r="P113" s="383">
        <v>50</v>
      </c>
      <c r="Q113" s="383">
        <v>0</v>
      </c>
      <c r="R113" s="383">
        <v>0</v>
      </c>
      <c r="S113" s="383">
        <v>0</v>
      </c>
      <c r="T113" s="376"/>
      <c r="X113" s="383">
        <v>20</v>
      </c>
      <c r="Y113" s="383">
        <v>20</v>
      </c>
      <c r="Z113" s="383">
        <v>242</v>
      </c>
      <c r="AA113" s="383">
        <v>492</v>
      </c>
      <c r="AB113" s="383">
        <v>492</v>
      </c>
      <c r="AC113" s="383">
        <v>492</v>
      </c>
      <c r="AD113" s="376">
        <v>400</v>
      </c>
    </row>
    <row r="114" spans="1:30" hidden="1">
      <c r="A114" s="364">
        <v>1</v>
      </c>
      <c r="B114" s="382" t="s">
        <v>314</v>
      </c>
      <c r="D114" s="433">
        <v>991.3</v>
      </c>
      <c r="E114" s="433">
        <v>871.3</v>
      </c>
      <c r="F114" s="433">
        <v>356</v>
      </c>
      <c r="G114" s="433">
        <v>74</v>
      </c>
      <c r="H114" s="433">
        <v>39</v>
      </c>
      <c r="I114" s="433">
        <v>0</v>
      </c>
      <c r="J114" s="434">
        <v>0</v>
      </c>
      <c r="N114" s="433">
        <v>90</v>
      </c>
      <c r="O114" s="433">
        <v>70</v>
      </c>
      <c r="P114" s="433">
        <v>50</v>
      </c>
      <c r="Q114" s="433">
        <v>0</v>
      </c>
      <c r="R114" s="433">
        <v>0</v>
      </c>
      <c r="S114" s="433">
        <v>2.4997802277744565E-3</v>
      </c>
      <c r="T114" s="434"/>
      <c r="X114" s="433">
        <v>1750.7</v>
      </c>
      <c r="Y114" s="433">
        <v>935</v>
      </c>
      <c r="Z114" s="433">
        <v>670.62284482412315</v>
      </c>
      <c r="AA114" s="433">
        <v>439.1821945388952</v>
      </c>
      <c r="AB114" s="433">
        <v>398.49215801568795</v>
      </c>
      <c r="AC114" s="433">
        <v>0</v>
      </c>
      <c r="AD114" s="434">
        <v>0</v>
      </c>
    </row>
    <row r="115" spans="1:30" hidden="1">
      <c r="A115" s="364">
        <v>2</v>
      </c>
      <c r="B115" s="382" t="s">
        <v>255</v>
      </c>
      <c r="D115" s="383">
        <v>1080.8</v>
      </c>
      <c r="E115" s="383">
        <v>1178.3</v>
      </c>
      <c r="F115" s="383">
        <v>898.9</v>
      </c>
      <c r="G115" s="383">
        <v>484.6</v>
      </c>
      <c r="H115" s="383">
        <v>406.1</v>
      </c>
      <c r="I115" s="383">
        <v>22.5</v>
      </c>
      <c r="J115" s="376">
        <v>0</v>
      </c>
      <c r="N115" s="383">
        <v>90</v>
      </c>
      <c r="O115" s="383">
        <v>70</v>
      </c>
      <c r="P115" s="383">
        <v>50</v>
      </c>
      <c r="Q115" s="383">
        <v>0</v>
      </c>
      <c r="R115" s="383">
        <v>0</v>
      </c>
      <c r="S115" s="383">
        <v>0</v>
      </c>
      <c r="T115" s="376"/>
      <c r="X115" s="383">
        <v>0</v>
      </c>
      <c r="Y115" s="383">
        <v>0</v>
      </c>
      <c r="Z115" s="383">
        <v>0</v>
      </c>
      <c r="AA115" s="383">
        <v>0</v>
      </c>
      <c r="AB115" s="383">
        <v>0</v>
      </c>
      <c r="AC115" s="383">
        <v>0</v>
      </c>
      <c r="AD115" s="376"/>
    </row>
    <row r="116" spans="1:30" hidden="1">
      <c r="A116" s="364">
        <v>2</v>
      </c>
      <c r="B116" s="382" t="s">
        <v>256</v>
      </c>
      <c r="D116" s="383">
        <v>4.8960000000000004E-2</v>
      </c>
      <c r="E116" s="383">
        <v>4.3779999999999999E-2</v>
      </c>
      <c r="F116" s="383">
        <v>2.4109999999999999E-2</v>
      </c>
      <c r="G116" s="383">
        <v>1.2830000000000001E-2</v>
      </c>
      <c r="H116" s="383">
        <v>1.061E-2</v>
      </c>
      <c r="I116" s="383">
        <v>2.0000000000000002E-5</v>
      </c>
      <c r="J116" s="376">
        <v>0</v>
      </c>
      <c r="N116" s="383">
        <v>90</v>
      </c>
      <c r="O116" s="383">
        <v>70</v>
      </c>
      <c r="P116" s="383">
        <v>50</v>
      </c>
      <c r="Q116" s="383">
        <v>0</v>
      </c>
      <c r="R116" s="383">
        <v>0</v>
      </c>
      <c r="S116" s="383">
        <v>0</v>
      </c>
      <c r="T116" s="376"/>
      <c r="X116" s="383">
        <v>0</v>
      </c>
      <c r="Y116" s="383">
        <v>0</v>
      </c>
      <c r="Z116" s="383">
        <v>0</v>
      </c>
      <c r="AA116" s="383">
        <v>0</v>
      </c>
      <c r="AB116" s="383">
        <v>0</v>
      </c>
      <c r="AC116" s="383">
        <v>0</v>
      </c>
      <c r="AD116" s="376"/>
    </row>
    <row r="117" spans="1:30" hidden="1">
      <c r="A117" s="364">
        <v>2</v>
      </c>
      <c r="B117" s="382" t="s">
        <v>257</v>
      </c>
      <c r="D117" s="383">
        <v>27.1</v>
      </c>
      <c r="E117" s="383">
        <v>163.19999999999999</v>
      </c>
      <c r="F117" s="383">
        <v>170.8</v>
      </c>
      <c r="G117" s="383">
        <v>163.5</v>
      </c>
      <c r="H117" s="383">
        <v>163.5</v>
      </c>
      <c r="I117" s="383">
        <v>150.9</v>
      </c>
      <c r="J117" s="376">
        <v>0</v>
      </c>
      <c r="N117" s="383">
        <v>90</v>
      </c>
      <c r="O117" s="383">
        <v>70</v>
      </c>
      <c r="P117" s="383">
        <v>50</v>
      </c>
      <c r="Q117" s="383">
        <v>0</v>
      </c>
      <c r="R117" s="383">
        <v>0</v>
      </c>
      <c r="S117" s="383">
        <v>0</v>
      </c>
      <c r="T117" s="376"/>
      <c r="X117" s="383">
        <v>0</v>
      </c>
      <c r="Y117" s="383">
        <v>0</v>
      </c>
      <c r="Z117" s="383">
        <v>0</v>
      </c>
      <c r="AA117" s="383">
        <v>0</v>
      </c>
      <c r="AB117" s="383">
        <v>0</v>
      </c>
      <c r="AC117" s="383">
        <v>0</v>
      </c>
      <c r="AD117" s="376"/>
    </row>
    <row r="118" spans="1:30" hidden="1">
      <c r="A118" s="364">
        <v>2</v>
      </c>
      <c r="B118" s="382" t="s">
        <v>314</v>
      </c>
      <c r="D118" s="433">
        <v>489.6</v>
      </c>
      <c r="E118" s="433">
        <v>437.8</v>
      </c>
      <c r="F118" s="433">
        <v>241.1</v>
      </c>
      <c r="G118" s="433">
        <v>128.30000000000001</v>
      </c>
      <c r="H118" s="433">
        <v>106.1</v>
      </c>
      <c r="I118" s="433">
        <v>0.2</v>
      </c>
      <c r="J118" s="434">
        <v>0</v>
      </c>
      <c r="N118" s="433">
        <v>90</v>
      </c>
      <c r="O118" s="433">
        <v>70</v>
      </c>
      <c r="P118" s="433">
        <v>50</v>
      </c>
      <c r="Q118" s="433">
        <v>0</v>
      </c>
      <c r="R118" s="433">
        <v>0</v>
      </c>
      <c r="S118" s="433">
        <v>2.4997802277744565E-3</v>
      </c>
      <c r="T118" s="434"/>
      <c r="X118" s="433">
        <v>0</v>
      </c>
      <c r="Y118" s="433">
        <v>0</v>
      </c>
      <c r="Z118" s="433">
        <v>0</v>
      </c>
      <c r="AA118" s="433">
        <v>0</v>
      </c>
      <c r="AB118" s="433">
        <v>0</v>
      </c>
      <c r="AC118" s="433">
        <v>0</v>
      </c>
      <c r="AD118" s="434"/>
    </row>
    <row r="119" spans="1:30" hidden="1">
      <c r="A119" s="364">
        <v>3</v>
      </c>
      <c r="B119" s="382" t="s">
        <v>255</v>
      </c>
      <c r="D119" s="383">
        <v>0.16908000000000001</v>
      </c>
      <c r="E119" s="383">
        <v>0.17413000000000001</v>
      </c>
      <c r="F119" s="383">
        <v>0.12164000000000001</v>
      </c>
      <c r="G119" s="383">
        <v>7.8589999999999993E-2</v>
      </c>
      <c r="H119" s="383">
        <v>6.139E-2</v>
      </c>
      <c r="I119" s="383">
        <v>0</v>
      </c>
      <c r="J119" s="376">
        <v>0</v>
      </c>
      <c r="N119" s="383">
        <v>90</v>
      </c>
      <c r="O119" s="383">
        <v>70</v>
      </c>
      <c r="P119" s="383">
        <v>50</v>
      </c>
      <c r="Q119" s="383">
        <v>0</v>
      </c>
      <c r="R119" s="383">
        <v>0</v>
      </c>
      <c r="S119" s="383">
        <v>0</v>
      </c>
      <c r="T119" s="376"/>
      <c r="X119" s="383">
        <v>0</v>
      </c>
      <c r="Y119" s="383">
        <v>0</v>
      </c>
      <c r="Z119" s="383">
        <v>0</v>
      </c>
      <c r="AA119" s="383">
        <v>0</v>
      </c>
      <c r="AB119" s="383">
        <v>0</v>
      </c>
      <c r="AC119" s="383">
        <v>0</v>
      </c>
      <c r="AD119" s="376"/>
    </row>
    <row r="120" spans="1:30" hidden="1">
      <c r="A120" s="364">
        <v>3</v>
      </c>
      <c r="B120" s="382" t="s">
        <v>256</v>
      </c>
      <c r="D120" s="383">
        <v>0.16908000000000001</v>
      </c>
      <c r="E120" s="383">
        <v>0.17413000000000001</v>
      </c>
      <c r="F120" s="383">
        <v>0.12164000000000001</v>
      </c>
      <c r="G120" s="383">
        <v>7.8589999999999993E-2</v>
      </c>
      <c r="H120" s="383">
        <v>6.139E-2</v>
      </c>
      <c r="I120" s="383">
        <v>0</v>
      </c>
      <c r="J120" s="376">
        <v>0</v>
      </c>
      <c r="N120" s="383">
        <v>90</v>
      </c>
      <c r="O120" s="383">
        <v>70</v>
      </c>
      <c r="P120" s="383">
        <v>50</v>
      </c>
      <c r="Q120" s="383">
        <v>0</v>
      </c>
      <c r="R120" s="383">
        <v>0</v>
      </c>
      <c r="S120" s="383">
        <v>0</v>
      </c>
      <c r="T120" s="376"/>
      <c r="X120" s="383">
        <v>0</v>
      </c>
      <c r="Y120" s="383">
        <v>0</v>
      </c>
      <c r="Z120" s="383">
        <v>0</v>
      </c>
      <c r="AA120" s="383">
        <v>0</v>
      </c>
      <c r="AB120" s="383">
        <v>0</v>
      </c>
      <c r="AC120" s="383">
        <v>0</v>
      </c>
      <c r="AD120" s="376"/>
    </row>
    <row r="121" spans="1:30" hidden="1">
      <c r="A121" s="364">
        <v>3</v>
      </c>
      <c r="B121" s="382" t="s">
        <v>257</v>
      </c>
      <c r="D121" s="383">
        <v>333.9</v>
      </c>
      <c r="E121" s="383">
        <v>345.4</v>
      </c>
      <c r="F121" s="383">
        <v>222.9</v>
      </c>
      <c r="G121" s="383">
        <v>208.4</v>
      </c>
      <c r="H121" s="383">
        <v>204.4</v>
      </c>
      <c r="I121" s="383">
        <v>131.5</v>
      </c>
      <c r="J121" s="376">
        <v>0</v>
      </c>
      <c r="N121" s="383">
        <v>90</v>
      </c>
      <c r="O121" s="383">
        <v>70</v>
      </c>
      <c r="P121" s="383">
        <v>50</v>
      </c>
      <c r="Q121" s="383">
        <v>0</v>
      </c>
      <c r="R121" s="383">
        <v>0</v>
      </c>
      <c r="S121" s="383">
        <v>0</v>
      </c>
      <c r="T121" s="376"/>
      <c r="X121" s="383">
        <v>0</v>
      </c>
      <c r="Y121" s="383">
        <v>0</v>
      </c>
      <c r="Z121" s="383">
        <v>0</v>
      </c>
      <c r="AA121" s="383">
        <v>0</v>
      </c>
      <c r="AB121" s="383">
        <v>0</v>
      </c>
      <c r="AC121" s="383">
        <v>0</v>
      </c>
      <c r="AD121" s="376"/>
    </row>
    <row r="122" spans="1:30" hidden="1">
      <c r="A122" s="364">
        <v>3</v>
      </c>
      <c r="B122" s="382" t="s">
        <v>314</v>
      </c>
      <c r="D122" s="433">
        <v>1690.8</v>
      </c>
      <c r="E122" s="433">
        <v>1741.3</v>
      </c>
      <c r="F122" s="433">
        <v>1216.4000000000001</v>
      </c>
      <c r="G122" s="433">
        <v>785.9</v>
      </c>
      <c r="H122" s="433">
        <v>613.9</v>
      </c>
      <c r="I122" s="433">
        <v>0</v>
      </c>
      <c r="J122" s="434">
        <v>0</v>
      </c>
      <c r="N122" s="433">
        <v>90</v>
      </c>
      <c r="O122" s="433">
        <v>70</v>
      </c>
      <c r="P122" s="433">
        <v>50</v>
      </c>
      <c r="Q122" s="433">
        <v>0</v>
      </c>
      <c r="R122" s="433">
        <v>0</v>
      </c>
      <c r="S122" s="433">
        <v>2.4997802277744565E-3</v>
      </c>
      <c r="T122" s="434"/>
      <c r="X122" s="433">
        <v>0</v>
      </c>
      <c r="Y122" s="433">
        <v>0</v>
      </c>
      <c r="Z122" s="433">
        <v>0</v>
      </c>
      <c r="AA122" s="433">
        <v>0</v>
      </c>
      <c r="AB122" s="433">
        <v>0</v>
      </c>
      <c r="AC122" s="433">
        <v>0</v>
      </c>
      <c r="AD122" s="434"/>
    </row>
    <row r="123" spans="1:30" hidden="1">
      <c r="A123" s="364">
        <v>4</v>
      </c>
      <c r="B123" s="382" t="s">
        <v>255</v>
      </c>
      <c r="D123" s="383">
        <v>10.4</v>
      </c>
      <c r="E123" s="383">
        <v>10.4</v>
      </c>
      <c r="F123" s="383">
        <v>10.4</v>
      </c>
      <c r="G123" s="383">
        <v>10.4</v>
      </c>
      <c r="H123" s="383">
        <v>10.4</v>
      </c>
      <c r="I123" s="383">
        <v>6.5200000000000006E-3</v>
      </c>
      <c r="J123" s="376">
        <v>0</v>
      </c>
      <c r="N123" s="383">
        <v>90</v>
      </c>
      <c r="O123" s="383">
        <v>70</v>
      </c>
      <c r="P123" s="383">
        <v>50</v>
      </c>
      <c r="Q123" s="383">
        <v>0</v>
      </c>
      <c r="R123" s="383">
        <v>0</v>
      </c>
      <c r="S123" s="383">
        <v>0</v>
      </c>
      <c r="T123" s="376"/>
      <c r="X123" s="383">
        <v>0</v>
      </c>
      <c r="Y123" s="383">
        <v>0</v>
      </c>
      <c r="Z123" s="383">
        <v>0</v>
      </c>
      <c r="AA123" s="383">
        <v>0</v>
      </c>
      <c r="AB123" s="383">
        <v>0</v>
      </c>
      <c r="AC123" s="383">
        <v>0</v>
      </c>
      <c r="AD123" s="376"/>
    </row>
    <row r="124" spans="1:30" hidden="1">
      <c r="A124" s="364">
        <v>4</v>
      </c>
      <c r="B124" s="382" t="s">
        <v>256</v>
      </c>
      <c r="D124" s="383">
        <v>0.14937999999999999</v>
      </c>
      <c r="E124" s="383">
        <v>0.15556</v>
      </c>
      <c r="F124" s="383">
        <v>0.11465999999999998</v>
      </c>
      <c r="G124" s="383">
        <v>6.1699999999999998E-2</v>
      </c>
      <c r="H124" s="383">
        <v>3.4480000000000004E-2</v>
      </c>
      <c r="I124" s="383">
        <v>6.5200000000000006E-3</v>
      </c>
      <c r="J124" s="376">
        <v>0</v>
      </c>
      <c r="N124" s="383">
        <v>90</v>
      </c>
      <c r="O124" s="383">
        <v>70</v>
      </c>
      <c r="P124" s="383">
        <v>50</v>
      </c>
      <c r="Q124" s="383">
        <v>0</v>
      </c>
      <c r="R124" s="383">
        <v>0</v>
      </c>
      <c r="S124" s="383">
        <v>0</v>
      </c>
      <c r="T124" s="376"/>
      <c r="X124" s="383">
        <v>0</v>
      </c>
      <c r="Y124" s="383">
        <v>0</v>
      </c>
      <c r="Z124" s="383">
        <v>0</v>
      </c>
      <c r="AA124" s="383">
        <v>0</v>
      </c>
      <c r="AB124" s="383">
        <v>0</v>
      </c>
      <c r="AC124" s="383">
        <v>0</v>
      </c>
      <c r="AD124" s="376"/>
    </row>
    <row r="125" spans="1:30" hidden="1">
      <c r="A125" s="364">
        <v>4</v>
      </c>
      <c r="B125" s="382" t="s">
        <v>257</v>
      </c>
      <c r="D125" s="383">
        <v>1324.2</v>
      </c>
      <c r="E125" s="383">
        <v>1517.8</v>
      </c>
      <c r="F125" s="383">
        <v>1345.3</v>
      </c>
      <c r="G125" s="383">
        <v>968.9</v>
      </c>
      <c r="H125" s="383">
        <v>854.9</v>
      </c>
      <c r="I125" s="383">
        <v>289.7</v>
      </c>
      <c r="J125" s="376">
        <v>0</v>
      </c>
      <c r="N125" s="383">
        <v>90</v>
      </c>
      <c r="O125" s="383">
        <v>70</v>
      </c>
      <c r="P125" s="383">
        <v>50</v>
      </c>
      <c r="Q125" s="383">
        <v>0</v>
      </c>
      <c r="R125" s="383">
        <v>0</v>
      </c>
      <c r="S125" s="383">
        <v>0</v>
      </c>
      <c r="T125" s="376"/>
      <c r="X125" s="383">
        <v>0</v>
      </c>
      <c r="Y125" s="383">
        <v>0</v>
      </c>
      <c r="Z125" s="383">
        <v>0</v>
      </c>
      <c r="AA125" s="383">
        <v>0</v>
      </c>
      <c r="AB125" s="383">
        <v>0</v>
      </c>
      <c r="AC125" s="383">
        <v>0</v>
      </c>
      <c r="AD125" s="376"/>
    </row>
    <row r="126" spans="1:30" hidden="1">
      <c r="A126" s="364">
        <v>4</v>
      </c>
      <c r="B126" s="382" t="s">
        <v>314</v>
      </c>
      <c r="D126" s="433">
        <v>1493.8</v>
      </c>
      <c r="E126" s="433">
        <v>1555.6</v>
      </c>
      <c r="F126" s="433">
        <v>1146.5999999999999</v>
      </c>
      <c r="G126" s="433">
        <v>617</v>
      </c>
      <c r="H126" s="433">
        <v>344.8</v>
      </c>
      <c r="I126" s="433">
        <v>65.2</v>
      </c>
      <c r="J126" s="434">
        <v>0</v>
      </c>
      <c r="N126" s="433">
        <v>90</v>
      </c>
      <c r="O126" s="433">
        <v>70</v>
      </c>
      <c r="P126" s="433">
        <v>50</v>
      </c>
      <c r="Q126" s="433">
        <v>0</v>
      </c>
      <c r="R126" s="433">
        <v>0</v>
      </c>
      <c r="S126" s="433">
        <v>2.4997802277744565E-3</v>
      </c>
      <c r="T126" s="434"/>
      <c r="X126" s="433">
        <v>0</v>
      </c>
      <c r="Y126" s="433">
        <v>0</v>
      </c>
      <c r="Z126" s="433">
        <v>0</v>
      </c>
      <c r="AA126" s="433">
        <v>0</v>
      </c>
      <c r="AB126" s="433">
        <v>0</v>
      </c>
      <c r="AC126" s="433">
        <v>0</v>
      </c>
      <c r="AD126" s="434"/>
    </row>
    <row r="127" spans="1:30" hidden="1">
      <c r="A127" s="364">
        <v>0</v>
      </c>
      <c r="B127" s="382" t="s">
        <v>648</v>
      </c>
      <c r="D127" s="433">
        <v>38.1</v>
      </c>
      <c r="E127" s="433">
        <v>63.6</v>
      </c>
      <c r="F127" s="433">
        <v>63.6</v>
      </c>
      <c r="G127" s="433">
        <v>61.5</v>
      </c>
      <c r="H127" s="433">
        <v>61.5</v>
      </c>
      <c r="I127" s="433">
        <v>3.6</v>
      </c>
      <c r="J127" s="433">
        <v>0</v>
      </c>
      <c r="X127" s="433">
        <v>105</v>
      </c>
      <c r="Y127" s="433">
        <v>145</v>
      </c>
      <c r="Z127" s="433">
        <v>167</v>
      </c>
      <c r="AA127" s="433">
        <v>190</v>
      </c>
      <c r="AB127" s="433">
        <v>190</v>
      </c>
      <c r="AC127" s="433">
        <v>85</v>
      </c>
      <c r="AD127" s="433">
        <v>23</v>
      </c>
    </row>
  </sheetData>
  <sheetProtection password="C14A" sheet="1" objects="1" selectLockedCells="1" selectUnlockedCells="1"/>
  <phoneticPr fontId="27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52"/>
  <sheetViews>
    <sheetView showGridLines="0" showRowColHeaders="0" showZeros="0" showOutlineSymbols="0" topLeftCell="IV65536" zoomScale="80" workbookViewId="0">
      <selection activeCell="D25" sqref="D25"/>
    </sheetView>
  </sheetViews>
  <sheetFormatPr defaultColWidth="0" defaultRowHeight="12.75" zeroHeight="1"/>
  <cols>
    <col min="1" max="21" width="0" style="364" hidden="1" customWidth="1"/>
    <col min="22" max="22" width="8.28515625" style="364" hidden="1" customWidth="1"/>
    <col min="23" max="23" width="7.42578125" style="364" hidden="1" customWidth="1"/>
    <col min="24" max="16384" width="0" style="364" hidden="1"/>
  </cols>
  <sheetData>
    <row r="1" spans="2:22" hidden="1">
      <c r="B1" s="441" t="s">
        <v>310</v>
      </c>
      <c r="C1" s="442">
        <f>MATCH(Region,$B$6:$B$10,0)</f>
        <v>3</v>
      </c>
    </row>
    <row r="2" spans="2:22" hidden="1"/>
    <row r="3" spans="2:22" hidden="1"/>
    <row r="4" spans="2:22" ht="18" hidden="1">
      <c r="B4" s="443" t="s">
        <v>674</v>
      </c>
      <c r="C4" s="444"/>
      <c r="D4" s="443"/>
      <c r="F4" s="443" t="s">
        <v>388</v>
      </c>
      <c r="G4" s="443"/>
      <c r="H4" s="443"/>
      <c r="I4" s="443"/>
      <c r="J4" s="443"/>
      <c r="K4" s="443"/>
      <c r="L4" s="443"/>
    </row>
    <row r="5" spans="2:22" ht="77.25" hidden="1" thickBot="1">
      <c r="B5" s="445" t="s">
        <v>307</v>
      </c>
      <c r="C5" s="445" t="s">
        <v>308</v>
      </c>
      <c r="F5" s="446" t="s">
        <v>307</v>
      </c>
      <c r="G5" s="447" t="s">
        <v>254</v>
      </c>
      <c r="H5" s="448" t="s">
        <v>255</v>
      </c>
      <c r="I5" s="448" t="s">
        <v>256</v>
      </c>
      <c r="J5" s="448" t="s">
        <v>348</v>
      </c>
      <c r="K5" s="448" t="s">
        <v>147</v>
      </c>
      <c r="L5" s="448" t="s">
        <v>112</v>
      </c>
      <c r="M5" s="448" t="s">
        <v>194</v>
      </c>
      <c r="N5" s="448" t="s">
        <v>197</v>
      </c>
      <c r="O5" s="448" t="s">
        <v>195</v>
      </c>
      <c r="R5" s="449" t="s">
        <v>432</v>
      </c>
      <c r="S5" s="450"/>
      <c r="T5" s="450"/>
      <c r="U5" s="451" t="s">
        <v>596</v>
      </c>
      <c r="V5" s="451">
        <f ca="1">MATCH(AuxYear,$N$18:$V$18,1)-1</f>
        <v>1</v>
      </c>
    </row>
    <row r="6" spans="2:22" hidden="1">
      <c r="B6" s="452" t="s">
        <v>305</v>
      </c>
      <c r="C6" s="453">
        <v>20.78</v>
      </c>
      <c r="F6" s="454" t="s">
        <v>305</v>
      </c>
      <c r="G6" s="455">
        <v>0.2</v>
      </c>
      <c r="H6" s="456">
        <v>0.7</v>
      </c>
      <c r="I6" s="456">
        <v>0.75</v>
      </c>
      <c r="J6" s="456">
        <v>0.7</v>
      </c>
      <c r="K6" s="457">
        <v>0.4</v>
      </c>
      <c r="L6" s="456">
        <v>0.85</v>
      </c>
      <c r="M6" s="456">
        <v>0.75</v>
      </c>
      <c r="N6" s="456">
        <v>0.27</v>
      </c>
      <c r="O6" s="456">
        <v>0.14000000000000001</v>
      </c>
      <c r="R6" s="458" t="s">
        <v>433</v>
      </c>
      <c r="S6" s="612">
        <f t="array" aca="1" ref="S6:S7" ca="1">OFFSET(CalibData!$K$12:$K$13,0,(CalIndex-1)*10)</f>
        <v>0.4</v>
      </c>
      <c r="T6" s="612">
        <f t="array" aca="1" ref="T6:T7" ca="1">OFFSET(CalibData!$K$24:$K$25,0,(CalIndex-1)*10)</f>
        <v>0.4</v>
      </c>
      <c r="U6" s="459">
        <f ca="1">AuxYear-OFFSET($N18,0,V5)</f>
        <v>2</v>
      </c>
      <c r="V6" s="459">
        <f ca="1">V5+1</f>
        <v>2</v>
      </c>
    </row>
    <row r="7" spans="2:22" hidden="1">
      <c r="B7" s="452" t="s">
        <v>306</v>
      </c>
      <c r="C7" s="453">
        <v>30.6</v>
      </c>
      <c r="F7" s="454" t="s">
        <v>306</v>
      </c>
      <c r="G7" s="455">
        <v>0.2</v>
      </c>
      <c r="H7" s="456">
        <v>0.7</v>
      </c>
      <c r="I7" s="456">
        <v>0.75</v>
      </c>
      <c r="J7" s="456">
        <v>0.7</v>
      </c>
      <c r="K7" s="456">
        <v>0.35</v>
      </c>
      <c r="L7" s="456">
        <v>0.85</v>
      </c>
      <c r="M7" s="456">
        <v>0.75</v>
      </c>
      <c r="N7" s="456">
        <v>0.27</v>
      </c>
      <c r="O7" s="456">
        <v>0.14000000000000001</v>
      </c>
      <c r="R7" s="458" t="s">
        <v>386</v>
      </c>
      <c r="S7" s="612">
        <f ca="1"/>
        <v>0.46466294936307173</v>
      </c>
      <c r="T7" s="612">
        <f ca="1"/>
        <v>0.46466294936307173</v>
      </c>
      <c r="U7" s="460">
        <f ca="1">OFFSET($N18,0,V5+1)-AuxYear</f>
        <v>3</v>
      </c>
      <c r="V7" s="460">
        <f ca="1">SUM(U6:U7)</f>
        <v>5</v>
      </c>
    </row>
    <row r="8" spans="2:22" hidden="1">
      <c r="B8" s="452" t="s">
        <v>345</v>
      </c>
      <c r="C8" s="453">
        <v>30.1</v>
      </c>
      <c r="F8" s="454" t="s">
        <v>345</v>
      </c>
      <c r="G8" s="455">
        <v>0.2</v>
      </c>
      <c r="H8" s="456">
        <v>0.7</v>
      </c>
      <c r="I8" s="456">
        <v>0.75</v>
      </c>
      <c r="J8" s="456">
        <v>0.7</v>
      </c>
      <c r="K8" s="457">
        <f>13100/3040/8.76</f>
        <v>0.49191900985340065</v>
      </c>
      <c r="L8" s="457">
        <v>0.92</v>
      </c>
      <c r="M8" s="456">
        <v>0.75</v>
      </c>
      <c r="N8" s="457">
        <v>0.30303030303030304</v>
      </c>
      <c r="O8" s="457">
        <f>1050/8760</f>
        <v>0.11986301369863013</v>
      </c>
      <c r="R8" s="461"/>
      <c r="S8" s="462" t="s">
        <v>225</v>
      </c>
      <c r="T8" s="462" t="s">
        <v>225</v>
      </c>
      <c r="U8" s="462" t="s">
        <v>259</v>
      </c>
      <c r="V8" s="462" t="s">
        <v>259</v>
      </c>
    </row>
    <row r="9" spans="2:22" hidden="1">
      <c r="B9" s="452" t="s">
        <v>552</v>
      </c>
      <c r="C9" s="453">
        <v>30.1</v>
      </c>
      <c r="F9" s="454" t="s">
        <v>552</v>
      </c>
      <c r="G9" s="455">
        <v>0.2</v>
      </c>
      <c r="H9" s="456">
        <v>0.7</v>
      </c>
      <c r="I9" s="456">
        <v>0.75</v>
      </c>
      <c r="J9" s="456">
        <v>0.7</v>
      </c>
      <c r="K9" s="457">
        <f>13100/3040/8.76</f>
        <v>0.49191900985340065</v>
      </c>
      <c r="L9" s="456">
        <v>0.92</v>
      </c>
      <c r="M9" s="456">
        <v>0.75</v>
      </c>
      <c r="N9" s="457">
        <v>0.30303030303030304</v>
      </c>
      <c r="O9" s="457">
        <f>1100/8760</f>
        <v>0.12557077625570776</v>
      </c>
      <c r="R9" s="463" t="s">
        <v>434</v>
      </c>
      <c r="S9" s="614">
        <f ca="1">S7*E24</f>
        <v>1.4404551430255224</v>
      </c>
      <c r="T9" s="614">
        <f ca="1">T7*F24</f>
        <v>1.4869214379618296</v>
      </c>
      <c r="U9" s="614">
        <f ca="1">IF(S9&gt;0,S6*IEAData!$I$81/S9/$C$14,1)</f>
        <v>0.4059503329303123</v>
      </c>
      <c r="V9" s="614">
        <f ca="1">IF(T9&gt;0,T6*AuxData!$I$81/T9/$C$14,1)</f>
        <v>0.44963325704905527</v>
      </c>
    </row>
    <row r="10" spans="2:22" hidden="1">
      <c r="B10" s="452" t="s">
        <v>346</v>
      </c>
      <c r="C10" s="453">
        <v>20.71</v>
      </c>
      <c r="F10" s="454" t="s">
        <v>346</v>
      </c>
      <c r="G10" s="455">
        <v>0.2</v>
      </c>
      <c r="H10" s="456">
        <v>0.7</v>
      </c>
      <c r="I10" s="456">
        <v>0.75</v>
      </c>
      <c r="J10" s="456">
        <v>0.7</v>
      </c>
      <c r="K10" s="456">
        <v>0.45</v>
      </c>
      <c r="L10" s="456">
        <v>0.75</v>
      </c>
      <c r="M10" s="456">
        <v>0.75</v>
      </c>
      <c r="N10" s="456">
        <v>0.27</v>
      </c>
      <c r="O10" s="456">
        <v>0.14000000000000001</v>
      </c>
      <c r="R10" s="463" t="s">
        <v>435</v>
      </c>
      <c r="S10" s="614">
        <f ca="1">E24-S9</f>
        <v>1.6595448569744777</v>
      </c>
      <c r="T10" s="614">
        <f ca="1">F24-T9</f>
        <v>1.7130785620381705</v>
      </c>
      <c r="U10" s="614">
        <f ca="1">IF(S10&gt;0,(1-S6)*IEAData!$I$81/S10/$C$14,1)</f>
        <v>0.52853640179554151</v>
      </c>
      <c r="V10" s="614">
        <f ca="1">IF(T10&gt;0,(1-T6)*AuxData!$I$81/T10/$C$14,1)</f>
        <v>0.58541039267755313</v>
      </c>
    </row>
    <row r="11" spans="2:22" ht="90" hidden="1" thickBot="1">
      <c r="B11" s="445" t="s">
        <v>311</v>
      </c>
      <c r="C11" s="465">
        <f>INDEX(C$6:C$10,RegIndex)</f>
        <v>30.1</v>
      </c>
      <c r="F11" s="446" t="s">
        <v>311</v>
      </c>
      <c r="G11" s="447">
        <f t="shared" ref="G11:O11" si="0">INDEX(G6:G10,RegIndex)</f>
        <v>0.2</v>
      </c>
      <c r="H11" s="448">
        <f t="shared" si="0"/>
        <v>0.7</v>
      </c>
      <c r="I11" s="448">
        <f t="shared" si="0"/>
        <v>0.75</v>
      </c>
      <c r="J11" s="448">
        <f t="shared" si="0"/>
        <v>0.7</v>
      </c>
      <c r="K11" s="466">
        <f t="shared" si="0"/>
        <v>0.49191900985340065</v>
      </c>
      <c r="L11" s="448">
        <f t="shared" si="0"/>
        <v>0.92</v>
      </c>
      <c r="M11" s="448">
        <f t="shared" si="0"/>
        <v>0.75</v>
      </c>
      <c r="N11" s="448">
        <f t="shared" si="0"/>
        <v>0.30303030303030304</v>
      </c>
      <c r="O11" s="466">
        <f t="shared" si="0"/>
        <v>0.11986301369863013</v>
      </c>
      <c r="R11" s="365" t="s">
        <v>52</v>
      </c>
      <c r="S11" s="615">
        <f ca="1">SUM(S9:S10)</f>
        <v>3.1</v>
      </c>
      <c r="T11" s="615">
        <f ca="1">SUM(T9:T10)</f>
        <v>3.2</v>
      </c>
      <c r="U11" s="615">
        <f ca="1">IF(S11,SUMPRODUCT(S9:S10,U9:U10)/S11,0)</f>
        <v>0.47157519748579951</v>
      </c>
      <c r="V11" s="615">
        <f ca="1">IF(T11,SUMPRODUCT(T9:T10,V9:V10)/T11,0)</f>
        <v>0.52231978838034543</v>
      </c>
    </row>
    <row r="12" spans="2:22" hidden="1">
      <c r="S12" s="468"/>
    </row>
    <row r="13" spans="2:22" hidden="1"/>
    <row r="14" spans="2:22" ht="76.5" hidden="1">
      <c r="B14" s="469" t="s">
        <v>333</v>
      </c>
      <c r="C14" s="470">
        <f>8.76*3.6</f>
        <v>31.536000000000001</v>
      </c>
    </row>
    <row r="15" spans="2:22" hidden="1">
      <c r="B15" s="471" t="s">
        <v>644</v>
      </c>
      <c r="C15" s="472">
        <v>1</v>
      </c>
      <c r="M15" s="372" t="s">
        <v>669</v>
      </c>
      <c r="N15" s="473">
        <f t="array" aca="1" ref="N15:P15" ca="1">OFFSET(CalibData!$C46:$K46,0,(CalIndex-1)*10)+OFFSET(CalibData!$C47:$K47,0,(CalIndex-1)*10)</f>
        <v>2710</v>
      </c>
      <c r="O15" s="473">
        <f ca="1"/>
        <v>2750</v>
      </c>
      <c r="P15" s="473">
        <f ca="1"/>
        <v>2790</v>
      </c>
    </row>
    <row r="16" spans="2:22" hidden="1">
      <c r="B16" s="471" t="s">
        <v>686</v>
      </c>
      <c r="C16" s="472">
        <v>1000</v>
      </c>
    </row>
    <row r="17" spans="2:23" ht="20.25" hidden="1" thickBot="1">
      <c r="B17" s="474" t="s">
        <v>211</v>
      </c>
      <c r="C17" s="474"/>
      <c r="D17" s="474"/>
      <c r="E17" s="474"/>
      <c r="F17" s="474"/>
      <c r="G17" s="474"/>
      <c r="H17" s="474"/>
      <c r="I17" s="474"/>
      <c r="J17" s="474"/>
      <c r="M17" s="474" t="s">
        <v>225</v>
      </c>
      <c r="N17" s="474"/>
      <c r="O17" s="474"/>
      <c r="P17" s="474"/>
      <c r="Q17" s="474"/>
      <c r="R17" s="474"/>
      <c r="S17" s="474"/>
      <c r="T17" s="474"/>
      <c r="U17" s="474"/>
      <c r="V17" s="474"/>
      <c r="W17" s="474"/>
    </row>
    <row r="18" spans="2:23" ht="16.5" hidden="1" thickTop="1" thickBot="1">
      <c r="B18" s="475"/>
      <c r="C18" s="476" t="s">
        <v>224</v>
      </c>
      <c r="D18" s="476" t="s">
        <v>224</v>
      </c>
      <c r="E18" s="476" t="s">
        <v>225</v>
      </c>
      <c r="F18" s="476" t="s">
        <v>225</v>
      </c>
      <c r="G18" s="476" t="s">
        <v>259</v>
      </c>
      <c r="H18" s="476" t="s">
        <v>259</v>
      </c>
      <c r="I18" s="476" t="s">
        <v>259</v>
      </c>
      <c r="J18" s="476"/>
      <c r="M18" s="475"/>
      <c r="N18" s="476">
        <f t="array" aca="1" ref="N18:V18" ca="1">CalibData!C33:K33</f>
        <v>2010</v>
      </c>
      <c r="O18" s="476">
        <f ca="1"/>
        <v>2015</v>
      </c>
      <c r="P18" s="476">
        <f ca="1"/>
        <v>2020</v>
      </c>
      <c r="Q18" s="476">
        <f ca="1"/>
        <v>2025</v>
      </c>
      <c r="R18" s="476">
        <f ca="1"/>
        <v>2030</v>
      </c>
      <c r="S18" s="476">
        <f ca="1"/>
        <v>2040</v>
      </c>
      <c r="T18" s="476">
        <f ca="1"/>
        <v>2050</v>
      </c>
      <c r="U18" s="476">
        <f ca="1"/>
        <v>2070</v>
      </c>
      <c r="V18" s="476">
        <f ca="1"/>
        <v>2100</v>
      </c>
      <c r="W18" s="477">
        <f ca="1">AuxYear</f>
        <v>2017</v>
      </c>
    </row>
    <row r="19" spans="2:23" ht="15" hidden="1">
      <c r="B19" s="372" t="s">
        <v>254</v>
      </c>
      <c r="C19" s="478">
        <f ca="1">IEAData!H76</f>
        <v>0.38752099817108676</v>
      </c>
      <c r="D19" s="478">
        <f ca="1">AuxData!H76</f>
        <v>0.33002883884650686</v>
      </c>
      <c r="E19" s="479">
        <f ca="1">MAX(N19/1000,IEAData!F76/C$14/INDEX($G$11:$N$11,$J19)*0.7)</f>
        <v>0.97745648159063214</v>
      </c>
      <c r="F19" s="479">
        <f ca="1">MAX(W19/1000,AuxData!F76/C$14/INDEX($G$11:$N$11,$J19)*0.7)</f>
        <v>0.32552249597233673</v>
      </c>
      <c r="G19" s="479">
        <f ca="1">IF(E19,IEAData!F76/(E19*$C$14),INDEX($G$11:$N$11,$J19))</f>
        <v>7.105705225033382E-3</v>
      </c>
      <c r="H19" s="479">
        <f ca="1">IF(F19,AuxData!F76/(F19*$C$14),INDEX($G$11:$O$11,$J19))</f>
        <v>1.5682298814526874E-2</v>
      </c>
      <c r="I19" s="480">
        <f t="shared" ref="I19:I28" ca="1" si="1">MAX(INDEX($G$11:$O$11,$J19),H19)</f>
        <v>0.2</v>
      </c>
      <c r="J19" s="481">
        <v>1</v>
      </c>
      <c r="M19" s="372" t="s">
        <v>254</v>
      </c>
      <c r="N19" s="482">
        <f t="array" aca="1" ref="N19:V19" ca="1">OFFSET(CalibData!$C34:$K34,0,(CalIndex-1)*10)</f>
        <v>977.45648159063217</v>
      </c>
      <c r="O19" s="482">
        <f ca="1"/>
        <v>389.68878934339261</v>
      </c>
      <c r="P19" s="482">
        <f ca="1"/>
        <v>229.27305591575302</v>
      </c>
      <c r="Q19" s="482">
        <f ca="1"/>
        <v>201.55153444143184</v>
      </c>
      <c r="R19" s="482">
        <f ca="1"/>
        <v>173.83001296711069</v>
      </c>
      <c r="S19" s="482">
        <f ca="1"/>
        <v>150.81142677511886</v>
      </c>
      <c r="T19" s="482">
        <f ca="1"/>
        <v>0</v>
      </c>
      <c r="U19" s="482">
        <f ca="1"/>
        <v>0</v>
      </c>
      <c r="V19" s="482">
        <f ca="1"/>
        <v>0</v>
      </c>
      <c r="W19" s="483">
        <f t="shared" ref="W19:W24" ca="1" si="2">(OFFSET($N19,0,V$5)*U$7+OFFSET($N19,0,V$6)*U$6)/V$7</f>
        <v>325.52249597233674</v>
      </c>
    </row>
    <row r="20" spans="2:23" ht="15" hidden="1">
      <c r="B20" s="372" t="s">
        <v>255</v>
      </c>
      <c r="C20" s="478">
        <f ca="1">IEAData!H77</f>
        <v>0.43200000000000005</v>
      </c>
      <c r="D20" s="478">
        <f ca="1">AuxData!H77</f>
        <v>0.43200000000000005</v>
      </c>
      <c r="E20" s="479">
        <f ca="1">MAX(N20/1000,IEAData!F77/C$14/INDEX($G$11:$N$11,$J20)*0.9)</f>
        <v>0.35</v>
      </c>
      <c r="F20" s="479">
        <f ca="1">MAX(W20/1000,AuxData!F77/C$14/INDEX($G$11:$N$11,$J20)*0.9)</f>
        <v>0.32113082039911306</v>
      </c>
      <c r="G20" s="479">
        <f ca="1">IF(E20,IEAData!F77/(E20*$C$14),INDEX($G$11:$N$11,$J20))</f>
        <v>5.984307599539692E-2</v>
      </c>
      <c r="H20" s="479">
        <f ca="1">IF(F20,AuxData!F77/(F20*$C$14),INDEX($G$11:$O$11,$J20))</f>
        <v>2.3676032359785807E-3</v>
      </c>
      <c r="I20" s="480">
        <f t="shared" ca="1" si="1"/>
        <v>0.7</v>
      </c>
      <c r="J20" s="481">
        <v>2</v>
      </c>
      <c r="M20" s="372" t="s">
        <v>255</v>
      </c>
      <c r="N20" s="482">
        <f t="array" aca="1" ref="N20:V20" ca="1">OFFSET(CalibData!$C35:$K35,0,(CalIndex-1)*10)</f>
        <v>350</v>
      </c>
      <c r="O20" s="482">
        <f ca="1"/>
        <v>331.37472283813747</v>
      </c>
      <c r="P20" s="482">
        <f ca="1"/>
        <v>305.76496674057648</v>
      </c>
      <c r="Q20" s="482">
        <f ca="1"/>
        <v>185.47671840354766</v>
      </c>
      <c r="R20" s="482">
        <f ca="1"/>
        <v>65.188470066518846</v>
      </c>
      <c r="S20" s="482">
        <f ca="1"/>
        <v>0</v>
      </c>
      <c r="T20" s="482">
        <f ca="1"/>
        <v>0</v>
      </c>
      <c r="U20" s="482">
        <f ca="1"/>
        <v>0</v>
      </c>
      <c r="V20" s="482">
        <f ca="1"/>
        <v>0</v>
      </c>
      <c r="W20" s="483">
        <f t="shared" ca="1" si="2"/>
        <v>321.13082039911308</v>
      </c>
    </row>
    <row r="21" spans="2:23" ht="15" hidden="1">
      <c r="B21" s="372" t="s">
        <v>256</v>
      </c>
      <c r="C21" s="484">
        <f ca="1">IEAData!H78</f>
        <v>0.40381407628727556</v>
      </c>
      <c r="D21" s="478">
        <f ca="1">AuxData!H78</f>
        <v>0.37046137245934785</v>
      </c>
      <c r="E21" s="479">
        <f ca="1">MAX(N21/1000,IEAData!F78/C$14/INDEX($G$11:$N$11,$J21)*0.9)</f>
        <v>1.879</v>
      </c>
      <c r="F21" s="479">
        <f ca="1">MAX(W21/1000,AuxData!F78/C$14/INDEX($G$11:$N$11,$J21)*0.9)</f>
        <v>1.3994000000000002</v>
      </c>
      <c r="G21" s="479">
        <f ca="1">IF(E21,IEAData!F78/(E21*$C$14),INDEX($G$11:$N$11,$J21))</f>
        <v>0.58189271310328872</v>
      </c>
      <c r="H21" s="479">
        <f ca="1">IF(F21,AuxData!F78/(F21*$C$14),INDEX($G$11:$O$11,$J21))</f>
        <v>0.14157150146574035</v>
      </c>
      <c r="I21" s="480">
        <f t="shared" ca="1" si="1"/>
        <v>0.75</v>
      </c>
      <c r="J21" s="481">
        <v>3</v>
      </c>
      <c r="M21" s="372" t="s">
        <v>256</v>
      </c>
      <c r="N21" s="482">
        <f t="array" aca="1" ref="N21:V21" ca="1">OFFSET(CalibData!$C36:$K36,0,(CalIndex-1)*10)</f>
        <v>1879</v>
      </c>
      <c r="O21" s="482">
        <f ca="1"/>
        <v>1769</v>
      </c>
      <c r="P21" s="482">
        <f ca="1"/>
        <v>845</v>
      </c>
      <c r="Q21" s="482">
        <f ca="1"/>
        <v>702.5</v>
      </c>
      <c r="R21" s="482">
        <f ca="1"/>
        <v>560</v>
      </c>
      <c r="S21" s="482">
        <f ca="1"/>
        <v>560</v>
      </c>
      <c r="T21" s="482">
        <f ca="1"/>
        <v>0</v>
      </c>
      <c r="U21" s="482">
        <f ca="1"/>
        <v>0</v>
      </c>
      <c r="V21" s="482">
        <f ca="1"/>
        <v>0</v>
      </c>
      <c r="W21" s="483">
        <f t="shared" ca="1" si="2"/>
        <v>1399.4</v>
      </c>
    </row>
    <row r="22" spans="2:23" ht="15" hidden="1">
      <c r="B22" s="372" t="s">
        <v>347</v>
      </c>
      <c r="C22" s="484">
        <f ca="1">IEAData!H79</f>
        <v>0.38398374514208727</v>
      </c>
      <c r="D22" s="478">
        <f ca="1">AuxData!H79</f>
        <v>0.36458361678501888</v>
      </c>
      <c r="E22" s="479">
        <f ca="1">MAX(N22/1000,IEAData!F79/C$14/INDEX($G$11:$N$11,$J22)*0.9)</f>
        <v>0.36710471411787671</v>
      </c>
      <c r="F22" s="479">
        <f ca="1">MAX(W22/1000,AuxData!F79/C$14/INDEX($G$11:$N$11,$J22)*0.9)</f>
        <v>0.29737704918032787</v>
      </c>
      <c r="G22" s="479">
        <f ca="1">IF(E22,IEAData!F79/(E22*$C$14),INDEX($G$11:$N$11,$J22))</f>
        <v>0.77777777777777768</v>
      </c>
      <c r="H22" s="479">
        <f ca="1">IF(F22,AuxData!F79/(F22*$C$14),INDEX($G$11:$O$11,$J22))</f>
        <v>0.15522953481310525</v>
      </c>
      <c r="I22" s="480">
        <f t="shared" ca="1" si="1"/>
        <v>0.7</v>
      </c>
      <c r="J22" s="481">
        <v>4</v>
      </c>
      <c r="M22" s="372" t="s">
        <v>347</v>
      </c>
      <c r="N22" s="482">
        <f t="array" aca="1" ref="N22:V22" ca="1">OFFSET(CalibData!$C37:$K37,0,(CalIndex-1)*10)</f>
        <v>300</v>
      </c>
      <c r="O22" s="482">
        <f ca="1"/>
        <v>300</v>
      </c>
      <c r="P22" s="482">
        <f ca="1"/>
        <v>293.44262295081967</v>
      </c>
      <c r="Q22" s="482">
        <f ca="1"/>
        <v>223.77049180327867</v>
      </c>
      <c r="R22" s="482">
        <f ca="1"/>
        <v>154.09836065573771</v>
      </c>
      <c r="S22" s="482">
        <f ca="1"/>
        <v>85.245901639344254</v>
      </c>
      <c r="T22" s="482">
        <f ca="1"/>
        <v>0</v>
      </c>
      <c r="U22" s="482">
        <f ca="1"/>
        <v>0</v>
      </c>
      <c r="V22" s="482">
        <f ca="1"/>
        <v>0</v>
      </c>
      <c r="W22" s="483">
        <f t="shared" ca="1" si="2"/>
        <v>297.37704918032784</v>
      </c>
    </row>
    <row r="23" spans="2:23" ht="15" hidden="1">
      <c r="B23" s="372" t="s">
        <v>257</v>
      </c>
      <c r="C23" s="484">
        <f ca="1">IEAData!H80</f>
        <v>0.35361332924042466</v>
      </c>
      <c r="D23" s="478">
        <f ca="1">AuxData!H80</f>
        <v>0.37833590831497305</v>
      </c>
      <c r="E23" s="479">
        <f ca="1">MAX(N23/1000,IEAData!F80/C$14/INDEX($G$11:$N$11,$J23)*0.9)</f>
        <v>0.18194775644610836</v>
      </c>
      <c r="F23" s="479">
        <f ca="1">MAX(W23/1000,AuxData!F80/C$14/INDEX($G$11:$N$11,$J23)*0.9)</f>
        <v>0.10472898664571878</v>
      </c>
      <c r="G23" s="479">
        <f ca="1">IF(E23,IEAData!F80/(E23*$C$14),INDEX($G$11:$N$11,$J23))</f>
        <v>0.77777777777777768</v>
      </c>
      <c r="H23" s="479">
        <f ca="1">IF(F23,AuxData!F80/(F23*$C$14),INDEX($G$11:$O$11,$J23))</f>
        <v>0.64715835441290803</v>
      </c>
      <c r="I23" s="480">
        <f t="shared" ca="1" si="1"/>
        <v>0.7</v>
      </c>
      <c r="J23" s="481">
        <v>4</v>
      </c>
      <c r="M23" s="372" t="s">
        <v>257</v>
      </c>
      <c r="N23" s="482">
        <f t="array" aca="1" ref="N23:V23" ca="1">OFFSET(CalibData!$C38:$K38,0,(CalIndex-1)*10)</f>
        <v>120</v>
      </c>
      <c r="O23" s="482">
        <f ca="1"/>
        <v>114.5326001571092</v>
      </c>
      <c r="P23" s="482">
        <f ca="1"/>
        <v>90.023566378633163</v>
      </c>
      <c r="Q23" s="482">
        <f ca="1"/>
        <v>84.131971720345646</v>
      </c>
      <c r="R23" s="482">
        <f ca="1"/>
        <v>78.24037706205813</v>
      </c>
      <c r="S23" s="482">
        <f ca="1"/>
        <v>17.910447761194032</v>
      </c>
      <c r="T23" s="482">
        <f ca="1"/>
        <v>0</v>
      </c>
      <c r="U23" s="482">
        <f ca="1"/>
        <v>0</v>
      </c>
      <c r="V23" s="482">
        <f ca="1"/>
        <v>0</v>
      </c>
      <c r="W23" s="483">
        <f t="shared" ca="1" si="2"/>
        <v>104.72898664571878</v>
      </c>
    </row>
    <row r="24" spans="2:23" ht="15" hidden="1">
      <c r="B24" s="372" t="s">
        <v>147</v>
      </c>
      <c r="C24" s="484">
        <f ca="1">IEAData!H81</f>
        <v>0.99085214212009642</v>
      </c>
      <c r="D24" s="478">
        <f ca="1">AuxData!H81</f>
        <v>0.99117709027115364</v>
      </c>
      <c r="E24" s="479">
        <f ca="1">MAX(N24/1000,IEAData!F81/C$14/INDEX($G$11:$N$11,$J24)*0.7)</f>
        <v>3.1</v>
      </c>
      <c r="F24" s="479">
        <f ca="1">MAX(W24/1000,AuxData!F81/C$14/INDEX($G$11:$N$11,$J24)*0.7)</f>
        <v>3.2</v>
      </c>
      <c r="G24" s="479">
        <f ca="1">IF(E24,IEAData!F81/(E24*$C$14),INDEX($G$11:$N$11,$J24))</f>
        <v>0.47157519749593485</v>
      </c>
      <c r="H24" s="479">
        <f ca="1">IF(F24,AuxData!F81/(F24*$C$14),INDEX($G$11:$O$11,$J24))</f>
        <v>0.52231978839016724</v>
      </c>
      <c r="I24" s="480">
        <f t="shared" ca="1" si="1"/>
        <v>0.52231978839016724</v>
      </c>
      <c r="J24" s="481">
        <v>5</v>
      </c>
      <c r="M24" s="372" t="s">
        <v>147</v>
      </c>
      <c r="N24" s="482">
        <f t="array" aca="1" ref="N24:V24" ca="1">OFFSET(CalibData!$C40:$K40,0,(CalIndex-1)*10)</f>
        <v>3100</v>
      </c>
      <c r="O24" s="482">
        <f ca="1"/>
        <v>3200</v>
      </c>
      <c r="P24" s="482">
        <f ca="1"/>
        <v>3200</v>
      </c>
      <c r="Q24" s="482">
        <f ca="1"/>
        <v>3200</v>
      </c>
      <c r="R24" s="482">
        <f ca="1"/>
        <v>3200</v>
      </c>
      <c r="S24" s="482">
        <f ca="1"/>
        <v>3200</v>
      </c>
      <c r="T24" s="482">
        <f ca="1"/>
        <v>3200</v>
      </c>
      <c r="U24" s="482">
        <f ca="1"/>
        <v>3200</v>
      </c>
      <c r="V24" s="482">
        <f ca="1"/>
        <v>3200</v>
      </c>
      <c r="W24" s="483">
        <f t="shared" ca="1" si="2"/>
        <v>3200</v>
      </c>
    </row>
    <row r="25" spans="2:23" ht="15" hidden="1">
      <c r="B25" s="372" t="s">
        <v>112</v>
      </c>
      <c r="C25" s="484">
        <f ca="1">IEAData!H82</f>
        <v>0.31366389947806383</v>
      </c>
      <c r="D25" s="478">
        <f ca="1">AuxData!H82</f>
        <v>0.3150816665456444</v>
      </c>
      <c r="E25" s="479">
        <f ca="1">MAX(N25/1000,IEAData!F82/C$14/INDEX($G$11:$N$11,$J25)*0.7)</f>
        <v>2.71</v>
      </c>
      <c r="F25" s="479">
        <f ca="1">MAX(W25/1000,AuxData!F82/C$14/INDEX($G$11:$N$11,$J25)*0.7)</f>
        <v>2.766</v>
      </c>
      <c r="G25" s="479">
        <f ca="1">IF(E25,IEAData!F82/(E25*$C$14),INDEX($G$11:$N$11,$J25))</f>
        <v>0.91304083215736664</v>
      </c>
      <c r="H25" s="479">
        <f ca="1">IF(F25,AuxData!F82/(F25*$C$14),INDEX($G$11:$O$11,$J25))</f>
        <v>0.88570940211323235</v>
      </c>
      <c r="I25" s="480">
        <f t="shared" ca="1" si="1"/>
        <v>0.92</v>
      </c>
      <c r="J25" s="481">
        <v>6</v>
      </c>
      <c r="M25" s="372" t="s">
        <v>112</v>
      </c>
      <c r="N25" s="482">
        <f t="array" aca="1" ref="N25:V25" ca="1">OFFSET(CalibData!$C41:$K41,0,(CalIndex-1)*10)</f>
        <v>2710</v>
      </c>
      <c r="O25" s="482">
        <f ca="1"/>
        <v>2750</v>
      </c>
      <c r="P25" s="482">
        <f ca="1"/>
        <v>3400</v>
      </c>
      <c r="Q25" s="482">
        <f ca="1"/>
        <v>4390</v>
      </c>
      <c r="R25" s="482">
        <f ca="1"/>
        <v>4390</v>
      </c>
      <c r="S25" s="482">
        <f ca="1"/>
        <v>3885</v>
      </c>
      <c r="T25" s="482">
        <f ca="1"/>
        <v>2490</v>
      </c>
      <c r="U25" s="482">
        <f ca="1"/>
        <v>1600</v>
      </c>
      <c r="V25" s="482">
        <f ca="1"/>
        <v>0</v>
      </c>
      <c r="W25" s="483">
        <f ca="1">(OFFSET($N15,0,V$5)*U$7+OFFSET($N15,0,V$6)*U$6)/V$7</f>
        <v>2766</v>
      </c>
    </row>
    <row r="26" spans="2:23" ht="15" hidden="1">
      <c r="B26" s="372" t="s">
        <v>194</v>
      </c>
      <c r="C26" s="484">
        <f ca="1">IEAData!H83</f>
        <v>0.1</v>
      </c>
      <c r="D26" s="478">
        <f ca="1">AuxData!H83</f>
        <v>0.1</v>
      </c>
      <c r="E26" s="479">
        <f ca="1">MAX(N26/1000,IEAData!F83/C$14/INDEX($G$11:$N$11,$J26)*0.7)</f>
        <v>0</v>
      </c>
      <c r="F26" s="479">
        <f ca="1">MAX(W26/1000,AuxData!F83/C$14/INDEX($G$11:$N$11,$J26)*0.7)</f>
        <v>0</v>
      </c>
      <c r="G26" s="479">
        <f ca="1">IF(E26,IEAData!F83/(E26*$C$14),INDEX($G$11:$N$11,$J26))</f>
        <v>0.75</v>
      </c>
      <c r="H26" s="479">
        <f ca="1">IF(F26,AuxData!F83/(F26*$C$14),INDEX($G$11:$O$11,$J26))</f>
        <v>0.75</v>
      </c>
      <c r="I26" s="480">
        <f t="shared" ca="1" si="1"/>
        <v>0.75</v>
      </c>
      <c r="J26" s="481">
        <v>7</v>
      </c>
      <c r="M26" s="372" t="s">
        <v>194</v>
      </c>
      <c r="N26" s="482">
        <f t="array" aca="1" ref="N26:V26" ca="1">OFFSET(CalibData!$C42:$K42,0,(CalIndex-1)*10)</f>
        <v>0</v>
      </c>
      <c r="O26" s="482">
        <f ca="1"/>
        <v>0</v>
      </c>
      <c r="P26" s="482">
        <f ca="1"/>
        <v>0</v>
      </c>
      <c r="Q26" s="482">
        <f ca="1"/>
        <v>0</v>
      </c>
      <c r="R26" s="482">
        <f ca="1"/>
        <v>0</v>
      </c>
      <c r="S26" s="482">
        <f ca="1"/>
        <v>0</v>
      </c>
      <c r="T26" s="482">
        <f ca="1"/>
        <v>0</v>
      </c>
      <c r="U26" s="482">
        <f ca="1"/>
        <v>0</v>
      </c>
      <c r="V26" s="482">
        <f ca="1"/>
        <v>0</v>
      </c>
      <c r="W26" s="483">
        <f ca="1">(OFFSET($N26,0,V$5)*U$7+OFFSET($N26,0,V$6)*U$6)/V$7</f>
        <v>0</v>
      </c>
    </row>
    <row r="27" spans="2:23" ht="15" hidden="1">
      <c r="B27" s="372" t="s">
        <v>197</v>
      </c>
      <c r="C27" s="484">
        <f ca="1">IEAData!H84</f>
        <v>0.99085214120538134</v>
      </c>
      <c r="D27" s="478">
        <f ca="1">AuxData!H84</f>
        <v>0.99117707814673739</v>
      </c>
      <c r="E27" s="479">
        <f ca="1">MAX(N27/1000,IEAData!F84/C$14/INDEX($G$11:$N$11,$J27)*0.9)</f>
        <v>0.19700000000000001</v>
      </c>
      <c r="F27" s="479">
        <f ca="1">MAX(W27/1000,AuxData!F84/C$14/INDEX($G$11:$N$11,$J27)*0.9)</f>
        <v>1.6113586687100203</v>
      </c>
      <c r="G27" s="479">
        <f ca="1">IF(E27,IEAData!F84/(E27*$C$14),INDEX($G$11:$N$11,$J27))</f>
        <v>0.1688355965538624</v>
      </c>
      <c r="H27" s="479">
        <f ca="1">IF(F27,AuxData!F84/(F27*$C$14),INDEX($G$11:$O$11,$J27))</f>
        <v>0.33670033670033672</v>
      </c>
      <c r="I27" s="480">
        <f t="shared" ca="1" si="1"/>
        <v>0.33670033670033672</v>
      </c>
      <c r="J27" s="481">
        <v>8</v>
      </c>
      <c r="M27" s="372" t="s">
        <v>197</v>
      </c>
      <c r="N27" s="482">
        <f t="array" aca="1" ref="N27:V27" ca="1">OFFSET(CalibData!$C43:$K43,0,(CalIndex-1)*10)</f>
        <v>197</v>
      </c>
      <c r="O27" s="482">
        <f ca="1"/>
        <v>900</v>
      </c>
      <c r="P27" s="482">
        <f ca="1"/>
        <v>2500</v>
      </c>
      <c r="Q27" s="482">
        <f ca="1"/>
        <v>3000</v>
      </c>
      <c r="R27" s="482">
        <f ca="1"/>
        <v>3000</v>
      </c>
      <c r="S27" s="482">
        <f ca="1"/>
        <v>2100</v>
      </c>
      <c r="T27" s="482">
        <f ca="1"/>
        <v>1000</v>
      </c>
      <c r="U27" s="482">
        <f ca="1"/>
        <v>1000</v>
      </c>
      <c r="V27" s="482">
        <f ca="1"/>
        <v>0</v>
      </c>
      <c r="W27" s="483">
        <f ca="1">(OFFSET($N27,0,V$5)*U$7+OFFSET($N27,0,V$6)*U$6)/V$7</f>
        <v>1540</v>
      </c>
    </row>
    <row r="28" spans="2:23" ht="15" hidden="1">
      <c r="B28" s="372" t="s">
        <v>195</v>
      </c>
      <c r="C28" s="484">
        <f ca="1">IEAData!H85</f>
        <v>0.990852087103961</v>
      </c>
      <c r="D28" s="478">
        <f ca="1">AuxData!H85</f>
        <v>0.99116070646996712</v>
      </c>
      <c r="E28" s="479">
        <f ca="1">MAX(N28/1000,IEAData!F85/C$14/INDEX($G$11:$O$11,$J28)*0.95)</f>
        <v>7.0000000000000001E-3</v>
      </c>
      <c r="F28" s="479">
        <f ca="1">MAX(W28/1000,AuxData!F85/C$14/INDEX($G$11:$O$11,$J28)*0.95)</f>
        <v>0.113</v>
      </c>
      <c r="G28" s="479">
        <f ca="1">IF(E28,IEAData!F85/(E28*$C$14),INDEX($G$11:$O$11,$J28))</f>
        <v>8.0808096504156712E-2</v>
      </c>
      <c r="H28" s="479">
        <f ca="1">IF(F28,AuxData!F85/(F28*$C$14),INDEX($G$11:$O$11,$J28))</f>
        <v>4.3706196498886754E-2</v>
      </c>
      <c r="I28" s="480">
        <f t="shared" ca="1" si="1"/>
        <v>0.11986301369863013</v>
      </c>
      <c r="J28" s="481">
        <v>9</v>
      </c>
      <c r="M28" s="372" t="s">
        <v>195</v>
      </c>
      <c r="N28" s="482">
        <f t="array" aca="1" ref="N28:V28" ca="1">OFFSET(CalibData!$C44:$K44,0,(CalIndex-1)*10)</f>
        <v>7</v>
      </c>
      <c r="O28" s="482">
        <f ca="1"/>
        <v>15</v>
      </c>
      <c r="P28" s="482">
        <f ca="1"/>
        <v>260</v>
      </c>
      <c r="Q28" s="482">
        <f ca="1"/>
        <v>400</v>
      </c>
      <c r="R28" s="482">
        <f ca="1"/>
        <v>400</v>
      </c>
      <c r="S28" s="482">
        <f ca="1"/>
        <v>400</v>
      </c>
      <c r="T28" s="482">
        <f ca="1"/>
        <v>120</v>
      </c>
      <c r="U28" s="482">
        <f ca="1"/>
        <v>120</v>
      </c>
      <c r="V28" s="482">
        <f ca="1"/>
        <v>0</v>
      </c>
      <c r="W28" s="483">
        <f ca="1">(OFFSET($N28,0,V$5)*U$7+OFFSET($N28,0,V$6)*U$6)/V$7</f>
        <v>113</v>
      </c>
    </row>
    <row r="29" spans="2:23" hidden="1">
      <c r="M29" s="372" t="s">
        <v>549</v>
      </c>
      <c r="N29" s="482">
        <f t="array" aca="1" ref="N29:V29" ca="1">OFFSET(CalibData!$C39:$K39,0,(CalIndex-1)*10)</f>
        <v>24</v>
      </c>
      <c r="O29" s="482">
        <f ca="1"/>
        <v>90</v>
      </c>
      <c r="P29" s="482">
        <f ca="1"/>
        <v>135</v>
      </c>
      <c r="Q29" s="482">
        <f ca="1"/>
        <v>135</v>
      </c>
      <c r="R29" s="482">
        <f ca="1"/>
        <v>135</v>
      </c>
      <c r="S29" s="482">
        <f ca="1"/>
        <v>135</v>
      </c>
      <c r="T29" s="482">
        <f ca="1"/>
        <v>45</v>
      </c>
      <c r="U29" s="482">
        <f ca="1"/>
        <v>0</v>
      </c>
      <c r="V29" s="482">
        <f ca="1"/>
        <v>0</v>
      </c>
      <c r="W29" s="483">
        <f ca="1">(OFFSET($N29,0,V$5)*U$7+OFFSET($N29,0,V$6)*U$6)/V$7</f>
        <v>108</v>
      </c>
    </row>
    <row r="30" spans="2:23" hidden="1"/>
    <row r="31" spans="2:23" ht="20.25" hidden="1" thickBot="1">
      <c r="B31" s="474" t="s">
        <v>37</v>
      </c>
      <c r="C31" s="485">
        <f ca="1">BaseYear</f>
        <v>2010</v>
      </c>
      <c r="D31" s="485">
        <f ca="1">AuxYear</f>
        <v>2017</v>
      </c>
      <c r="E31" s="485">
        <f ca="1">BaseYear</f>
        <v>2010</v>
      </c>
      <c r="F31" s="485">
        <f ca="1">AuxYear</f>
        <v>2017</v>
      </c>
      <c r="G31" s="485">
        <f ca="1">BaseYear</f>
        <v>2010</v>
      </c>
      <c r="H31" s="485">
        <f ca="1">AuxYear</f>
        <v>2017</v>
      </c>
      <c r="I31" s="485">
        <f ca="1">BaseYear</f>
        <v>2010</v>
      </c>
      <c r="J31" s="485">
        <f ca="1">AuxYear</f>
        <v>2017</v>
      </c>
      <c r="K31" s="474"/>
      <c r="N31" s="474" t="s">
        <v>205</v>
      </c>
      <c r="O31" s="485">
        <f ca="1">BaseYear</f>
        <v>2010</v>
      </c>
      <c r="P31" s="485">
        <f ca="1">AuxYear</f>
        <v>2017</v>
      </c>
      <c r="Q31" s="485">
        <f ca="1">BaseYear</f>
        <v>2010</v>
      </c>
      <c r="R31" s="485">
        <f ca="1">AuxYear</f>
        <v>2017</v>
      </c>
      <c r="S31" s="485">
        <f ca="1">AuxYear</f>
        <v>2017</v>
      </c>
      <c r="T31" s="485">
        <v>2020</v>
      </c>
    </row>
    <row r="32" spans="2:23" ht="16.5" hidden="1" thickTop="1" thickBot="1">
      <c r="B32" s="475"/>
      <c r="C32" s="476" t="s">
        <v>224</v>
      </c>
      <c r="D32" s="476" t="s">
        <v>224</v>
      </c>
      <c r="E32" s="476" t="s">
        <v>225</v>
      </c>
      <c r="F32" s="476" t="s">
        <v>225</v>
      </c>
      <c r="G32" s="476" t="s">
        <v>259</v>
      </c>
      <c r="H32" s="476" t="s">
        <v>259</v>
      </c>
      <c r="I32" s="476" t="s">
        <v>258</v>
      </c>
      <c r="J32" s="476" t="s">
        <v>258</v>
      </c>
      <c r="K32" s="476"/>
      <c r="N32" s="475"/>
      <c r="O32" s="476" t="s">
        <v>224</v>
      </c>
      <c r="P32" s="476" t="s">
        <v>224</v>
      </c>
      <c r="Q32" s="476" t="s">
        <v>225</v>
      </c>
      <c r="R32" s="476" t="s">
        <v>225</v>
      </c>
      <c r="S32" s="476" t="s">
        <v>259</v>
      </c>
      <c r="T32" s="476" t="s">
        <v>259</v>
      </c>
    </row>
    <row r="33" spans="1:22" hidden="1">
      <c r="B33" s="372" t="s">
        <v>254</v>
      </c>
      <c r="C33" s="478">
        <f ca="1">IEAData!H90</f>
        <v>0.88086343662670818</v>
      </c>
      <c r="D33" s="478">
        <f ca="1">AuxData!H90</f>
        <v>0.89736782410447324</v>
      </c>
      <c r="E33" s="486">
        <f ca="1">IEAData!$C90*C33/$C$14/G33</f>
        <v>1.1143937273050424E-2</v>
      </c>
      <c r="F33" s="486">
        <f ca="1">AuxData!$C90*D33/$C$14/H33</f>
        <v>1.1934494227099678E-2</v>
      </c>
      <c r="G33" s="479">
        <v>0.5</v>
      </c>
      <c r="H33" s="479">
        <v>0.5</v>
      </c>
      <c r="I33" s="486">
        <f ca="1">MIN(100,MAX(0.01,IEAData!$G90/(IEAData!$F90+Tiny)))</f>
        <v>11.83583124371239</v>
      </c>
      <c r="J33" s="486">
        <f ca="1">MIN(100,MAX(0.01,AuxData!$G90/(AuxData!$F90+Tiny)))</f>
        <v>0.79473564062941171</v>
      </c>
      <c r="K33" s="481">
        <v>1</v>
      </c>
      <c r="N33" s="372" t="s">
        <v>254</v>
      </c>
      <c r="O33" s="478">
        <f ca="1">IEAData!H101</f>
        <v>0.93259286524837837</v>
      </c>
      <c r="P33" s="478">
        <f ca="1">AuxData!H101</f>
        <v>0.89635726264551518</v>
      </c>
      <c r="Q33" s="486">
        <f ca="1">IEAData!C101*O33/C$14/$S33</f>
        <v>1.902942056294286</v>
      </c>
      <c r="R33" s="486">
        <f ca="1">AuxData!C101*P33/C$14/$S33</f>
        <v>0.83492209951507435</v>
      </c>
      <c r="S33" s="479">
        <v>0.2</v>
      </c>
      <c r="T33" s="479">
        <v>0.2</v>
      </c>
    </row>
    <row r="34" spans="1:22" hidden="1">
      <c r="B34" s="372" t="s">
        <v>255</v>
      </c>
      <c r="C34" s="478">
        <f ca="1">IEAData!H91</f>
        <v>0.84026612259323619</v>
      </c>
      <c r="D34" s="478">
        <f ca="1">AuxData!H91</f>
        <v>0.75637522452130512</v>
      </c>
      <c r="E34" s="486">
        <f ca="1">IEAData!C91*C34/C$14/G34</f>
        <v>0.91949710361747783</v>
      </c>
      <c r="F34" s="486">
        <f ca="1">AuxData!$C91*D34/$C$14/H34</f>
        <v>9.7647665776266754E-2</v>
      </c>
      <c r="G34" s="479">
        <v>0.55000000000000004</v>
      </c>
      <c r="H34" s="479">
        <v>0.55000000000000004</v>
      </c>
      <c r="I34" s="486">
        <f ca="1">MIN(100,MAX(0.01,IEAData!G91/(IEAData!F91+Tiny)))</f>
        <v>1.5701238128843844</v>
      </c>
      <c r="J34" s="486">
        <f ca="1">MIN(100,MAX(0.01,AuxData!$G91/(AuxData!$F91+Tiny)))</f>
        <v>0.5473152170418365</v>
      </c>
      <c r="K34" s="481">
        <v>2</v>
      </c>
      <c r="N34" s="372" t="s">
        <v>255</v>
      </c>
      <c r="O34" s="478">
        <f ca="1">IEAData!H102</f>
        <v>0.93738215230587008</v>
      </c>
      <c r="P34" s="478">
        <f ca="1">AuxData!H102</f>
        <v>0.85753148690113878</v>
      </c>
      <c r="Q34" s="486">
        <f ca="1">IEAData!C102*O34/C$14/S34</f>
        <v>0.89437176731894352</v>
      </c>
      <c r="R34" s="486">
        <f ca="1">AuxData!C102*P34/C$14/$S34</f>
        <v>0.22341926418421218</v>
      </c>
      <c r="S34" s="479">
        <v>0.3</v>
      </c>
      <c r="T34" s="479">
        <v>0.3</v>
      </c>
    </row>
    <row r="35" spans="1:22" hidden="1">
      <c r="B35" s="372" t="s">
        <v>256</v>
      </c>
      <c r="C35" s="478">
        <f ca="1">IEAData!H92</f>
        <v>0.87674691392382176</v>
      </c>
      <c r="D35" s="478">
        <f ca="1">AuxData!H92</f>
        <v>0.89849068817160682</v>
      </c>
      <c r="E35" s="486">
        <f ca="1">IEAData!C92*C35/C$14/G35</f>
        <v>1.190952856471321</v>
      </c>
      <c r="F35" s="486">
        <f ca="1">AuxData!$C92*D35/$C$14/H35</f>
        <v>0.86902913896212264</v>
      </c>
      <c r="G35" s="479">
        <v>0.55000000000000004</v>
      </c>
      <c r="H35" s="479">
        <v>0.55000000000000004</v>
      </c>
      <c r="I35" s="486">
        <f ca="1">MIN(100,MAX(0.01,IEAData!G92/(IEAData!F92+Tiny)))</f>
        <v>1.8157662349164672</v>
      </c>
      <c r="J35" s="486">
        <f ca="1">MIN(100,MAX(0.01,AuxData!$G92/(AuxData!$F92+Tiny)))</f>
        <v>1.9462942056696224</v>
      </c>
      <c r="K35" s="481">
        <v>3</v>
      </c>
      <c r="N35" s="372" t="s">
        <v>256</v>
      </c>
      <c r="O35" s="478">
        <f ca="1">IEAData!H103</f>
        <v>0.96364396322939583</v>
      </c>
      <c r="P35" s="478">
        <f ca="1">AuxData!H103</f>
        <v>0.71932751691621577</v>
      </c>
      <c r="Q35" s="486">
        <f ca="1">IEAData!C103*O35/C$14/S35</f>
        <v>8.7031131824120318E-3</v>
      </c>
      <c r="R35" s="486">
        <f ca="1">AuxData!C103*P35/C$14/$S35</f>
        <v>2.5301639145994745E-2</v>
      </c>
      <c r="S35" s="479">
        <v>0.5</v>
      </c>
      <c r="T35" s="479">
        <v>0.5</v>
      </c>
    </row>
    <row r="36" spans="1:22" hidden="1">
      <c r="B36" s="372" t="s">
        <v>347</v>
      </c>
      <c r="C36" s="478">
        <f ca="1">IEAData!H93</f>
        <v>0.85034149657474578</v>
      </c>
      <c r="D36" s="478">
        <f ca="1">AuxData!H93</f>
        <v>0.85466396876461137</v>
      </c>
      <c r="E36" s="486">
        <f ca="1">IEAData!C93*C36/C$14/G36</f>
        <v>1.8694475053271329</v>
      </c>
      <c r="F36" s="486">
        <f ca="1">AuxData!$C93*D36/$C$14/H36</f>
        <v>1.2522134304088426</v>
      </c>
      <c r="G36" s="479">
        <v>0.55000000000000004</v>
      </c>
      <c r="H36" s="479">
        <v>0.55000000000000004</v>
      </c>
      <c r="I36" s="486">
        <f ca="1">MIN(100,MAX(0.01,IEAData!G93/(IEAData!F93+Tiny)))</f>
        <v>2.3299622825023993</v>
      </c>
      <c r="J36" s="486">
        <f ca="1">MIN(100,MAX(0.01,AuxData!$G93/(AuxData!$F93+Tiny)))</f>
        <v>2.4509048891347813</v>
      </c>
      <c r="K36" s="481">
        <v>4</v>
      </c>
      <c r="N36" s="372" t="s">
        <v>347</v>
      </c>
      <c r="O36" s="478">
        <f ca="1">IEAData!H104</f>
        <v>0.87565458000083785</v>
      </c>
      <c r="P36" s="478">
        <f ca="1">AuxData!H104</f>
        <v>0.87528443118059374</v>
      </c>
      <c r="Q36" s="486">
        <f ca="1">IEAData!C104*O36/C$14/S36</f>
        <v>0.32191773781066135</v>
      </c>
      <c r="R36" s="486">
        <f ca="1">AuxData!C104*P36/C$14/$S36</f>
        <v>0.29852529484314966</v>
      </c>
      <c r="S36" s="479">
        <v>0.5</v>
      </c>
      <c r="T36" s="479">
        <v>0.5</v>
      </c>
    </row>
    <row r="37" spans="1:22" hidden="1">
      <c r="B37" s="372" t="s">
        <v>257</v>
      </c>
      <c r="C37" s="478">
        <f ca="1">IEAData!H94</f>
        <v>0.8297777148451615</v>
      </c>
      <c r="D37" s="478">
        <f ca="1">AuxData!H94</f>
        <v>0.84848404038760061</v>
      </c>
      <c r="E37" s="486">
        <f ca="1">IEAData!C94*C37/C$14/G37</f>
        <v>1.583157838842282</v>
      </c>
      <c r="F37" s="486">
        <f ca="1">AuxData!$C94*D37/$C$14/H37</f>
        <v>2.0079603927825596</v>
      </c>
      <c r="G37" s="479">
        <v>0.55000000000000004</v>
      </c>
      <c r="H37" s="479">
        <v>0.55000000000000004</v>
      </c>
      <c r="I37" s="486">
        <f ca="1">MIN(100,MAX(0.01,IEAData!G94/(IEAData!F94+Tiny)))</f>
        <v>2.4042737336046938</v>
      </c>
      <c r="J37" s="486">
        <f ca="1">MIN(100,MAX(0.01,AuxData!$G94/(AuxData!$F94+Tiny)))</f>
        <v>2.3497370108101459</v>
      </c>
      <c r="K37" s="481">
        <v>4</v>
      </c>
      <c r="N37" s="372" t="s">
        <v>257</v>
      </c>
      <c r="O37" s="478">
        <f ca="1">IEAData!H105</f>
        <v>0.8928512943894179</v>
      </c>
      <c r="P37" s="478">
        <f ca="1">AuxData!H105</f>
        <v>0.87533502857300338</v>
      </c>
      <c r="Q37" s="486">
        <f ca="1">IEAData!C105*O37/C$14/S37</f>
        <v>0.51415938190573141</v>
      </c>
      <c r="R37" s="486">
        <f ca="1">AuxData!C105*P37/C$14/$S37</f>
        <v>1.8365512428421613</v>
      </c>
      <c r="S37" s="479">
        <v>0.5</v>
      </c>
      <c r="T37" s="479">
        <v>0.5</v>
      </c>
    </row>
    <row r="38" spans="1:22" hidden="1">
      <c r="B38" s="372" t="s">
        <v>549</v>
      </c>
      <c r="C38" s="478">
        <f ca="1">IEAData!H95</f>
        <v>0.72</v>
      </c>
      <c r="D38" s="478">
        <f ca="1">AuxData!H95</f>
        <v>0.72</v>
      </c>
      <c r="E38" s="486">
        <f ca="1">MAX(O29/1000*(1+I38),IEAData!$I95/$C$14/INDEX($G$11:$N$11,$K38)*0.9)</f>
        <v>0.252</v>
      </c>
      <c r="F38" s="486">
        <f ca="1">MAX(W29/1000*(1+J38),AuxData!$I95/$C$14/INDEX($G$11:$N$11,$K38)*0.9)</f>
        <v>0.30437959444780893</v>
      </c>
      <c r="G38" s="479">
        <f ca="1">IF(E38,IEAData!I95/(E38*$C$14),INDEX($G$11:$N$11,$K38))</f>
        <v>0.37150337104167885</v>
      </c>
      <c r="H38" s="479">
        <f ca="1">IF(F38,AuxData!$I95/(F38*$C$14),INDEX($G$11:$N$11,$K38))</f>
        <v>0.4750694830795324</v>
      </c>
      <c r="I38" s="486">
        <f ca="1">MIN(100,MAX(1.8,IEAData!$G95/(AuxData!$F95+Tiny)))</f>
        <v>1.8</v>
      </c>
      <c r="J38" s="486">
        <f ca="1">MIN(100,MAX(1.8,AuxData!$G95/(AuxData!$F95+Tiny)))</f>
        <v>1.8183295782204534</v>
      </c>
      <c r="K38" s="481">
        <v>4</v>
      </c>
      <c r="N38" s="372" t="s">
        <v>549</v>
      </c>
      <c r="O38" s="478">
        <f ca="1">IEAData!H106</f>
        <v>0.77026499360419542</v>
      </c>
      <c r="P38" s="478">
        <f ca="1">AuxData!H106</f>
        <v>0.78961976593216798</v>
      </c>
      <c r="Q38" s="486">
        <f ca="1">IEAData!C106*O38/C$14/S38</f>
        <v>5.1669758262582174E-2</v>
      </c>
      <c r="R38" s="486">
        <f ca="1">AuxData!C106*P38/C$14/$S38</f>
        <v>0.239322693036183</v>
      </c>
      <c r="S38" s="479">
        <v>0.6</v>
      </c>
      <c r="T38" s="479">
        <v>0.6</v>
      </c>
    </row>
    <row r="39" spans="1:22" hidden="1">
      <c r="B39" s="372" t="s">
        <v>194</v>
      </c>
      <c r="C39" s="478">
        <f ca="1">IEAData!H96</f>
        <v>0.9</v>
      </c>
      <c r="D39" s="478">
        <f ca="1">AuxData!H96</f>
        <v>0.9</v>
      </c>
      <c r="E39" s="486">
        <f ca="1">IEAData!C96*C39/C$14/G39</f>
        <v>0</v>
      </c>
      <c r="F39" s="486">
        <f ca="1">AuxData!$C96*D39/$C$14/H39</f>
        <v>0</v>
      </c>
      <c r="G39" s="479">
        <v>0.55000000000000004</v>
      </c>
      <c r="H39" s="479">
        <v>0.55000000000000004</v>
      </c>
      <c r="I39" s="486">
        <f ca="1">MIN(100,MAX(0.01,IEAData!G96/(IEAData!F96+Tiny)))</f>
        <v>0.01</v>
      </c>
      <c r="J39" s="486">
        <f ca="1">MIN(100,MAX(0.01,AuxData!$G96/(AuxData!$F96+Tiny)))</f>
        <v>0.01</v>
      </c>
      <c r="K39" s="481">
        <v>7</v>
      </c>
      <c r="N39" s="372" t="s">
        <v>194</v>
      </c>
      <c r="O39" s="478">
        <f ca="1">IEAData!H107</f>
        <v>1.8593983181536344</v>
      </c>
      <c r="P39" s="478">
        <f ca="1">AuxData!H107</f>
        <v>1.8018640794428102</v>
      </c>
      <c r="Q39" s="486">
        <f ca="1">IEAData!C107*O39/C$14/S39</f>
        <v>4.4922017696499297E-2</v>
      </c>
      <c r="R39" s="486">
        <f ca="1">MAX($X$120/1000,AuxData!$G107/C$14/$T39)</f>
        <v>6.6213958296492043E-2</v>
      </c>
      <c r="S39" s="479">
        <f ca="1">AuxData!$G107/(R39*$C$14)</f>
        <v>0.65000000000000013</v>
      </c>
      <c r="T39" s="479">
        <v>0.65</v>
      </c>
    </row>
    <row r="40" spans="1:22" hidden="1"/>
    <row r="41" spans="1:22" hidden="1"/>
    <row r="42" spans="1:22" hidden="1">
      <c r="A42" s="487"/>
      <c r="B42" s="488" t="s">
        <v>352</v>
      </c>
      <c r="C42" s="487"/>
      <c r="D42" s="489">
        <f ca="1">BaseYear</f>
        <v>2010</v>
      </c>
      <c r="E42" s="487"/>
      <c r="F42" s="487"/>
      <c r="G42" s="487"/>
      <c r="H42" s="487"/>
      <c r="I42" s="487"/>
      <c r="J42" s="487"/>
      <c r="K42" s="487"/>
      <c r="L42" s="487"/>
      <c r="M42" s="487"/>
      <c r="N42" s="488" t="s">
        <v>381</v>
      </c>
      <c r="O42" s="487"/>
      <c r="P42" s="489">
        <f ca="1">BaseYear</f>
        <v>2010</v>
      </c>
      <c r="Q42" s="487"/>
      <c r="R42" s="487"/>
      <c r="S42" s="487"/>
      <c r="T42" s="487"/>
      <c r="U42" s="487"/>
      <c r="V42" s="487"/>
    </row>
    <row r="43" spans="1:22" hidden="1"/>
    <row r="44" spans="1:22" hidden="1">
      <c r="B44" s="373" t="s">
        <v>37</v>
      </c>
      <c r="C44" s="379" t="s">
        <v>254</v>
      </c>
      <c r="D44" s="379" t="s">
        <v>255</v>
      </c>
      <c r="E44" s="379" t="s">
        <v>256</v>
      </c>
      <c r="F44" s="379" t="s">
        <v>347</v>
      </c>
      <c r="G44" s="379" t="s">
        <v>348</v>
      </c>
      <c r="H44" s="379" t="s">
        <v>597</v>
      </c>
      <c r="N44" s="373" t="s">
        <v>349</v>
      </c>
      <c r="O44" s="379" t="s">
        <v>254</v>
      </c>
      <c r="P44" s="379" t="s">
        <v>255</v>
      </c>
      <c r="Q44" s="379" t="s">
        <v>256</v>
      </c>
      <c r="R44" s="379" t="s">
        <v>347</v>
      </c>
      <c r="S44" s="379" t="s">
        <v>348</v>
      </c>
      <c r="T44" s="379" t="s">
        <v>597</v>
      </c>
      <c r="U44" s="379" t="s">
        <v>598</v>
      </c>
    </row>
    <row r="45" spans="1:22" hidden="1">
      <c r="B45" s="376">
        <v>1</v>
      </c>
      <c r="C45" s="490">
        <f t="array" aca="1" ref="C45:H48" ca="1">OFFSET(CalibData!$C$6:$H$9,0,(CalIndex-1)*10)</f>
        <v>0.20990487382345133</v>
      </c>
      <c r="D45" s="490">
        <f ca="1"/>
        <v>0.70029602669011137</v>
      </c>
      <c r="E45" s="490">
        <f ca="1"/>
        <v>0.74550782963136486</v>
      </c>
      <c r="F45" s="490">
        <f ca="1"/>
        <v>8.0397738704047914E-2</v>
      </c>
      <c r="G45" s="490">
        <f ca="1"/>
        <v>3.4747800703721687E-2</v>
      </c>
      <c r="H45" s="490">
        <f ca="1"/>
        <v>0.3571356292373597</v>
      </c>
      <c r="I45" s="491">
        <v>1</v>
      </c>
      <c r="N45" s="376">
        <v>1</v>
      </c>
      <c r="O45" s="490">
        <f t="array" aca="1" ref="O45:U48" ca="1">OFFSET(CalibData!$C$12:$I$15,0,(CalIndex-1)*10)</f>
        <v>0.12613960738784311</v>
      </c>
      <c r="P45" s="490">
        <f ca="1"/>
        <v>0.19635978277771926</v>
      </c>
      <c r="Q45" s="490">
        <f ca="1"/>
        <v>0.74006686346366035</v>
      </c>
      <c r="R45" s="490">
        <f ca="1"/>
        <v>3.3204959845226666E-3</v>
      </c>
      <c r="S45" s="490">
        <f ca="1"/>
        <v>0.12111273768638783</v>
      </c>
      <c r="T45" s="490">
        <f ca="1"/>
        <v>0.3706170803589473</v>
      </c>
      <c r="U45" s="490">
        <f ca="1"/>
        <v>0.88043914848038551</v>
      </c>
    </row>
    <row r="46" spans="1:22" hidden="1">
      <c r="B46" s="376">
        <v>2</v>
      </c>
      <c r="C46" s="490">
        <f ca="1"/>
        <v>8.4041575169043092E-2</v>
      </c>
      <c r="D46" s="490">
        <f ca="1"/>
        <v>0.29855589178603836</v>
      </c>
      <c r="E46" s="490">
        <f ca="1"/>
        <v>1.4810441986048439E-3</v>
      </c>
      <c r="F46" s="490">
        <f ca="1"/>
        <v>5.8205059686275672E-2</v>
      </c>
      <c r="G46" s="490">
        <f ca="1"/>
        <v>0.26257563124010669</v>
      </c>
      <c r="H46" s="490">
        <f ca="1"/>
        <v>0.27001045636995313</v>
      </c>
      <c r="I46" s="491">
        <v>1</v>
      </c>
      <c r="N46" s="376">
        <v>2</v>
      </c>
      <c r="O46" s="490">
        <f ca="1"/>
        <v>7.2326903831882672E-2</v>
      </c>
      <c r="P46" s="490">
        <f ca="1"/>
        <v>0.78677049598253102</v>
      </c>
      <c r="Q46" s="490">
        <f ca="1"/>
        <v>0.24304413327206439</v>
      </c>
      <c r="R46" s="490">
        <f ca="1"/>
        <v>1.8179293793987743E-2</v>
      </c>
      <c r="S46" s="490">
        <f ca="1"/>
        <v>0.10258092375136239</v>
      </c>
      <c r="T46" s="490">
        <f ca="1"/>
        <v>0.21761487087003237</v>
      </c>
      <c r="U46" s="490">
        <f ca="1"/>
        <v>9.452403266836254E-2</v>
      </c>
    </row>
    <row r="47" spans="1:22" hidden="1">
      <c r="B47" s="376">
        <v>3</v>
      </c>
      <c r="C47" s="490">
        <f ca="1"/>
        <v>0.38966843480190339</v>
      </c>
      <c r="D47" s="490">
        <f ca="1"/>
        <v>0</v>
      </c>
      <c r="E47" s="490">
        <f ca="1"/>
        <v>0.22465381148240945</v>
      </c>
      <c r="F47" s="490">
        <f ca="1"/>
        <v>0.63933624177253034</v>
      </c>
      <c r="G47" s="490">
        <f ca="1"/>
        <v>0.45093849193613056</v>
      </c>
      <c r="H47" s="490">
        <f ca="1"/>
        <v>0.16706580767025334</v>
      </c>
      <c r="I47" s="491">
        <v>1</v>
      </c>
      <c r="N47" s="376">
        <v>3</v>
      </c>
      <c r="O47" s="490">
        <f ca="1"/>
        <v>0.255842675920954</v>
      </c>
      <c r="P47" s="490">
        <f ca="1"/>
        <v>1.3984161684326556E-2</v>
      </c>
      <c r="Q47" s="490">
        <f ca="1"/>
        <v>1.2417538825356955E-2</v>
      </c>
      <c r="R47" s="490">
        <f ca="1"/>
        <v>0.2919815290963606</v>
      </c>
      <c r="S47" s="490">
        <f ca="1"/>
        <v>0.10411714134198516</v>
      </c>
      <c r="T47" s="490">
        <f ca="1"/>
        <v>0.1277224145557192</v>
      </c>
      <c r="U47" s="490">
        <f ca="1"/>
        <v>1.0041504886865707E-3</v>
      </c>
    </row>
    <row r="48" spans="1:22" hidden="1">
      <c r="B48" s="376">
        <v>4</v>
      </c>
      <c r="C48" s="490">
        <f ca="1"/>
        <v>0.31638511620560211</v>
      </c>
      <c r="D48" s="490">
        <f ca="1"/>
        <v>1.14808152385018E-3</v>
      </c>
      <c r="E48" s="490">
        <f ca="1"/>
        <v>2.8357314687620844E-2</v>
      </c>
      <c r="F48" s="490">
        <f ca="1"/>
        <v>0.2220609598371461</v>
      </c>
      <c r="G48" s="490">
        <f ca="1"/>
        <v>0.25173807612004112</v>
      </c>
      <c r="H48" s="490">
        <f ca="1"/>
        <v>0.20578810672243394</v>
      </c>
      <c r="I48" s="491">
        <v>1</v>
      </c>
      <c r="N48" s="376">
        <v>4</v>
      </c>
      <c r="O48" s="490">
        <f ca="1"/>
        <v>0.5456908128593202</v>
      </c>
      <c r="P48" s="490">
        <f ca="1"/>
        <v>2.8855595554231278E-3</v>
      </c>
      <c r="Q48" s="490">
        <f ca="1"/>
        <v>4.4714644389183007E-3</v>
      </c>
      <c r="R48" s="490">
        <f ca="1"/>
        <v>0.68651868112512915</v>
      </c>
      <c r="S48" s="490">
        <f ca="1"/>
        <v>0.67218919722026449</v>
      </c>
      <c r="T48" s="490">
        <f ca="1"/>
        <v>0.2840456342153011</v>
      </c>
      <c r="U48" s="490">
        <f ca="1"/>
        <v>2.4032668362565259E-2</v>
      </c>
    </row>
    <row r="49" spans="2:22" hidden="1"/>
    <row r="50" spans="2:22" hidden="1">
      <c r="D50" s="387">
        <v>1</v>
      </c>
      <c r="E50" s="387">
        <v>2</v>
      </c>
      <c r="F50" s="387">
        <v>3</v>
      </c>
      <c r="G50" s="387">
        <v>4</v>
      </c>
      <c r="H50" s="388"/>
      <c r="N50" s="435" t="s">
        <v>381</v>
      </c>
      <c r="P50" s="387">
        <v>1</v>
      </c>
      <c r="Q50" s="387">
        <v>2</v>
      </c>
      <c r="R50" s="387">
        <v>3</v>
      </c>
      <c r="S50" s="387">
        <v>4</v>
      </c>
    </row>
    <row r="51" spans="2:22" hidden="1">
      <c r="C51" s="492" t="s">
        <v>259</v>
      </c>
      <c r="D51" s="493">
        <f t="array" aca="1" ref="D51:G52" ca="1">OFFSET(CalibData!$D$50:$G$51,0,(CalIndex-1)*10)</f>
        <v>0.44</v>
      </c>
      <c r="E51" s="493">
        <f ca="1"/>
        <v>0.35</v>
      </c>
      <c r="F51" s="493">
        <f ca="1"/>
        <v>0.41</v>
      </c>
      <c r="G51" s="493">
        <f ca="1"/>
        <v>0.37</v>
      </c>
      <c r="N51" s="364" t="s">
        <v>259</v>
      </c>
      <c r="P51" s="493">
        <f t="array" aca="1" ref="P51:S51" ca="1">OFFSET(CalibData!$D$97:$G$97,0,(CalIndex-1)*10)</f>
        <v>8.5851999999999998E-2</v>
      </c>
      <c r="Q51" s="493">
        <f ca="1"/>
        <v>0.14659</v>
      </c>
      <c r="R51" s="493">
        <f ca="1"/>
        <v>7.6715000000000005E-2</v>
      </c>
      <c r="S51" s="493">
        <f ca="1"/>
        <v>0.1227</v>
      </c>
    </row>
    <row r="52" spans="2:22" hidden="1">
      <c r="B52" s="364" t="s">
        <v>389</v>
      </c>
      <c r="C52" s="492" t="s">
        <v>384</v>
      </c>
      <c r="D52" s="493">
        <f ca="1"/>
        <v>0.42899999999999999</v>
      </c>
      <c r="E52" s="493">
        <f ca="1"/>
        <v>0.4</v>
      </c>
      <c r="F52" s="493">
        <f ca="1"/>
        <v>0.44</v>
      </c>
      <c r="G52" s="493">
        <f ca="1"/>
        <v>0.3</v>
      </c>
      <c r="H52" s="409">
        <v>1</v>
      </c>
      <c r="I52" s="409">
        <v>2</v>
      </c>
      <c r="J52" s="409">
        <v>3</v>
      </c>
      <c r="K52" s="409">
        <v>4</v>
      </c>
      <c r="L52" s="410" t="s">
        <v>379</v>
      </c>
      <c r="P52" s="387">
        <v>1</v>
      </c>
      <c r="Q52" s="387">
        <v>2</v>
      </c>
      <c r="R52" s="387">
        <v>3</v>
      </c>
      <c r="S52" s="387">
        <v>4</v>
      </c>
      <c r="T52" s="388" t="s">
        <v>321</v>
      </c>
    </row>
    <row r="53" spans="2:22" hidden="1">
      <c r="B53" s="382" t="s">
        <v>254</v>
      </c>
      <c r="C53" s="494">
        <v>0.2</v>
      </c>
      <c r="D53" s="395">
        <f t="array" aca="1" ref="D53:G57" ca="1">ABS(1/(1/((1-D52:G52)^C53:C57*IF(IEAData!$F90:$F94&gt;0,IEAData!$G90:$G94/MMULT(IEAData!$I90:$I94*TRANSPOSE(C45:G48)*(1-D52:G52)^C53:C57,I45:I48),1))-1))</f>
        <v>10.2017482657284</v>
      </c>
      <c r="E53" s="396">
        <f ca="1"/>
        <v>11.468306838896599</v>
      </c>
      <c r="F53" s="396">
        <f ca="1"/>
        <v>9.7749249942970309</v>
      </c>
      <c r="G53" s="397">
        <f ca="1"/>
        <v>18.453649366654336</v>
      </c>
      <c r="H53" s="495">
        <f t="array" aca="1" ref="H53:K57" ca="1">TRANSPOSE(C45:G48)*IEAData!$I$90:$I$94*D53:G57/(D53:G57+1)*L53:L57</f>
        <v>0.30232154367644803</v>
      </c>
      <c r="I53" s="496">
        <f ca="1"/>
        <v>0.12224856949722888</v>
      </c>
      <c r="J53" s="496">
        <f ca="1"/>
        <v>0.55905197311752375</v>
      </c>
      <c r="K53" s="497">
        <f ca="1"/>
        <v>0.47462980279030142</v>
      </c>
      <c r="L53" s="498">
        <f t="array" aca="1" ref="L53:L57" ca="1">OFFSET(CalibData!$J$61:$J$65,0,(CalIndex-1)*10)</f>
        <v>9</v>
      </c>
      <c r="O53" s="499">
        <v>0.75</v>
      </c>
      <c r="P53" s="500">
        <f t="array" aca="1" ref="P53:S53" ca="1">TRANSPOSE(MMULT(O45:S48/TRANSPOSE(O53:O57),IEAData!$C101:$C105*IEAData!$H101:$H105))/P51:S51/$C$14*1000</f>
        <v>1538.4925395208938</v>
      </c>
      <c r="Q53" s="501">
        <f ca="1"/>
        <v>1780.1911713438644</v>
      </c>
      <c r="R53" s="501">
        <f ca="1"/>
        <v>2193.404006585276</v>
      </c>
      <c r="S53" s="502">
        <f ca="1"/>
        <v>3300.3413334084908</v>
      </c>
      <c r="T53" s="386">
        <f ca="1">SUM(P53:S53)</f>
        <v>8812.4290508585254</v>
      </c>
    </row>
    <row r="54" spans="2:22" hidden="1">
      <c r="B54" s="382" t="s">
        <v>255</v>
      </c>
      <c r="C54" s="494">
        <v>1</v>
      </c>
      <c r="D54" s="398">
        <f ca="1"/>
        <v>1.5102606658028332</v>
      </c>
      <c r="E54" s="399">
        <f ca="1"/>
        <v>1.7188016017011873</v>
      </c>
      <c r="F54" s="399">
        <f ca="1"/>
        <v>1.4392911045351555</v>
      </c>
      <c r="G54" s="400">
        <f ca="1"/>
        <v>2.8103372216268272</v>
      </c>
      <c r="H54" s="503">
        <f ca="1"/>
        <v>14.782813421393531</v>
      </c>
      <c r="I54" s="504">
        <f ca="1"/>
        <v>6.6224123890422568</v>
      </c>
      <c r="J54" s="504">
        <f ca="1"/>
        <v>0</v>
      </c>
      <c r="K54" s="505">
        <f ca="1"/>
        <v>2.9710509050665503E-2</v>
      </c>
      <c r="L54" s="413">
        <f ca="1"/>
        <v>2.2000000000000002</v>
      </c>
      <c r="O54" s="494">
        <v>1</v>
      </c>
      <c r="P54" s="500">
        <f t="array" aca="1" ref="P54:S54" ca="1">TRANSPOSE(MMULT(O45:S48,V62:V66*IEAData!$G101:$G105))</f>
        <v>16.534952401418831</v>
      </c>
      <c r="Q54" s="501">
        <f ca="1"/>
        <v>21.216432268192552</v>
      </c>
      <c r="R54" s="501">
        <f ca="1"/>
        <v>27.130034137331783</v>
      </c>
      <c r="S54" s="502">
        <f ca="1"/>
        <v>61.379909849649536</v>
      </c>
      <c r="T54" s="386"/>
    </row>
    <row r="55" spans="2:22" hidden="1">
      <c r="B55" s="382" t="s">
        <v>256</v>
      </c>
      <c r="C55" s="494">
        <v>1</v>
      </c>
      <c r="D55" s="398">
        <f ca="1"/>
        <v>1.8048204398270575</v>
      </c>
      <c r="E55" s="399">
        <f ca="1"/>
        <v>2.087864557121645</v>
      </c>
      <c r="F55" s="399">
        <f ca="1"/>
        <v>1.7105767488963923</v>
      </c>
      <c r="G55" s="400">
        <f ca="1"/>
        <v>3.735824618868127</v>
      </c>
      <c r="H55" s="503">
        <f ca="1"/>
        <v>9.9093464606054216</v>
      </c>
      <c r="I55" s="504">
        <f ca="1"/>
        <v>2.0685973567690939E-2</v>
      </c>
      <c r="J55" s="504">
        <f ca="1"/>
        <v>2.9285895878135006</v>
      </c>
      <c r="K55" s="505">
        <f ca="1"/>
        <v>0.46208283750295892</v>
      </c>
      <c r="L55" s="413">
        <f ca="1"/>
        <v>1</v>
      </c>
      <c r="O55" s="499">
        <v>1.5</v>
      </c>
      <c r="P55" s="428"/>
      <c r="Q55" s="428"/>
      <c r="R55" s="428"/>
      <c r="S55" s="428"/>
      <c r="T55" s="386"/>
    </row>
    <row r="56" spans="2:22" hidden="1">
      <c r="B56" s="382" t="s">
        <v>347</v>
      </c>
      <c r="C56" s="494">
        <v>1</v>
      </c>
      <c r="D56" s="398">
        <f ca="1"/>
        <v>2.0512260789412031</v>
      </c>
      <c r="E56" s="399">
        <f ca="1"/>
        <v>2.4060623556131362</v>
      </c>
      <c r="F56" s="399">
        <f ca="1"/>
        <v>1.9352379814795493</v>
      </c>
      <c r="G56" s="400">
        <f ca="1"/>
        <v>4.6863463297970833</v>
      </c>
      <c r="H56" s="503">
        <f ca="1"/>
        <v>2.0154098969187619</v>
      </c>
      <c r="I56" s="504">
        <f ca="1"/>
        <v>1.5331880801315658</v>
      </c>
      <c r="J56" s="504">
        <f ca="1"/>
        <v>15.718127078197874</v>
      </c>
      <c r="K56" s="505">
        <f ca="1"/>
        <v>6.8242306586396753</v>
      </c>
      <c r="L56" s="413">
        <f ca="1"/>
        <v>1.1499999999999999</v>
      </c>
      <c r="O56" s="499">
        <v>2</v>
      </c>
      <c r="P56" s="428"/>
      <c r="Q56" s="428"/>
      <c r="R56" s="428"/>
      <c r="S56" s="428"/>
      <c r="T56" s="386"/>
    </row>
    <row r="57" spans="2:22" hidden="1">
      <c r="B57" s="382" t="s">
        <v>257</v>
      </c>
      <c r="C57" s="494">
        <v>1</v>
      </c>
      <c r="D57" s="401">
        <f ca="1"/>
        <v>1.9879315563405366</v>
      </c>
      <c r="E57" s="402">
        <f ca="1"/>
        <v>2.3234809953591</v>
      </c>
      <c r="F57" s="402">
        <f ca="1"/>
        <v>1.8777250336547116</v>
      </c>
      <c r="G57" s="403">
        <f ca="1"/>
        <v>4.4238495563284337</v>
      </c>
      <c r="H57" s="506">
        <f ca="1"/>
        <v>0.43167860988492485</v>
      </c>
      <c r="I57" s="507">
        <f ca="1"/>
        <v>3.4276997109235432</v>
      </c>
      <c r="J57" s="507">
        <f ca="1"/>
        <v>5.4941743162157124</v>
      </c>
      <c r="K57" s="508">
        <f ca="1"/>
        <v>3.8339288421961277</v>
      </c>
      <c r="L57" s="509">
        <f ca="1"/>
        <v>0.68</v>
      </c>
      <c r="O57" s="499">
        <v>2.4</v>
      </c>
      <c r="P57" s="428"/>
      <c r="Q57" s="428"/>
      <c r="R57" s="428"/>
      <c r="S57" s="428"/>
      <c r="T57" s="386"/>
    </row>
    <row r="58" spans="2:22" hidden="1">
      <c r="H58" s="421">
        <f ca="1">SUM(H53:H57)</f>
        <v>27.441569932479091</v>
      </c>
      <c r="I58" s="421">
        <f ca="1">SUM(I53:I57)</f>
        <v>11.726234723162285</v>
      </c>
      <c r="J58" s="421">
        <f ca="1">SUM(J53:J57)</f>
        <v>24.699942955344611</v>
      </c>
      <c r="K58" s="421">
        <f ca="1">SUM(K53:K57)</f>
        <v>11.624582650179729</v>
      </c>
    </row>
    <row r="59" spans="2:22" hidden="1">
      <c r="B59" s="364" t="s">
        <v>377</v>
      </c>
      <c r="D59" s="404">
        <f t="array" aca="1" ref="D59:G59" ca="1">TRANSPOSE(MMULT(C45:G48/TRANSPOSE(1+1/D53:G57),IEAData!$C90:$C94*IEAData!$H90:$H94))/D51:G51/$C14*1000</f>
        <v>1372.8718563773971</v>
      </c>
      <c r="E59" s="405">
        <f ca="1"/>
        <v>853.30130578454634</v>
      </c>
      <c r="F59" s="405">
        <f ca="1"/>
        <v>1913.2846375752263</v>
      </c>
      <c r="G59" s="406">
        <f ca="1"/>
        <v>1037.0446238700588</v>
      </c>
      <c r="H59" s="407">
        <f ca="1">SUM(D59:G59)</f>
        <v>5176.5024236072286</v>
      </c>
      <c r="N59" s="435" t="s">
        <v>381</v>
      </c>
      <c r="P59" s="387">
        <v>1</v>
      </c>
      <c r="Q59" s="387">
        <v>2</v>
      </c>
      <c r="R59" s="387">
        <v>3</v>
      </c>
      <c r="S59" s="387">
        <v>4</v>
      </c>
      <c r="T59" s="388" t="s">
        <v>321</v>
      </c>
    </row>
    <row r="60" spans="2:22" hidden="1">
      <c r="D60" s="408">
        <f t="array" aca="1" ref="D60" ca="1">SUM(OFFSET($D$102,D50*4-3,0,4)*D54:D57/(1+D54:D57))</f>
        <v>1094.0038526437656</v>
      </c>
      <c r="E60" s="408">
        <f t="array" aca="1" ref="E60" ca="1">SUM(OFFSET($D$102,E50*4-3,0,4)*E54:E57/(1+E54:E57))</f>
        <v>890.22729095176055</v>
      </c>
      <c r="F60" s="408">
        <f t="array" aca="1" ref="F60" ca="1">SUM(OFFSET($D$102,F50*4-3,0,4)*F54:F57/(1+F54:F57))</f>
        <v>2044.289946376613</v>
      </c>
      <c r="G60" s="408">
        <f t="array" aca="1" ref="G60" ca="1">SUM(OFFSET($D$102,G50*4-3,0,4)*G54:G57/(1+G54:G57))</f>
        <v>1648.2068394677842</v>
      </c>
      <c r="H60" s="407">
        <f ca="1">SUM(D60:G60)</f>
        <v>5676.7279294399232</v>
      </c>
      <c r="K60" s="388" t="s">
        <v>385</v>
      </c>
      <c r="N60" s="364" t="s">
        <v>52</v>
      </c>
      <c r="P60" s="510">
        <f t="array" ref="P60:S60" ca="1">P53:S53</f>
        <v>1538.4925395208938</v>
      </c>
      <c r="Q60" s="511">
        <f ca="1"/>
        <v>1780.1911713438644</v>
      </c>
      <c r="R60" s="511">
        <f ca="1"/>
        <v>2193.404006585276</v>
      </c>
      <c r="S60" s="512">
        <f ca="1"/>
        <v>3300.3413334084908</v>
      </c>
      <c r="T60" s="386">
        <f ca="1">SUM(P60:S60)</f>
        <v>8812.4290508585254</v>
      </c>
    </row>
    <row r="61" spans="2:22" hidden="1">
      <c r="B61" s="364" t="s">
        <v>352</v>
      </c>
      <c r="D61" s="409">
        <v>1</v>
      </c>
      <c r="E61" s="409">
        <v>2</v>
      </c>
      <c r="F61" s="409">
        <v>3</v>
      </c>
      <c r="G61" s="409">
        <v>4</v>
      </c>
      <c r="H61" s="410" t="s">
        <v>377</v>
      </c>
      <c r="I61" s="409" t="s">
        <v>378</v>
      </c>
      <c r="J61" s="411" t="s">
        <v>387</v>
      </c>
      <c r="K61" s="409" t="s">
        <v>375</v>
      </c>
      <c r="N61" s="364" t="s">
        <v>381</v>
      </c>
      <c r="P61" s="409">
        <v>1</v>
      </c>
      <c r="Q61" s="409">
        <v>2</v>
      </c>
      <c r="R61" s="409">
        <v>3</v>
      </c>
      <c r="S61" s="409">
        <v>4</v>
      </c>
      <c r="T61" s="410" t="s">
        <v>377</v>
      </c>
      <c r="V61" s="411" t="s">
        <v>379</v>
      </c>
    </row>
    <row r="62" spans="2:22" hidden="1">
      <c r="B62" s="382" t="s">
        <v>254</v>
      </c>
      <c r="D62" s="513">
        <f t="array" aca="1" ref="D62:G66" ca="1">H53:K57/(H58:K58+Tiny)*D59:G59*(1+1/D53:G57)</f>
        <v>16.607388703806961</v>
      </c>
      <c r="E62" s="514">
        <f ca="1"/>
        <v>9.6715435171343689</v>
      </c>
      <c r="F62" s="514">
        <f ca="1"/>
        <v>47.734968553489018</v>
      </c>
      <c r="G62" s="515">
        <f ca="1"/>
        <v>44.636886991280605</v>
      </c>
      <c r="H62" s="516">
        <f ca="1">SUMPRODUCT($H53:$K53/($H$58:$K$58+Tiny),$D$59:$G$59)</f>
        <v>109.66781097226318</v>
      </c>
      <c r="I62" s="517">
        <f ca="1">SUMPRODUCT($H53:$K53/($H$58:$K$58+Tiny),$D$59:$G$59/$D53:$G53)</f>
        <v>8.9829767934477722</v>
      </c>
      <c r="J62" s="518">
        <f ca="1">SUM(D62:G62)</f>
        <v>118.65078776571094</v>
      </c>
      <c r="K62" s="519">
        <f t="array" aca="1" ref="K62:K66" ca="1">OFFSET(CalibData!$K$61:$K$65,0,(CalIndex-1)*10)</f>
        <v>115</v>
      </c>
      <c r="N62" s="382" t="s">
        <v>254</v>
      </c>
      <c r="P62" s="440">
        <f t="array" aca="1" ref="P62:S66" ca="1">IEAData!$G101:$G105*TRANSPOSE(O45:S48)*V62:V66/(P54:S54+Tiny)*P53:S53</f>
        <v>1126.9277530480101</v>
      </c>
      <c r="Q62" s="440">
        <f ca="1"/>
        <v>582.70174129841553</v>
      </c>
      <c r="R62" s="440">
        <f ca="1"/>
        <v>1986.0648951120857</v>
      </c>
      <c r="S62" s="440">
        <f ca="1"/>
        <v>2817.2890577360763</v>
      </c>
      <c r="T62" s="386">
        <f ca="1">SUM(P62:S62)</f>
        <v>6512.9834471945869</v>
      </c>
      <c r="V62" s="416">
        <f t="array" aca="1" ref="V62:V66" ca="1">OFFSET(CalibData!$J$102:$J$106,0,(CalIndex-1)*10)</f>
        <v>8</v>
      </c>
    </row>
    <row r="63" spans="2:22" hidden="1">
      <c r="B63" s="382" t="s">
        <v>255</v>
      </c>
      <c r="D63" s="520">
        <f ca="1"/>
        <v>1229.2636896485089</v>
      </c>
      <c r="E63" s="521">
        <f ca="1"/>
        <v>762.27524446560824</v>
      </c>
      <c r="F63" s="521">
        <f ca="1"/>
        <v>0</v>
      </c>
      <c r="G63" s="522">
        <f ca="1"/>
        <v>3.5936447726068437</v>
      </c>
      <c r="H63" s="523">
        <f ca="1">SUMPRODUCT($H54:$K54/($H$58:$K$58+Tiny),$D$59:$G$59)</f>
        <v>1224.1220339786953</v>
      </c>
      <c r="I63" s="524">
        <f ca="1">SUMPRODUCT($H54:$K54/($H$58:$K$58+Tiny),$D$59:$G$59/$D54:$G54)</f>
        <v>771.01054490802869</v>
      </c>
      <c r="J63" s="518">
        <f ca="1">SUM(D63:G63)</f>
        <v>1995.1325788867241</v>
      </c>
      <c r="K63" s="525">
        <f ca="1"/>
        <v>782.6</v>
      </c>
      <c r="N63" s="382" t="s">
        <v>255</v>
      </c>
      <c r="P63" s="440">
        <f ca="1"/>
        <v>309.18678773158206</v>
      </c>
      <c r="Q63" s="440">
        <f ca="1"/>
        <v>1117.167496993387</v>
      </c>
      <c r="R63" s="440">
        <f ca="1"/>
        <v>19.132894092633766</v>
      </c>
      <c r="S63" s="440">
        <f ca="1"/>
        <v>2.625660635728376</v>
      </c>
      <c r="T63" s="386">
        <f ca="1">SUM(P63:S63)</f>
        <v>1448.1128394533312</v>
      </c>
      <c r="V63" s="416">
        <f ca="1"/>
        <v>2</v>
      </c>
    </row>
    <row r="64" spans="2:22" hidden="1">
      <c r="B64" s="382" t="s">
        <v>256</v>
      </c>
      <c r="D64" s="520">
        <f ca="1"/>
        <v>770.43698706768873</v>
      </c>
      <c r="E64" s="521">
        <f ca="1"/>
        <v>2.2262591279900921</v>
      </c>
      <c r="F64" s="521">
        <f ca="1"/>
        <v>359.4688747752528</v>
      </c>
      <c r="G64" s="522">
        <f ca="1"/>
        <v>52.257549937993922</v>
      </c>
      <c r="H64" s="523">
        <f ca="1">SUMPRODUCT($H55:$K55/($H$58:$K$58+Tiny),$D$59:$G$59)</f>
        <v>765.33388723620465</v>
      </c>
      <c r="I64" s="524">
        <f ca="1">SUMPRODUCT($H55:$K55/($H$58:$K$58+Tiny),$D$59:$G$59/$D55:$G55)</f>
        <v>419.05578367272102</v>
      </c>
      <c r="J64" s="518">
        <f ca="1">SUM(D64:G64)</f>
        <v>1184.3896709089256</v>
      </c>
      <c r="K64" s="525">
        <f ca="1"/>
        <v>480</v>
      </c>
      <c r="N64" s="382" t="s">
        <v>256</v>
      </c>
      <c r="P64" s="440">
        <f ca="1"/>
        <v>9.4496266566634759</v>
      </c>
      <c r="Q64" s="440">
        <f ca="1"/>
        <v>2.7985345678422924</v>
      </c>
      <c r="R64" s="440">
        <f ca="1"/>
        <v>0.13777012884108636</v>
      </c>
      <c r="S64" s="440">
        <f ca="1"/>
        <v>3.2993898899271207E-2</v>
      </c>
      <c r="T64" s="386">
        <f ca="1">SUM(P64:S64)</f>
        <v>12.418925252246126</v>
      </c>
      <c r="V64" s="416">
        <f ca="1"/>
        <v>1</v>
      </c>
    </row>
    <row r="65" spans="1:22" hidden="1">
      <c r="B65" s="382" t="s">
        <v>347</v>
      </c>
      <c r="D65" s="520">
        <f ca="1"/>
        <v>149.9841249061983</v>
      </c>
      <c r="E65" s="521">
        <f ca="1"/>
        <v>157.93739743988979</v>
      </c>
      <c r="F65" s="521">
        <f ca="1"/>
        <v>1846.6873288312702</v>
      </c>
      <c r="G65" s="522">
        <f ca="1"/>
        <v>738.70782377082469</v>
      </c>
      <c r="H65" s="523">
        <f ca="1">SUMPRODUCT($H56:$K56/($H$58:$K$58+Tiny),$D$59:$G$59)</f>
        <v>2038.738782110252</v>
      </c>
      <c r="I65" s="524">
        <f ca="1">SUMPRODUCT($H56:$K56/($H$58:$K$58+Tiny),$D$59:$G$59/$D56:$G56)</f>
        <v>854.57789283793068</v>
      </c>
      <c r="J65" s="518">
        <f ca="1">SUM(D65:G65)</f>
        <v>2893.3166749481829</v>
      </c>
      <c r="K65" s="525">
        <f ca="1"/>
        <v>849</v>
      </c>
      <c r="N65" s="382" t="s">
        <v>347</v>
      </c>
      <c r="P65" s="440">
        <f ca="1"/>
        <v>1.568255875862937</v>
      </c>
      <c r="Q65" s="440">
        <f ca="1"/>
        <v>7.7427068120342444</v>
      </c>
      <c r="R65" s="440">
        <f ca="1"/>
        <v>119.82437966932871</v>
      </c>
      <c r="S65" s="440">
        <f ca="1"/>
        <v>187.37277565811752</v>
      </c>
      <c r="T65" s="386">
        <f ca="1">SUM(P65:S65)</f>
        <v>316.50811801534337</v>
      </c>
      <c r="V65" s="416">
        <f ca="1"/>
        <v>1</v>
      </c>
    </row>
    <row r="66" spans="1:22" hidden="1">
      <c r="B66" s="382" t="s">
        <v>257</v>
      </c>
      <c r="D66" s="526">
        <f ca="1"/>
        <v>32.460170384476982</v>
      </c>
      <c r="E66" s="527">
        <f ca="1"/>
        <v>356.78013870000461</v>
      </c>
      <c r="F66" s="527">
        <f ca="1"/>
        <v>652.23389911019456</v>
      </c>
      <c r="G66" s="528">
        <f ca="1"/>
        <v>419.3449412816172</v>
      </c>
      <c r="H66" s="523">
        <f ca="1">SUMPRODUCT($H57:$K57/($H$58:$K$58+Tiny),$D$59:$G$59)</f>
        <v>1038.6399090203436</v>
      </c>
      <c r="I66" s="529">
        <f ca="1">SUMPRODUCT($H57:$K57/($H$58:$K$58+Tiny),$D$59:$G$59/$D57:$G57)</f>
        <v>422.17924045594981</v>
      </c>
      <c r="J66" s="518">
        <f ca="1">SUM(D66:G66)</f>
        <v>1460.8191494762932</v>
      </c>
      <c r="K66" s="530">
        <f ca="1"/>
        <v>353</v>
      </c>
      <c r="N66" s="382" t="s">
        <v>257</v>
      </c>
      <c r="P66" s="440">
        <f ca="1"/>
        <v>91.360116115730349</v>
      </c>
      <c r="Q66" s="440">
        <f ca="1"/>
        <v>69.780691588279396</v>
      </c>
      <c r="R66" s="440">
        <f ca="1"/>
        <v>68.244067501539035</v>
      </c>
      <c r="S66" s="440">
        <f ca="1"/>
        <v>293.02084542590035</v>
      </c>
      <c r="T66" s="386">
        <f ca="1">SUM(P66:S66)</f>
        <v>522.40572063144919</v>
      </c>
      <c r="V66" s="416">
        <f ca="1"/>
        <v>1</v>
      </c>
    </row>
    <row r="67" spans="1:22" hidden="1">
      <c r="B67" s="364" t="s">
        <v>52</v>
      </c>
      <c r="D67" s="385">
        <f t="shared" ref="D67:K67" ca="1" si="3">SUM(D62:D66)</f>
        <v>2198.75236071068</v>
      </c>
      <c r="E67" s="385">
        <f t="shared" ca="1" si="3"/>
        <v>1288.8905832506271</v>
      </c>
      <c r="F67" s="385">
        <f t="shared" ca="1" si="3"/>
        <v>2906.1250712702067</v>
      </c>
      <c r="G67" s="385">
        <f t="shared" ca="1" si="3"/>
        <v>1258.5408467543232</v>
      </c>
      <c r="H67" s="531">
        <f t="shared" ca="1" si="3"/>
        <v>5176.5024233177592</v>
      </c>
      <c r="I67" s="532">
        <f t="shared" ca="1" si="3"/>
        <v>2475.8064386680776</v>
      </c>
      <c r="J67" s="533">
        <f t="shared" ca="1" si="3"/>
        <v>7652.3088619858363</v>
      </c>
      <c r="K67" s="423">
        <f t="shared" ca="1" si="3"/>
        <v>2579.6</v>
      </c>
      <c r="N67" s="364" t="s">
        <v>52</v>
      </c>
      <c r="P67" s="385">
        <f ca="1">SUM(P62:P66)</f>
        <v>1538.4925394278487</v>
      </c>
      <c r="Q67" s="385">
        <f ca="1">SUM(Q62:Q66)</f>
        <v>1780.1911712599583</v>
      </c>
      <c r="R67" s="385">
        <f ca="1">SUM(R62:R66)</f>
        <v>2193.4040065044283</v>
      </c>
      <c r="S67" s="385">
        <f ca="1">SUM(S62:S66)</f>
        <v>3300.3413333547219</v>
      </c>
      <c r="T67" s="385">
        <f ca="1">SUM(T62:T66)</f>
        <v>8812.429050546958</v>
      </c>
      <c r="V67" s="422"/>
    </row>
    <row r="68" spans="1:22" hidden="1">
      <c r="D68" s="534"/>
      <c r="E68" s="534"/>
      <c r="F68" s="534"/>
      <c r="G68" s="534"/>
      <c r="H68" s="535"/>
      <c r="I68" s="535"/>
      <c r="J68" s="535"/>
      <c r="K68" s="535"/>
      <c r="P68" s="534"/>
      <c r="Q68" s="534"/>
      <c r="R68" s="534"/>
      <c r="S68" s="534"/>
      <c r="T68" s="534"/>
      <c r="V68" s="536"/>
    </row>
    <row r="69" spans="1:22" hidden="1">
      <c r="B69" s="364" t="s">
        <v>421</v>
      </c>
      <c r="C69" s="364" t="s">
        <v>158</v>
      </c>
      <c r="D69" s="504">
        <f t="array" aca="1" ref="D69:G69" ca="1">TRANSPOSE(MMULT(C45:G48/(1+TRANSPOSE(D53:G57)),IEAData!H90:H94*IEAData!C90:C94))+TRANSPOSE($H$45:$H$48)*IEAData!$F$95</f>
        <v>11.570338163132016</v>
      </c>
      <c r="E69" s="504">
        <f ca="1"/>
        <v>4.8289654194160887</v>
      </c>
      <c r="F69" s="504">
        <f ca="1"/>
        <v>13.296175793016175</v>
      </c>
      <c r="G69" s="504">
        <f ca="1"/>
        <v>2.9334845101229634</v>
      </c>
      <c r="H69" s="537">
        <f ca="1">SUM(D69:G69)</f>
        <v>32.628963885687241</v>
      </c>
      <c r="I69" s="535"/>
      <c r="J69" s="535"/>
      <c r="K69" s="535"/>
      <c r="N69" s="364" t="s">
        <v>422</v>
      </c>
      <c r="O69" s="364" t="s">
        <v>349</v>
      </c>
      <c r="P69" s="504">
        <f t="array" aca="1" ref="P69:S69" ca="1">TRANSPOSE(MMULT(O45:U48,IEAData!H101:H107*IEAData!C101:C107))</f>
        <v>5.4488352324460498</v>
      </c>
      <c r="Q69" s="504">
        <f ca="1"/>
        <v>8.7824003901744661</v>
      </c>
      <c r="R69" s="504">
        <f ca="1"/>
        <v>5.6427136624870187</v>
      </c>
      <c r="S69" s="504">
        <f ca="1"/>
        <v>15.808757966442395</v>
      </c>
      <c r="T69" s="537">
        <f ca="1">SUM(P69:S69)</f>
        <v>35.682707251549928</v>
      </c>
      <c r="V69" s="538" t="s">
        <v>571</v>
      </c>
    </row>
    <row r="70" spans="1:22" hidden="1">
      <c r="C70" s="364" t="s">
        <v>138</v>
      </c>
      <c r="D70" s="412">
        <f t="array" aca="1" ref="D70:G70" ca="1">TRANSPOSE(MMULT(C45:G48,IEAData!H90:H94*IEAData!C90:C94))+TRANSPOSE($H$45:$H$48)*IEAData!$I$95-D69:G69</f>
        <v>19.650513412090575</v>
      </c>
      <c r="E70" s="412">
        <f ca="1"/>
        <v>9.8726022475368325</v>
      </c>
      <c r="F70" s="412">
        <f ca="1"/>
        <v>25.019344429447294</v>
      </c>
      <c r="G70" s="412">
        <f ca="1"/>
        <v>12.44673930736834</v>
      </c>
      <c r="H70" s="537">
        <f ca="1">SUM(D70:G70)</f>
        <v>66.989199396443041</v>
      </c>
      <c r="I70" s="535"/>
      <c r="J70" s="535"/>
      <c r="K70" s="535"/>
      <c r="O70" s="364" t="s">
        <v>673</v>
      </c>
      <c r="P70" s="504">
        <f t="array" ref="P70:S70" ca="1">D70:G70+P69:S69</f>
        <v>25.099348644536626</v>
      </c>
      <c r="Q70" s="504">
        <f ca="1"/>
        <v>18.655002637711299</v>
      </c>
      <c r="R70" s="504">
        <f ca="1"/>
        <v>30.662058091934313</v>
      </c>
      <c r="S70" s="504">
        <f ca="1"/>
        <v>28.255497273810732</v>
      </c>
      <c r="T70" s="537">
        <f ca="1">MAX(0.001,SUM(P70:S70))</f>
        <v>102.67190664799297</v>
      </c>
      <c r="V70" s="539">
        <f ca="1">SUM(P70,R70)</f>
        <v>55.761406736470938</v>
      </c>
    </row>
    <row r="71" spans="1:22" hidden="1"/>
    <row r="72" spans="1:22" hidden="1">
      <c r="A72" s="487"/>
      <c r="B72" s="488" t="s">
        <v>352</v>
      </c>
      <c r="C72" s="487"/>
      <c r="D72" s="489">
        <f ca="1">AuxYear</f>
        <v>2017</v>
      </c>
      <c r="E72" s="487"/>
      <c r="F72" s="487"/>
      <c r="G72" s="487"/>
      <c r="H72" s="487"/>
      <c r="I72" s="487"/>
      <c r="J72" s="487"/>
      <c r="K72" s="487"/>
      <c r="L72" s="487"/>
      <c r="M72" s="487"/>
      <c r="N72" s="488" t="s">
        <v>381</v>
      </c>
      <c r="O72" s="487"/>
      <c r="P72" s="489">
        <f ca="1">AuxYear</f>
        <v>2017</v>
      </c>
      <c r="Q72" s="487"/>
      <c r="R72" s="487"/>
      <c r="S72" s="487"/>
      <c r="T72" s="487"/>
      <c r="U72" s="487"/>
      <c r="V72" s="487"/>
    </row>
    <row r="73" spans="1:22" hidden="1"/>
    <row r="74" spans="1:22" hidden="1">
      <c r="B74" s="373" t="s">
        <v>37</v>
      </c>
      <c r="C74" s="379" t="s">
        <v>254</v>
      </c>
      <c r="D74" s="379" t="s">
        <v>255</v>
      </c>
      <c r="E74" s="379" t="s">
        <v>256</v>
      </c>
      <c r="F74" s="379" t="s">
        <v>347</v>
      </c>
      <c r="G74" s="379" t="s">
        <v>348</v>
      </c>
      <c r="H74" s="379" t="s">
        <v>597</v>
      </c>
      <c r="N74" s="373" t="s">
        <v>349</v>
      </c>
      <c r="O74" s="379" t="s">
        <v>254</v>
      </c>
      <c r="P74" s="379" t="s">
        <v>255</v>
      </c>
      <c r="Q74" s="379" t="s">
        <v>256</v>
      </c>
      <c r="R74" s="379" t="s">
        <v>347</v>
      </c>
      <c r="S74" s="379" t="s">
        <v>348</v>
      </c>
      <c r="T74" s="379" t="s">
        <v>597</v>
      </c>
      <c r="U74" s="379" t="s">
        <v>598</v>
      </c>
    </row>
    <row r="75" spans="1:22" hidden="1">
      <c r="B75" s="376">
        <v>1</v>
      </c>
      <c r="C75" s="490">
        <f t="array" aca="1" ref="C75:H78" ca="1">OFFSET(CalibData!$C$18:$H$21,0,(CalIndex-1)*10)</f>
        <v>0.17025440313111548</v>
      </c>
      <c r="D75" s="490">
        <f ca="1"/>
        <v>0.81730310262529826</v>
      </c>
      <c r="E75" s="490">
        <f ca="1"/>
        <v>0.96381954967169103</v>
      </c>
      <c r="F75" s="490">
        <f ca="1"/>
        <v>0.10022799146870634</v>
      </c>
      <c r="G75" s="490">
        <f ca="1"/>
        <v>8.0135527756463862E-2</v>
      </c>
      <c r="H75" s="490">
        <f ca="1"/>
        <v>0.3571356292373597</v>
      </c>
      <c r="I75" s="491">
        <v>1</v>
      </c>
      <c r="N75" s="376">
        <v>1</v>
      </c>
      <c r="O75" s="490">
        <f t="array" aca="1" ref="O75:U78" ca="1">OFFSET(CalibData!$C$24:$I$27,0,(CalIndex-1)*10)</f>
        <v>0.32098227259517581</v>
      </c>
      <c r="P75" s="490">
        <f ca="1"/>
        <v>0.17773339990014977</v>
      </c>
      <c r="Q75" s="490">
        <f ca="1"/>
        <v>0</v>
      </c>
      <c r="R75" s="490">
        <f ca="1"/>
        <v>0</v>
      </c>
      <c r="S75" s="490">
        <f ca="1"/>
        <v>0.17341137474563117</v>
      </c>
      <c r="T75" s="490">
        <f ca="1"/>
        <v>0.3706170803589473</v>
      </c>
      <c r="U75" s="490">
        <f ca="1"/>
        <v>0.88043914848038551</v>
      </c>
    </row>
    <row r="76" spans="1:22" hidden="1">
      <c r="B76" s="376">
        <v>2</v>
      </c>
      <c r="C76" s="490">
        <f ca="1"/>
        <v>0.15557729941291581</v>
      </c>
      <c r="D76" s="490">
        <f ca="1"/>
        <v>0.10799522673031035</v>
      </c>
      <c r="E76" s="490">
        <f ca="1"/>
        <v>0</v>
      </c>
      <c r="F76" s="490">
        <f ca="1"/>
        <v>7.1868794587041263E-2</v>
      </c>
      <c r="G76" s="490">
        <f ca="1"/>
        <v>0.25077807760946969</v>
      </c>
      <c r="H76" s="490">
        <f ca="1"/>
        <v>0.27001045636995313</v>
      </c>
      <c r="I76" s="491">
        <v>1</v>
      </c>
      <c r="N76" s="376">
        <v>2</v>
      </c>
      <c r="O76" s="490">
        <f ca="1"/>
        <v>6.0738157512351051E-2</v>
      </c>
      <c r="P76" s="490">
        <f ca="1"/>
        <v>0.81739890164752871</v>
      </c>
      <c r="Q76" s="490">
        <f ca="1"/>
        <v>0</v>
      </c>
      <c r="R76" s="490">
        <f ca="1"/>
        <v>4.4230129697372798E-2</v>
      </c>
      <c r="S76" s="490">
        <f ca="1"/>
        <v>0.14590807057293306</v>
      </c>
      <c r="T76" s="490">
        <f ca="1"/>
        <v>0.21761487087003237</v>
      </c>
      <c r="U76" s="490">
        <f ca="1"/>
        <v>9.452403266836254E-2</v>
      </c>
    </row>
    <row r="77" spans="1:22" hidden="1">
      <c r="B77" s="376">
        <v>3</v>
      </c>
      <c r="C77" s="490">
        <f ca="1"/>
        <v>0.35909980430528388</v>
      </c>
      <c r="D77" s="490">
        <f ca="1"/>
        <v>7.4701670644391385E-2</v>
      </c>
      <c r="E77" s="490">
        <f ca="1"/>
        <v>2.2808836430337345E-2</v>
      </c>
      <c r="F77" s="490">
        <f ca="1"/>
        <v>0.61988673972199748</v>
      </c>
      <c r="G77" s="490">
        <f ca="1"/>
        <v>0.4715107206593615</v>
      </c>
      <c r="H77" s="490">
        <f ca="1"/>
        <v>0.16706580767025334</v>
      </c>
      <c r="I77" s="491">
        <v>1</v>
      </c>
      <c r="N77" s="376">
        <v>3</v>
      </c>
      <c r="O77" s="490">
        <f ca="1"/>
        <v>0.19064225515838415</v>
      </c>
      <c r="P77" s="490">
        <f ca="1"/>
        <v>0</v>
      </c>
      <c r="Q77" s="490">
        <f ca="1"/>
        <v>7.1428571428571425E-2</v>
      </c>
      <c r="R77" s="490">
        <f ca="1"/>
        <v>0.21375124709012308</v>
      </c>
      <c r="S77" s="490">
        <f ca="1"/>
        <v>9.2349004552415723E-2</v>
      </c>
      <c r="T77" s="490">
        <f ca="1"/>
        <v>0.1277224145557192</v>
      </c>
      <c r="U77" s="540">
        <f ca="1"/>
        <v>1.0041504886865707E-3</v>
      </c>
    </row>
    <row r="78" spans="1:22" hidden="1">
      <c r="B78" s="376">
        <v>4</v>
      </c>
      <c r="C78" s="490">
        <f ca="1"/>
        <v>0.31506849315068475</v>
      </c>
      <c r="D78" s="540">
        <f ca="1"/>
        <v>0</v>
      </c>
      <c r="E78" s="490">
        <f ca="1"/>
        <v>1.337161389797166E-2</v>
      </c>
      <c r="F78" s="490">
        <f ca="1"/>
        <v>0.20801647422225492</v>
      </c>
      <c r="G78" s="490">
        <f ca="1"/>
        <v>0.19757567397470496</v>
      </c>
      <c r="H78" s="490">
        <f ca="1"/>
        <v>0.20578810672243394</v>
      </c>
      <c r="I78" s="491">
        <v>1</v>
      </c>
      <c r="K78" s="541"/>
      <c r="N78" s="376">
        <v>4</v>
      </c>
      <c r="O78" s="490">
        <f ca="1"/>
        <v>0.42763731473408889</v>
      </c>
      <c r="P78" s="490">
        <f ca="1"/>
        <v>4.8676984523215181E-3</v>
      </c>
      <c r="Q78" s="490">
        <f ca="1"/>
        <v>0.92857142857142849</v>
      </c>
      <c r="R78" s="490">
        <f ca="1"/>
        <v>0.74201862321250422</v>
      </c>
      <c r="S78" s="490">
        <f ca="1"/>
        <v>0.58833155012902016</v>
      </c>
      <c r="T78" s="490">
        <f ca="1"/>
        <v>0.2840456342153011</v>
      </c>
      <c r="U78" s="490">
        <f ca="1"/>
        <v>2.4032668362565259E-2</v>
      </c>
    </row>
    <row r="79" spans="1:22" hidden="1">
      <c r="H79" s="542"/>
    </row>
    <row r="80" spans="1:22" hidden="1">
      <c r="D80" s="387">
        <v>1</v>
      </c>
      <c r="E80" s="387">
        <v>2</v>
      </c>
      <c r="F80" s="387">
        <v>3</v>
      </c>
      <c r="G80" s="387">
        <v>4</v>
      </c>
      <c r="H80" s="388"/>
      <c r="N80" s="435"/>
      <c r="P80" s="387">
        <v>1</v>
      </c>
      <c r="Q80" s="387">
        <v>2</v>
      </c>
      <c r="R80" s="387">
        <v>3</v>
      </c>
      <c r="S80" s="387">
        <v>4</v>
      </c>
    </row>
    <row r="81" spans="2:22" hidden="1">
      <c r="C81" s="492" t="s">
        <v>259</v>
      </c>
      <c r="D81" s="493">
        <f t="array" aca="1" ref="D81:G82" ca="1">OFFSET(CalibData!$D$50:$G$51,0,(CalIndex-1)*10)</f>
        <v>0.44</v>
      </c>
      <c r="E81" s="493">
        <f ca="1"/>
        <v>0.35</v>
      </c>
      <c r="F81" s="493">
        <f ca="1"/>
        <v>0.41</v>
      </c>
      <c r="G81" s="493">
        <f ca="1"/>
        <v>0.37</v>
      </c>
      <c r="N81" s="364" t="s">
        <v>259</v>
      </c>
      <c r="P81" s="543">
        <f t="array" aca="1" ref="P81:S81" ca="1">OFFSET(CalibData!$D$97:$G$97,0,(CalIndex-1)*10)</f>
        <v>8.5851999999999998E-2</v>
      </c>
      <c r="Q81" s="543">
        <f ca="1"/>
        <v>0.14659</v>
      </c>
      <c r="R81" s="543">
        <f ca="1"/>
        <v>7.6715000000000005E-2</v>
      </c>
      <c r="S81" s="543">
        <f ca="1"/>
        <v>0.1227</v>
      </c>
    </row>
    <row r="82" spans="2:22" hidden="1">
      <c r="B82" s="364" t="s">
        <v>389</v>
      </c>
      <c r="C82" s="492" t="s">
        <v>384</v>
      </c>
      <c r="D82" s="493">
        <f ca="1"/>
        <v>0.42899999999999999</v>
      </c>
      <c r="E82" s="493">
        <f ca="1"/>
        <v>0.4</v>
      </c>
      <c r="F82" s="493">
        <f ca="1"/>
        <v>0.44</v>
      </c>
      <c r="G82" s="493">
        <f ca="1"/>
        <v>0.3</v>
      </c>
      <c r="H82" s="409">
        <v>1</v>
      </c>
      <c r="I82" s="409">
        <v>2</v>
      </c>
      <c r="J82" s="409">
        <v>3</v>
      </c>
      <c r="K82" s="409">
        <v>4</v>
      </c>
      <c r="L82" s="410" t="s">
        <v>379</v>
      </c>
      <c r="P82" s="387">
        <v>1</v>
      </c>
      <c r="Q82" s="387">
        <v>2</v>
      </c>
      <c r="R82" s="387">
        <v>3</v>
      </c>
      <c r="S82" s="387">
        <v>4</v>
      </c>
      <c r="T82" s="388" t="s">
        <v>321</v>
      </c>
    </row>
    <row r="83" spans="2:22" hidden="1">
      <c r="B83" s="382" t="s">
        <v>254</v>
      </c>
      <c r="C83" s="544">
        <v>0.2</v>
      </c>
      <c r="D83" s="395">
        <f t="array" aca="1" ref="D83:G87" ca="1">ABS(1/(1/((1-D82:G82)^C83:C87*IF(AuxData!$F90:$F94&gt;0,AuxData!$G90:$G94/MMULT(AuxData!$I90:$I94*TRANSPOSE(C75:G78)*(1-D82:G82)^C83:C87,I75:I78),1))-1))</f>
        <v>0.77626862800550478</v>
      </c>
      <c r="E83" s="396">
        <f ca="1"/>
        <v>0.79010536942140475</v>
      </c>
      <c r="F83" s="396">
        <f ca="1"/>
        <v>0.77093069851242868</v>
      </c>
      <c r="G83" s="397">
        <f ca="1"/>
        <v>0.8355131025008492</v>
      </c>
      <c r="H83" s="495">
        <f t="array" aca="1" ref="H83:K87" ca="1">TRANSPOSE(C75:G78)*AuxData!$I$90:$I$94*D83:G87/(D83:G87+1)*L83:L87</f>
        <v>0.12601576535802736</v>
      </c>
      <c r="I83" s="496">
        <f ca="1"/>
        <v>0.11629894790920688</v>
      </c>
      <c r="J83" s="496">
        <f ca="1"/>
        <v>0.26475982245662355</v>
      </c>
      <c r="K83" s="497">
        <f ca="1"/>
        <v>0.24289797335110544</v>
      </c>
      <c r="L83" s="498">
        <f t="array" aca="1" ref="L83:L87" ca="1">OFFSET(CalibData!$J$61:$J$65,0,(CalIndex-1)*10)</f>
        <v>9</v>
      </c>
      <c r="M83" s="388">
        <v>1</v>
      </c>
      <c r="O83" s="519">
        <f t="array" ref="O83:O87">$O$53:$O$57</f>
        <v>0.75</v>
      </c>
      <c r="P83" s="501">
        <f t="array" aca="1" ref="P83:S83" ca="1">TRANSPOSE(MMULT(O75:S78/TRANSPOSE(O83:O87),AuxData!$C101:$C105*AuxData!$H101:$H105))/P81:S81/$C$14*1000</f>
        <v>1744.0230886500317</v>
      </c>
      <c r="Q83" s="501">
        <f ca="1"/>
        <v>869.34610962539784</v>
      </c>
      <c r="R83" s="501">
        <f ca="1"/>
        <v>1229.6783352223079</v>
      </c>
      <c r="S83" s="502">
        <f ca="1"/>
        <v>3128.3751282871813</v>
      </c>
      <c r="T83" s="386">
        <f ca="1">SUM(P83:S83)</f>
        <v>6971.4226617849181</v>
      </c>
    </row>
    <row r="84" spans="2:22" hidden="1">
      <c r="B84" s="382" t="s">
        <v>255</v>
      </c>
      <c r="C84" s="416">
        <v>1</v>
      </c>
      <c r="D84" s="398">
        <f ca="1"/>
        <v>0.5439102822831684</v>
      </c>
      <c r="E84" s="399">
        <f ca="1"/>
        <v>0.58777113399071446</v>
      </c>
      <c r="F84" s="399">
        <f ca="1"/>
        <v>0.52790073738805932</v>
      </c>
      <c r="G84" s="400">
        <f ca="1"/>
        <v>0.76020398246180576</v>
      </c>
      <c r="H84" s="503">
        <f ca="1"/>
        <v>1.07285789225706</v>
      </c>
      <c r="I84" s="504">
        <f ca="1"/>
        <v>0.14896311847219804</v>
      </c>
      <c r="J84" s="504">
        <f ca="1"/>
        <v>9.6170369818809748E-2</v>
      </c>
      <c r="K84" s="505">
        <f ca="1"/>
        <v>0</v>
      </c>
      <c r="L84" s="413">
        <f ca="1"/>
        <v>2.2000000000000002</v>
      </c>
      <c r="M84" s="388">
        <v>2</v>
      </c>
      <c r="O84" s="525">
        <v>1</v>
      </c>
      <c r="P84" s="501">
        <f t="array" aca="1" ref="P84:S84" ca="1">TRANSPOSE(MMULT(O75:S78,V92:V96*AuxData!$G101:$G105))</f>
        <v>19.295528216344337</v>
      </c>
      <c r="Q84" s="501">
        <f ca="1"/>
        <v>10.447811683513244</v>
      </c>
      <c r="R84" s="501">
        <f ca="1"/>
        <v>11.74037464136976</v>
      </c>
      <c r="S84" s="502">
        <f ca="1"/>
        <v>38.936743840084361</v>
      </c>
      <c r="T84" s="386"/>
    </row>
    <row r="85" spans="2:22" hidden="1">
      <c r="B85" s="382" t="s">
        <v>256</v>
      </c>
      <c r="C85" s="416">
        <v>1</v>
      </c>
      <c r="D85" s="398">
        <f ca="1"/>
        <v>1.9316026647453399</v>
      </c>
      <c r="E85" s="399">
        <f ca="1"/>
        <v>2.2504828751035042</v>
      </c>
      <c r="F85" s="399">
        <f ca="1"/>
        <v>1.8264277284040971</v>
      </c>
      <c r="G85" s="400">
        <f ca="1"/>
        <v>4.2014423727053618</v>
      </c>
      <c r="H85" s="503">
        <f ca="1"/>
        <v>9.5722063977887615</v>
      </c>
      <c r="I85" s="504">
        <f ca="1"/>
        <v>0</v>
      </c>
      <c r="J85" s="504">
        <f ca="1"/>
        <v>0.22216281660486051</v>
      </c>
      <c r="K85" s="505">
        <f ca="1"/>
        <v>0.16280287988380654</v>
      </c>
      <c r="L85" s="413">
        <f ca="1"/>
        <v>1</v>
      </c>
      <c r="M85" s="388">
        <v>3</v>
      </c>
      <c r="O85" s="525">
        <v>1.5</v>
      </c>
      <c r="P85" s="428"/>
      <c r="Q85" s="428"/>
      <c r="R85" s="428"/>
      <c r="S85" s="428"/>
      <c r="T85" s="386"/>
    </row>
    <row r="86" spans="2:22" hidden="1">
      <c r="B86" s="382" t="s">
        <v>347</v>
      </c>
      <c r="C86" s="416">
        <v>1</v>
      </c>
      <c r="D86" s="398">
        <f ca="1"/>
        <v>2.1621282376110602</v>
      </c>
      <c r="E86" s="399">
        <f ca="1"/>
        <v>2.5521962020716216</v>
      </c>
      <c r="F86" s="399">
        <f ca="1"/>
        <v>2.0356852451766434</v>
      </c>
      <c r="G86" s="400">
        <f ca="1"/>
        <v>5.1816676532567776</v>
      </c>
      <c r="H86" s="503">
        <f ca="1"/>
        <v>1.7117348465372282</v>
      </c>
      <c r="I86" s="504">
        <f ca="1"/>
        <v>1.2897423703512796</v>
      </c>
      <c r="J86" s="504">
        <f ca="1"/>
        <v>10.382734042734286</v>
      </c>
      <c r="K86" s="505">
        <f ca="1"/>
        <v>4.3551902104841922</v>
      </c>
      <c r="L86" s="413">
        <f ca="1"/>
        <v>1.1499999999999999</v>
      </c>
      <c r="M86" s="388">
        <v>4</v>
      </c>
      <c r="O86" s="525">
        <v>2</v>
      </c>
      <c r="P86" s="428"/>
      <c r="Q86" s="428"/>
      <c r="R86" s="428"/>
      <c r="S86" s="428"/>
      <c r="T86" s="386"/>
    </row>
    <row r="87" spans="2:22" hidden="1">
      <c r="B87" s="382" t="s">
        <v>257</v>
      </c>
      <c r="C87" s="545">
        <v>1</v>
      </c>
      <c r="D87" s="401">
        <f ca="1"/>
        <v>2.0225726199714846</v>
      </c>
      <c r="E87" s="402">
        <f ca="1"/>
        <v>2.3686044339330206</v>
      </c>
      <c r="F87" s="402">
        <f ca="1"/>
        <v>1.9092185673983537</v>
      </c>
      <c r="G87" s="403">
        <f ca="1"/>
        <v>4.5658014214872571</v>
      </c>
      <c r="H87" s="506">
        <f ca="1"/>
        <v>1.2699476900986266</v>
      </c>
      <c r="I87" s="507">
        <f ca="1"/>
        <v>4.176047617215688</v>
      </c>
      <c r="J87" s="507">
        <f ca="1"/>
        <v>7.3283165641364256</v>
      </c>
      <c r="K87" s="508">
        <f ca="1"/>
        <v>3.838452183638863</v>
      </c>
      <c r="L87" s="509">
        <f ca="1"/>
        <v>0.68</v>
      </c>
      <c r="M87" s="388">
        <v>5</v>
      </c>
      <c r="O87" s="530">
        <v>2.4</v>
      </c>
      <c r="P87" s="428"/>
      <c r="Q87" s="428"/>
      <c r="R87" s="428"/>
      <c r="S87" s="428"/>
      <c r="T87" s="386"/>
    </row>
    <row r="88" spans="2:22" hidden="1">
      <c r="H88" s="421">
        <f ca="1">SUM(H83:H87)</f>
        <v>13.752762592039703</v>
      </c>
      <c r="I88" s="421">
        <f ca="1">SUM(I83:I87)</f>
        <v>5.7310520539483729</v>
      </c>
      <c r="J88" s="421">
        <f ca="1">SUM(J83:J87)</f>
        <v>18.294143615751004</v>
      </c>
      <c r="K88" s="421">
        <f ca="1">SUM(K83:K87)</f>
        <v>8.5993432473579663</v>
      </c>
    </row>
    <row r="89" spans="2:22" hidden="1">
      <c r="B89" s="364" t="s">
        <v>377</v>
      </c>
      <c r="D89" s="404">
        <f t="array" aca="1" ref="D89:G89" ca="1">TRANSPOSE(MMULT(C75:G78/TRANSPOSE(1+1/D83:G87),AuxData!$C90:$C94*AuxData!$H90:$H94))/D81:G81/$C14*1000</f>
        <v>967.86256141878744</v>
      </c>
      <c r="E89" s="405">
        <f ca="1"/>
        <v>665.30715139871052</v>
      </c>
      <c r="F89" s="405">
        <f ca="1"/>
        <v>1554.6069600545613</v>
      </c>
      <c r="G89" s="406">
        <f ca="1"/>
        <v>824.59995001405355</v>
      </c>
      <c r="H89" s="407">
        <f ca="1">SUM(D89:G89)</f>
        <v>4012.3766228861123</v>
      </c>
      <c r="N89" s="435" t="s">
        <v>381</v>
      </c>
      <c r="P89" s="387">
        <v>1</v>
      </c>
      <c r="Q89" s="387">
        <v>2</v>
      </c>
      <c r="R89" s="387">
        <v>3</v>
      </c>
      <c r="S89" s="387">
        <v>4</v>
      </c>
      <c r="T89" s="388" t="s">
        <v>321</v>
      </c>
    </row>
    <row r="90" spans="2:22" hidden="1">
      <c r="D90" s="408">
        <f t="array" aca="1" ref="D90" ca="1">SUM(OFFSET($D$102,D80*4-3,0,4)*D84:D87/(1+D84:D87))</f>
        <v>881.51780693740102</v>
      </c>
      <c r="E90" s="408">
        <f t="array" aca="1" ref="E90" ca="1">SUM(OFFSET($D$102,E80*4-3,0,4)*E84:E87/(1+E84:E87))</f>
        <v>722.17212994153613</v>
      </c>
      <c r="F90" s="408">
        <f t="array" aca="1" ref="F90" ca="1">SUM(OFFSET($D$102,F80*4-3,0,4)*F84:F87/(1+F84:F87))</f>
        <v>2080.1443495751087</v>
      </c>
      <c r="G90" s="408">
        <f t="array" aca="1" ref="G90" ca="1">SUM(OFFSET($D$102,G80*4-3,0,4)*G84:G87/(1+G84:G87))</f>
        <v>1673.5670509052657</v>
      </c>
      <c r="H90" s="407">
        <f ca="1">SUM(D90:G90)</f>
        <v>5357.4013373593116</v>
      </c>
      <c r="K90" s="388" t="s">
        <v>385</v>
      </c>
      <c r="N90" s="364" t="s">
        <v>52</v>
      </c>
      <c r="P90" s="510">
        <f t="array" ref="P90:S90" ca="1">P83:S83</f>
        <v>1744.0230886500317</v>
      </c>
      <c r="Q90" s="511">
        <f ca="1"/>
        <v>869.34610962539784</v>
      </c>
      <c r="R90" s="511">
        <f ca="1"/>
        <v>1229.6783352223079</v>
      </c>
      <c r="S90" s="512">
        <f ca="1"/>
        <v>3128.3751282871813</v>
      </c>
      <c r="T90" s="386">
        <f ca="1">SUM(P90:S90)</f>
        <v>6971.4226617849181</v>
      </c>
    </row>
    <row r="91" spans="2:22" hidden="1">
      <c r="B91" s="364" t="s">
        <v>352</v>
      </c>
      <c r="D91" s="409">
        <v>1</v>
      </c>
      <c r="E91" s="409">
        <v>2</v>
      </c>
      <c r="F91" s="409">
        <v>3</v>
      </c>
      <c r="G91" s="409">
        <v>4</v>
      </c>
      <c r="H91" s="410" t="s">
        <v>377</v>
      </c>
      <c r="I91" s="409" t="s">
        <v>378</v>
      </c>
      <c r="J91" s="411" t="s">
        <v>387</v>
      </c>
      <c r="K91" s="409" t="s">
        <v>375</v>
      </c>
      <c r="N91" s="364" t="s">
        <v>381</v>
      </c>
      <c r="P91" s="409">
        <v>1</v>
      </c>
      <c r="Q91" s="409">
        <v>2</v>
      </c>
      <c r="R91" s="409">
        <v>3</v>
      </c>
      <c r="S91" s="409">
        <v>4</v>
      </c>
      <c r="T91" s="410" t="s">
        <v>377</v>
      </c>
      <c r="V91" s="411" t="s">
        <v>379</v>
      </c>
    </row>
    <row r="92" spans="2:22" hidden="1">
      <c r="B92" s="382" t="s">
        <v>254</v>
      </c>
      <c r="D92" s="513">
        <f t="array" aca="1" ref="D92:G96" ca="1">H83:K87/(H88:K88+Tiny)*D89:G89*(1+1/D83:G87)</f>
        <v>20.292952406268949</v>
      </c>
      <c r="E92" s="514">
        <f ca="1"/>
        <v>30.588431395825307</v>
      </c>
      <c r="F92" s="514">
        <f ca="1"/>
        <v>51.6828948741829</v>
      </c>
      <c r="G92" s="515">
        <f ca="1"/>
        <v>51.168906383766974</v>
      </c>
      <c r="H92" s="516">
        <f ca="1">SUMPRODUCT($H83:$K83/($H$88:$K$88+Tiny),$D$89:$G$89)</f>
        <v>68.160000098304039</v>
      </c>
      <c r="I92" s="517">
        <f ca="1">SUMPRODUCT($H83:$K83/($H$88:$K$88+Tiny),$D$89:$G$89/$D83:$G83)</f>
        <v>85.573184961740097</v>
      </c>
      <c r="J92" s="518">
        <f ca="1">SUM(D92:G92)</f>
        <v>153.73318506004412</v>
      </c>
      <c r="K92" s="519">
        <f t="array" aca="1" ref="K92:K96" ca="1">OFFSET(CalibData!$K$61:$K$65,0,(CalIndex-1)*10)</f>
        <v>115</v>
      </c>
      <c r="N92" s="382" t="s">
        <v>254</v>
      </c>
      <c r="P92" s="440">
        <f t="array" aca="1" ref="P92:S96" ca="1">AuxData!$G101:$G105*TRANSPOSE(O75:S78)*V92:V96/(P84:S84+Tiny)*P83:S83</f>
        <v>1222.2193411692999</v>
      </c>
      <c r="Q92" s="440">
        <f ca="1"/>
        <v>212.9126858628351</v>
      </c>
      <c r="R92" s="440">
        <f ca="1"/>
        <v>841.20390254291931</v>
      </c>
      <c r="S92" s="440">
        <f ca="1"/>
        <v>1447.4625444362257</v>
      </c>
      <c r="T92" s="386">
        <f ca="1">SUM(P92:S92)</f>
        <v>3723.7984740112797</v>
      </c>
      <c r="V92" s="416">
        <f t="array" aca="1" ref="V92:V96" ca="1">OFFSET(CalibData!$J$102:$J$106,0,(CalIndex-1)*10)</f>
        <v>8</v>
      </c>
    </row>
    <row r="93" spans="2:22" hidden="1">
      <c r="B93" s="382" t="s">
        <v>255</v>
      </c>
      <c r="D93" s="520">
        <f ca="1"/>
        <v>214.31903041424133</v>
      </c>
      <c r="E93" s="521">
        <f ca="1"/>
        <v>46.71391245566133</v>
      </c>
      <c r="F93" s="521">
        <f ca="1"/>
        <v>23.653351275662278</v>
      </c>
      <c r="G93" s="522">
        <f ca="1"/>
        <v>0</v>
      </c>
      <c r="H93" s="523">
        <f ca="1">SUMPRODUCT($H84:$K84/($H$88:$K$88+Tiny),$D$89:$G$89)</f>
        <v>100.96855646145288</v>
      </c>
      <c r="I93" s="524">
        <f ca="1">SUMPRODUCT($H84:$K84/($H$88:$K$88+Tiny),$D$89:$G$89/$D84:$G84)</f>
        <v>183.71773768411211</v>
      </c>
      <c r="J93" s="518">
        <f ca="1">SUM(D93:G93)</f>
        <v>284.68629414556489</v>
      </c>
      <c r="K93" s="525">
        <f ca="1"/>
        <v>782.6</v>
      </c>
      <c r="N93" s="382" t="s">
        <v>255</v>
      </c>
      <c r="P93" s="440">
        <f ca="1"/>
        <v>67.911462230158449</v>
      </c>
      <c r="Q93" s="440">
        <f ca="1"/>
        <v>287.52784100931501</v>
      </c>
      <c r="R93" s="440">
        <f ca="1"/>
        <v>0</v>
      </c>
      <c r="S93" s="440">
        <f ca="1"/>
        <v>1.6533368118033733</v>
      </c>
      <c r="T93" s="386">
        <f ca="1">SUM(P93:S93)</f>
        <v>357.09264005127687</v>
      </c>
      <c r="V93" s="416">
        <f ca="1"/>
        <v>2</v>
      </c>
    </row>
    <row r="94" spans="2:22" hidden="1">
      <c r="B94" s="382" t="s">
        <v>256</v>
      </c>
      <c r="D94" s="520">
        <f ca="1"/>
        <v>1022.4053448403095</v>
      </c>
      <c r="E94" s="521">
        <f ca="1"/>
        <v>0</v>
      </c>
      <c r="F94" s="521">
        <f ca="1"/>
        <v>29.215632271170769</v>
      </c>
      <c r="G94" s="522">
        <f ca="1"/>
        <v>19.327046114210546</v>
      </c>
      <c r="H94" s="523">
        <f ca="1">SUMPRODUCT($H85:$K85/($H$88:$K$88+Tiny),$D$89:$G$89)</f>
        <v>708.14268036000169</v>
      </c>
      <c r="I94" s="524">
        <f ca="1">SUMPRODUCT($H85:$K85/($H$88:$K$88+Tiny),$D$89:$G$89/$D85:$G85)</f>
        <v>362.80534286568894</v>
      </c>
      <c r="J94" s="518">
        <f ca="1">SUM(D94:G94)</f>
        <v>1070.9480232256908</v>
      </c>
      <c r="K94" s="525">
        <f ca="1"/>
        <v>480</v>
      </c>
      <c r="N94" s="382" t="s">
        <v>256</v>
      </c>
      <c r="P94" s="440">
        <f ca="1"/>
        <v>0</v>
      </c>
      <c r="Q94" s="440">
        <f ca="1"/>
        <v>0</v>
      </c>
      <c r="R94" s="440">
        <f ca="1"/>
        <v>2.984742020000561</v>
      </c>
      <c r="S94" s="440">
        <f ca="1"/>
        <v>29.764581500388882</v>
      </c>
      <c r="T94" s="386">
        <f ca="1">SUM(P94:S94)</f>
        <v>32.749323520389446</v>
      </c>
      <c r="V94" s="416">
        <f ca="1"/>
        <v>1</v>
      </c>
    </row>
    <row r="95" spans="2:22" hidden="1">
      <c r="B95" s="382" t="s">
        <v>347</v>
      </c>
      <c r="D95" s="520">
        <f ca="1"/>
        <v>176.18067373173426</v>
      </c>
      <c r="E95" s="521">
        <f ca="1"/>
        <v>208.38847357886982</v>
      </c>
      <c r="F95" s="521">
        <f ca="1"/>
        <v>1315.7287484268049</v>
      </c>
      <c r="G95" s="522">
        <f ca="1"/>
        <v>498.22010042349859</v>
      </c>
      <c r="H95" s="523">
        <f ca="1">SUMPRODUCT($H86:$K86/($H$88:$K$88+Tiny),$D$89:$G$89)</f>
        <v>1570.1203913033939</v>
      </c>
      <c r="I95" s="524">
        <f ca="1">SUMPRODUCT($H86:$K86/($H$88:$K$88+Tiny),$D$89:$G$89/$D86:$G86)</f>
        <v>628.39760485751378</v>
      </c>
      <c r="J95" s="518">
        <f ca="1">SUM(D95:G95)</f>
        <v>2198.5179961609074</v>
      </c>
      <c r="K95" s="525">
        <f ca="1"/>
        <v>849</v>
      </c>
      <c r="N95" s="382" t="s">
        <v>347</v>
      </c>
      <c r="P95" s="440">
        <f ca="1"/>
        <v>0</v>
      </c>
      <c r="Q95" s="440">
        <f ca="1"/>
        <v>17.323807092178274</v>
      </c>
      <c r="R95" s="440">
        <f ca="1"/>
        <v>105.38431340708615</v>
      </c>
      <c r="S95" s="440">
        <f ca="1"/>
        <v>280.62848202581421</v>
      </c>
      <c r="T95" s="386">
        <f ca="1">SUM(P95:S95)</f>
        <v>403.33660252507866</v>
      </c>
      <c r="V95" s="416">
        <f ca="1"/>
        <v>1</v>
      </c>
    </row>
    <row r="96" spans="2:22" hidden="1">
      <c r="B96" s="382" t="s">
        <v>257</v>
      </c>
      <c r="D96" s="526">
        <f ca="1"/>
        <v>133.56177974933627</v>
      </c>
      <c r="E96" s="527">
        <f ca="1"/>
        <v>689.46267278185087</v>
      </c>
      <c r="F96" s="527">
        <f ca="1"/>
        <v>948.92840398017529</v>
      </c>
      <c r="G96" s="528">
        <f ca="1"/>
        <v>448.68840121215862</v>
      </c>
      <c r="H96" s="523">
        <f ca="1">SUMPRODUCT($H87:$K87/($H$88:$K$88+Tiny),$D$89:$G$89)</f>
        <v>1564.9849942956273</v>
      </c>
      <c r="I96" s="529">
        <f ca="1">SUMPRODUCT($H87:$K87/($H$88:$K$88+Tiny),$D$89:$G$89/$D87:$G87)</f>
        <v>655.65626342789369</v>
      </c>
      <c r="J96" s="518">
        <f ca="1">SUM(D96:G96)</f>
        <v>2220.641257723521</v>
      </c>
      <c r="K96" s="530">
        <f ca="1"/>
        <v>353</v>
      </c>
      <c r="N96" s="382" t="s">
        <v>257</v>
      </c>
      <c r="P96" s="440">
        <f ca="1"/>
        <v>453.89228516018852</v>
      </c>
      <c r="Q96" s="440">
        <f ca="1"/>
        <v>351.58177557786104</v>
      </c>
      <c r="R96" s="440">
        <f ca="1"/>
        <v>280.10537714756248</v>
      </c>
      <c r="S96" s="440">
        <f ca="1"/>
        <v>1368.8661834326042</v>
      </c>
      <c r="T96" s="386">
        <f ca="1">SUM(P96:S96)</f>
        <v>2454.4456213182161</v>
      </c>
      <c r="V96" s="416">
        <f ca="1"/>
        <v>1</v>
      </c>
    </row>
    <row r="97" spans="1:24" hidden="1">
      <c r="B97" s="364" t="s">
        <v>52</v>
      </c>
      <c r="D97" s="385">
        <f t="shared" ref="D97:K97" ca="1" si="4">SUM(D92:D96)</f>
        <v>1566.7597811418902</v>
      </c>
      <c r="E97" s="385">
        <f t="shared" ca="1" si="4"/>
        <v>975.15349021220732</v>
      </c>
      <c r="F97" s="385">
        <f t="shared" ca="1" si="4"/>
        <v>2369.2090308279962</v>
      </c>
      <c r="G97" s="385">
        <f t="shared" ca="1" si="4"/>
        <v>1017.4044541336348</v>
      </c>
      <c r="H97" s="531">
        <f t="shared" ca="1" si="4"/>
        <v>4012.3766225187801</v>
      </c>
      <c r="I97" s="532">
        <f t="shared" ca="1" si="4"/>
        <v>1916.1501337969487</v>
      </c>
      <c r="J97" s="533">
        <f t="shared" ca="1" si="4"/>
        <v>5928.5267563157286</v>
      </c>
      <c r="K97" s="423">
        <f t="shared" ca="1" si="4"/>
        <v>2579.6</v>
      </c>
      <c r="N97" s="364" t="s">
        <v>52</v>
      </c>
      <c r="P97" s="385">
        <f ca="1">SUM(P92:P96)</f>
        <v>1744.0230885596468</v>
      </c>
      <c r="Q97" s="385">
        <f ca="1">SUM(Q92:Q96)</f>
        <v>869.34610954218942</v>
      </c>
      <c r="R97" s="385">
        <f ca="1">SUM(R92:R96)</f>
        <v>1229.6783351175684</v>
      </c>
      <c r="S97" s="385">
        <f ca="1">SUM(S92:S96)</f>
        <v>3128.3751282068365</v>
      </c>
      <c r="T97" s="385">
        <f ca="1">SUM(T92:T96)</f>
        <v>6971.4226614262407</v>
      </c>
      <c r="V97" s="422"/>
    </row>
    <row r="98" spans="1:24" hidden="1">
      <c r="D98" s="534"/>
      <c r="E98" s="534"/>
      <c r="F98" s="534"/>
      <c r="G98" s="534"/>
      <c r="H98" s="534"/>
      <c r="I98" s="534"/>
      <c r="J98" s="534"/>
      <c r="P98" s="534"/>
      <c r="Q98" s="534"/>
      <c r="R98" s="534"/>
      <c r="S98" s="534"/>
      <c r="T98" s="534"/>
      <c r="V98" s="536"/>
    </row>
    <row r="99" spans="1:24" hidden="1">
      <c r="B99" s="364" t="s">
        <v>421</v>
      </c>
      <c r="C99" s="364" t="s">
        <v>158</v>
      </c>
      <c r="D99" s="504">
        <f t="array" aca="1" ref="D99:G99" ca="1">TRANSPOSE(MMULT(C75:G78/(1+TRANSPOSE(D83:G87)),AuxData!H90:H94*AuxData!C90:C94))+TRANSPOSE($H$75:$H$78)*AuxData!$F$95</f>
        <v>8.0598482005360026</v>
      </c>
      <c r="E99" s="504">
        <f ca="1"/>
        <v>3.6006410016462969</v>
      </c>
      <c r="F99" s="504">
        <f ca="1"/>
        <v>10.592704310304519</v>
      </c>
      <c r="G99" s="504">
        <f ca="1"/>
        <v>2.3712105796456258</v>
      </c>
      <c r="H99" s="537">
        <f ca="1">SUM(D99:G99)</f>
        <v>24.624404092132444</v>
      </c>
      <c r="J99" s="460" t="s">
        <v>596</v>
      </c>
      <c r="K99" s="460">
        <f>MATCH(K102,$C$102:$J$102,1)</f>
        <v>3</v>
      </c>
      <c r="N99" s="364" t="s">
        <v>422</v>
      </c>
      <c r="O99" s="364" t="s">
        <v>349</v>
      </c>
      <c r="P99" s="504">
        <f t="array" aca="1" ref="P99:S99" ca="1">TRANSPOSE(MMULT(O75:U78,AuxData!H101:H107*AuxData!C101:C107))</f>
        <v>9.9610469717674075</v>
      </c>
      <c r="Q99" s="504">
        <f ca="1"/>
        <v>7.5948523342087926</v>
      </c>
      <c r="R99" s="504">
        <f ca="1"/>
        <v>5.2926292940972761</v>
      </c>
      <c r="S99" s="504">
        <f ca="1"/>
        <v>24.48170860235442</v>
      </c>
      <c r="T99" s="537">
        <f ca="1">SUM(P99:S99)</f>
        <v>47.330237202427895</v>
      </c>
      <c r="V99" s="538" t="s">
        <v>571</v>
      </c>
    </row>
    <row r="100" spans="1:24" hidden="1">
      <c r="C100" s="364" t="s">
        <v>138</v>
      </c>
      <c r="D100" s="412">
        <f t="array" aca="1" ref="D100:G100" ca="1">TRANSPOSE(MMULT(C75:G78,AuxData!H90:H94*AuxData!C90:C94))+TRANSPOSE($H$75:$H$78)*AuxData!$I$95-D99:G99</f>
        <v>14.480641237534208</v>
      </c>
      <c r="E100" s="412">
        <f ca="1"/>
        <v>8.1377968608917453</v>
      </c>
      <c r="F100" s="412">
        <f ca="1"/>
        <v>20.592222221835801</v>
      </c>
      <c r="G100" s="412">
        <f ca="1"/>
        <v>10.227148999052536</v>
      </c>
      <c r="H100" s="537">
        <f ca="1">SUM(D100:G100)</f>
        <v>53.43780931931429</v>
      </c>
      <c r="J100" s="460">
        <f ca="1">K102-OFFSET($B102,0,K99)</f>
        <v>2</v>
      </c>
      <c r="K100" s="460">
        <f>K99+1</f>
        <v>4</v>
      </c>
      <c r="O100" s="364" t="s">
        <v>673</v>
      </c>
      <c r="P100" s="504">
        <f t="array" ref="P100:S100" ca="1">D100:G100+P99:S99</f>
        <v>24.441688209301617</v>
      </c>
      <c r="Q100" s="504">
        <f ca="1"/>
        <v>15.732649195100539</v>
      </c>
      <c r="R100" s="504">
        <f ca="1"/>
        <v>25.884851515933079</v>
      </c>
      <c r="S100" s="504">
        <f ca="1"/>
        <v>34.708857601406955</v>
      </c>
      <c r="T100" s="537">
        <f ca="1">MAX(0.001,SUM(P100:S100))</f>
        <v>100.76804652174218</v>
      </c>
      <c r="V100" s="539">
        <f ca="1">SUM(P100,R100)</f>
        <v>50.326539725234696</v>
      </c>
    </row>
    <row r="101" spans="1:24" hidden="1">
      <c r="J101" s="460">
        <f ca="1">OFFSET($B102,0,K$99+1)-K102</f>
        <v>3</v>
      </c>
      <c r="K101" s="460">
        <f ca="1">SUM(J100:J101)</f>
        <v>5</v>
      </c>
    </row>
    <row r="102" spans="1:24" hidden="1">
      <c r="B102" s="546" t="s">
        <v>352</v>
      </c>
      <c r="C102" s="411"/>
      <c r="D102" s="411">
        <v>2010</v>
      </c>
      <c r="E102" s="411">
        <v>2015</v>
      </c>
      <c r="F102" s="411">
        <v>2020</v>
      </c>
      <c r="G102" s="411">
        <v>2025</v>
      </c>
      <c r="H102" s="411">
        <v>2030</v>
      </c>
      <c r="I102" s="411">
        <v>2040</v>
      </c>
      <c r="J102" s="411">
        <v>2050</v>
      </c>
      <c r="K102" s="547">
        <f ca="1">AuxYear</f>
        <v>2017</v>
      </c>
      <c r="N102" s="546" t="s">
        <v>381</v>
      </c>
      <c r="O102" s="411"/>
      <c r="P102" s="411">
        <v>2010</v>
      </c>
      <c r="Q102" s="411">
        <v>2015</v>
      </c>
      <c r="R102" s="411">
        <v>2020</v>
      </c>
      <c r="S102" s="411">
        <v>2025</v>
      </c>
      <c r="T102" s="411">
        <v>2030</v>
      </c>
      <c r="U102" s="411">
        <v>2040</v>
      </c>
      <c r="V102" s="411">
        <v>2050</v>
      </c>
      <c r="W102" s="548">
        <f ca="1">AuxYear</f>
        <v>2017</v>
      </c>
      <c r="X102" s="548">
        <f ca="1">AuxYear</f>
        <v>2017</v>
      </c>
    </row>
    <row r="103" spans="1:24" hidden="1">
      <c r="A103" s="364">
        <v>1</v>
      </c>
      <c r="B103" s="382" t="s">
        <v>255</v>
      </c>
      <c r="C103" s="549">
        <f t="array" aca="1" ref="C103:J118" ca="1">OFFSET(CalibData!$C$77:$J$92,0,(CalIndex-1)*10)</f>
        <v>0</v>
      </c>
      <c r="D103" s="550">
        <f ca="1"/>
        <v>905</v>
      </c>
      <c r="E103" s="383">
        <f ca="1"/>
        <v>905</v>
      </c>
      <c r="F103" s="383">
        <f ca="1"/>
        <v>905</v>
      </c>
      <c r="G103" s="383">
        <f ca="1"/>
        <v>452</v>
      </c>
      <c r="H103" s="383">
        <f ca="1"/>
        <v>452</v>
      </c>
      <c r="I103" s="383">
        <f ca="1"/>
        <v>0</v>
      </c>
      <c r="J103" s="383">
        <f ca="1"/>
        <v>0</v>
      </c>
      <c r="K103" s="551">
        <f t="shared" ref="K103:K118" ca="1" si="5">MAX(INDEX($D$92:$G$96,$L103,$A103),(OFFSET($B103,0,K$99)*J$101+OFFSET($B103,0,K$100)*J$100)/K$101)</f>
        <v>905</v>
      </c>
      <c r="L103" s="388">
        <v>2</v>
      </c>
      <c r="N103" s="382" t="s">
        <v>255</v>
      </c>
      <c r="O103" s="549">
        <f t="array" aca="1" ref="O103:V118" ca="1">OFFSET(CalibData!$C$111:$J$126,0,(CalIndex-1)*10)</f>
        <v>0</v>
      </c>
      <c r="P103" s="550">
        <f ca="1"/>
        <v>464.5</v>
      </c>
      <c r="Q103" s="383">
        <f ca="1"/>
        <v>479.5</v>
      </c>
      <c r="R103" s="383">
        <f ca="1"/>
        <v>369.5</v>
      </c>
      <c r="S103" s="383">
        <f ca="1"/>
        <v>224</v>
      </c>
      <c r="T103" s="383">
        <f ca="1"/>
        <v>130</v>
      </c>
      <c r="U103" s="383">
        <f ca="1"/>
        <v>0</v>
      </c>
      <c r="V103" s="383">
        <f ca="1"/>
        <v>0</v>
      </c>
      <c r="W103" s="551">
        <f t="shared" ref="W103:W120" ca="1" si="6">(OFFSET($N103,0,$K$99)*$J$101+OFFSET($N103,0,$K$100)*$J$100)/$K$101</f>
        <v>435.5</v>
      </c>
      <c r="X103" s="551">
        <f t="shared" ref="X103:X118" ca="1" si="7">MAX(INDEX($P$92:$S$96,$L103,$A103),(OFFSET($N103,0,$K$99)*$J$101+OFFSET($N103,0,$K$100)*$J$100-0.5)/$K$101)</f>
        <v>435.4</v>
      </c>
    </row>
    <row r="104" spans="1:24" hidden="1">
      <c r="A104" s="364">
        <v>1</v>
      </c>
      <c r="B104" s="382" t="s">
        <v>256</v>
      </c>
      <c r="C104" s="549">
        <f ca="1"/>
        <v>0</v>
      </c>
      <c r="D104" s="552">
        <f ca="1"/>
        <v>854</v>
      </c>
      <c r="E104" s="383">
        <f ca="1"/>
        <v>854</v>
      </c>
      <c r="F104" s="383">
        <f ca="1"/>
        <v>593</v>
      </c>
      <c r="G104" s="383">
        <f ca="1"/>
        <v>0</v>
      </c>
      <c r="H104" s="383">
        <f ca="1"/>
        <v>0</v>
      </c>
      <c r="I104" s="383">
        <f ca="1"/>
        <v>0</v>
      </c>
      <c r="J104" s="383">
        <f ca="1"/>
        <v>0</v>
      </c>
      <c r="K104" s="553">
        <f t="shared" ca="1" si="5"/>
        <v>1022.4053448403095</v>
      </c>
      <c r="L104" s="388">
        <v>3</v>
      </c>
      <c r="N104" s="382" t="s">
        <v>256</v>
      </c>
      <c r="O104" s="549">
        <f ca="1"/>
        <v>0</v>
      </c>
      <c r="P104" s="552">
        <f ca="1"/>
        <v>9.9129999999999996E-2</v>
      </c>
      <c r="Q104" s="383">
        <f ca="1"/>
        <v>8.7129999999999999E-2</v>
      </c>
      <c r="R104" s="383">
        <f ca="1"/>
        <v>3.56E-2</v>
      </c>
      <c r="S104" s="383">
        <f ca="1"/>
        <v>7.4000000000000003E-3</v>
      </c>
      <c r="T104" s="383">
        <f ca="1"/>
        <v>3.8999999999999998E-3</v>
      </c>
      <c r="U104" s="383">
        <f ca="1"/>
        <v>0</v>
      </c>
      <c r="V104" s="383">
        <f ca="1"/>
        <v>0</v>
      </c>
      <c r="W104" s="553">
        <f t="shared" ca="1" si="6"/>
        <v>6.6517999999999994E-2</v>
      </c>
      <c r="X104" s="553">
        <f t="shared" ca="1" si="7"/>
        <v>0</v>
      </c>
    </row>
    <row r="105" spans="1:24" hidden="1">
      <c r="A105" s="364">
        <v>1</v>
      </c>
      <c r="B105" s="382" t="s">
        <v>257</v>
      </c>
      <c r="C105" s="549">
        <f ca="1"/>
        <v>0</v>
      </c>
      <c r="D105" s="552">
        <f ca="1"/>
        <v>0</v>
      </c>
      <c r="E105" s="383">
        <f ca="1"/>
        <v>0</v>
      </c>
      <c r="F105" s="383">
        <f ca="1"/>
        <v>390</v>
      </c>
      <c r="G105" s="383">
        <f ca="1"/>
        <v>390</v>
      </c>
      <c r="H105" s="383">
        <f ca="1"/>
        <v>390</v>
      </c>
      <c r="I105" s="383">
        <f ca="1"/>
        <v>390</v>
      </c>
      <c r="J105" s="383">
        <f ca="1"/>
        <v>390</v>
      </c>
      <c r="K105" s="553">
        <f t="shared" ca="1" si="5"/>
        <v>156</v>
      </c>
      <c r="L105" s="388">
        <v>5</v>
      </c>
      <c r="N105" s="382" t="s">
        <v>257</v>
      </c>
      <c r="O105" s="549">
        <f ca="1"/>
        <v>0</v>
      </c>
      <c r="P105" s="552">
        <f ca="1"/>
        <v>58.8</v>
      </c>
      <c r="Q105" s="383">
        <f ca="1"/>
        <v>154.80000000000001</v>
      </c>
      <c r="R105" s="383">
        <f ca="1"/>
        <v>221.8</v>
      </c>
      <c r="S105" s="383">
        <f ca="1"/>
        <v>219.8</v>
      </c>
      <c r="T105" s="383">
        <f ca="1"/>
        <v>219.8</v>
      </c>
      <c r="U105" s="383">
        <f ca="1"/>
        <v>168</v>
      </c>
      <c r="V105" s="383">
        <f ca="1"/>
        <v>0</v>
      </c>
      <c r="W105" s="553">
        <f t="shared" ca="1" si="6"/>
        <v>181.6</v>
      </c>
      <c r="X105" s="553">
        <f t="shared" ca="1" si="7"/>
        <v>453.89228516018852</v>
      </c>
    </row>
    <row r="106" spans="1:24" hidden="1">
      <c r="A106" s="364">
        <v>1</v>
      </c>
      <c r="B106" s="382" t="s">
        <v>314</v>
      </c>
      <c r="C106" s="549">
        <f ca="1"/>
        <v>0</v>
      </c>
      <c r="D106" s="554">
        <f ca="1"/>
        <v>0</v>
      </c>
      <c r="E106" s="555">
        <f ca="1"/>
        <v>0</v>
      </c>
      <c r="F106" s="555">
        <f ca="1"/>
        <v>0</v>
      </c>
      <c r="G106" s="555">
        <f ca="1"/>
        <v>0</v>
      </c>
      <c r="H106" s="556">
        <f ca="1"/>
        <v>0</v>
      </c>
      <c r="I106" s="433">
        <f ca="1"/>
        <v>0</v>
      </c>
      <c r="J106" s="433">
        <f ca="1"/>
        <v>0</v>
      </c>
      <c r="K106" s="557">
        <f t="shared" ca="1" si="5"/>
        <v>20.292952406268949</v>
      </c>
      <c r="L106" s="388">
        <v>1</v>
      </c>
      <c r="N106" s="382" t="s">
        <v>314</v>
      </c>
      <c r="O106" s="549">
        <f ca="1"/>
        <v>0</v>
      </c>
      <c r="P106" s="558">
        <f ca="1"/>
        <v>991.3</v>
      </c>
      <c r="Q106" s="433">
        <f ca="1"/>
        <v>871.3</v>
      </c>
      <c r="R106" s="433">
        <f ca="1"/>
        <v>356</v>
      </c>
      <c r="S106" s="433">
        <f ca="1"/>
        <v>74</v>
      </c>
      <c r="T106" s="433">
        <f ca="1"/>
        <v>39</v>
      </c>
      <c r="U106" s="433">
        <f ca="1"/>
        <v>0</v>
      </c>
      <c r="V106" s="433">
        <f ca="1"/>
        <v>0</v>
      </c>
      <c r="W106" s="557">
        <f t="shared" ca="1" si="6"/>
        <v>665.18</v>
      </c>
      <c r="X106" s="557">
        <f t="shared" ca="1" si="7"/>
        <v>1222.2193411692999</v>
      </c>
    </row>
    <row r="107" spans="1:24" hidden="1">
      <c r="A107" s="364">
        <v>2</v>
      </c>
      <c r="B107" s="382" t="s">
        <v>255</v>
      </c>
      <c r="C107" s="549">
        <f ca="1"/>
        <v>0</v>
      </c>
      <c r="D107" s="552">
        <f ca="1"/>
        <v>671.8</v>
      </c>
      <c r="E107" s="383">
        <f ca="1"/>
        <v>854.8</v>
      </c>
      <c r="F107" s="383">
        <f ca="1"/>
        <v>627.79999999999995</v>
      </c>
      <c r="G107" s="383">
        <f ca="1"/>
        <v>627.79999999999995</v>
      </c>
      <c r="H107" s="383">
        <f ca="1"/>
        <v>492.4</v>
      </c>
      <c r="I107" s="383">
        <f ca="1"/>
        <v>194.7</v>
      </c>
      <c r="J107" s="383">
        <f ca="1"/>
        <v>0</v>
      </c>
      <c r="K107" s="553">
        <f t="shared" ca="1" si="5"/>
        <v>763.99999999999989</v>
      </c>
      <c r="L107" s="388">
        <v>2</v>
      </c>
      <c r="N107" s="382" t="s">
        <v>255</v>
      </c>
      <c r="O107" s="549">
        <f ca="1"/>
        <v>0</v>
      </c>
      <c r="P107" s="552">
        <f ca="1"/>
        <v>1080.8</v>
      </c>
      <c r="Q107" s="383">
        <f ca="1"/>
        <v>1178.3</v>
      </c>
      <c r="R107" s="383">
        <f ca="1"/>
        <v>898.9</v>
      </c>
      <c r="S107" s="383">
        <f ca="1"/>
        <v>484.6</v>
      </c>
      <c r="T107" s="383">
        <f ca="1"/>
        <v>406.1</v>
      </c>
      <c r="U107" s="383">
        <f ca="1"/>
        <v>22.5</v>
      </c>
      <c r="V107" s="383">
        <f ca="1"/>
        <v>0</v>
      </c>
      <c r="W107" s="553">
        <f t="shared" ca="1" si="6"/>
        <v>1066.54</v>
      </c>
      <c r="X107" s="553">
        <f t="shared" ca="1" si="7"/>
        <v>1066.44</v>
      </c>
    </row>
    <row r="108" spans="1:24" hidden="1">
      <c r="A108" s="364">
        <v>2</v>
      </c>
      <c r="B108" s="382" t="s">
        <v>256</v>
      </c>
      <c r="C108" s="549">
        <f ca="1"/>
        <v>0</v>
      </c>
      <c r="D108" s="552">
        <f ca="1"/>
        <v>0</v>
      </c>
      <c r="E108" s="383">
        <f ca="1"/>
        <v>0</v>
      </c>
      <c r="F108" s="383">
        <f ca="1"/>
        <v>0</v>
      </c>
      <c r="G108" s="383">
        <f ca="1"/>
        <v>0</v>
      </c>
      <c r="H108" s="383">
        <f ca="1"/>
        <v>0</v>
      </c>
      <c r="I108" s="383">
        <f ca="1"/>
        <v>0</v>
      </c>
      <c r="J108" s="383">
        <f ca="1"/>
        <v>0</v>
      </c>
      <c r="K108" s="553">
        <f t="shared" ca="1" si="5"/>
        <v>0</v>
      </c>
      <c r="L108" s="388">
        <v>3</v>
      </c>
      <c r="N108" s="382" t="s">
        <v>256</v>
      </c>
      <c r="O108" s="549">
        <f ca="1"/>
        <v>0</v>
      </c>
      <c r="P108" s="552">
        <f ca="1"/>
        <v>4.8960000000000004E-2</v>
      </c>
      <c r="Q108" s="383">
        <f ca="1"/>
        <v>4.3779999999999999E-2</v>
      </c>
      <c r="R108" s="383">
        <f ca="1"/>
        <v>2.4109999999999999E-2</v>
      </c>
      <c r="S108" s="383">
        <f ca="1"/>
        <v>1.2830000000000001E-2</v>
      </c>
      <c r="T108" s="383">
        <f ca="1"/>
        <v>1.061E-2</v>
      </c>
      <c r="U108" s="383">
        <f ca="1"/>
        <v>2.0000000000000002E-5</v>
      </c>
      <c r="V108" s="383">
        <f ca="1"/>
        <v>0</v>
      </c>
      <c r="W108" s="553">
        <f t="shared" ca="1" si="6"/>
        <v>3.5911999999999999E-2</v>
      </c>
      <c r="X108" s="553">
        <f t="shared" ca="1" si="7"/>
        <v>0</v>
      </c>
    </row>
    <row r="109" spans="1:24" hidden="1">
      <c r="A109" s="364">
        <v>2</v>
      </c>
      <c r="B109" s="382" t="s">
        <v>257</v>
      </c>
      <c r="C109" s="549">
        <f ca="1"/>
        <v>0</v>
      </c>
      <c r="D109" s="552">
        <f ca="1"/>
        <v>659</v>
      </c>
      <c r="E109" s="383">
        <f ca="1"/>
        <v>768.5</v>
      </c>
      <c r="F109" s="383">
        <f ca="1"/>
        <v>736.5</v>
      </c>
      <c r="G109" s="383">
        <f ca="1"/>
        <v>631.5</v>
      </c>
      <c r="H109" s="383">
        <f ca="1"/>
        <v>461.5</v>
      </c>
      <c r="I109" s="383">
        <f ca="1"/>
        <v>309.5</v>
      </c>
      <c r="J109" s="383">
        <f ca="1"/>
        <v>0</v>
      </c>
      <c r="K109" s="553">
        <f t="shared" ca="1" si="5"/>
        <v>755.7</v>
      </c>
      <c r="L109" s="388">
        <v>5</v>
      </c>
      <c r="N109" s="382" t="s">
        <v>257</v>
      </c>
      <c r="O109" s="549">
        <f ca="1"/>
        <v>0</v>
      </c>
      <c r="P109" s="552">
        <f ca="1"/>
        <v>27.1</v>
      </c>
      <c r="Q109" s="383">
        <f ca="1"/>
        <v>163.19999999999999</v>
      </c>
      <c r="R109" s="383">
        <f ca="1"/>
        <v>170.8</v>
      </c>
      <c r="S109" s="383">
        <f ca="1"/>
        <v>163.5</v>
      </c>
      <c r="T109" s="383">
        <f ca="1"/>
        <v>163.5</v>
      </c>
      <c r="U109" s="383">
        <f ca="1"/>
        <v>150.9</v>
      </c>
      <c r="V109" s="383">
        <f ca="1"/>
        <v>0</v>
      </c>
      <c r="W109" s="553">
        <f t="shared" ca="1" si="6"/>
        <v>166.24</v>
      </c>
      <c r="X109" s="553">
        <f t="shared" ca="1" si="7"/>
        <v>351.58177557786104</v>
      </c>
    </row>
    <row r="110" spans="1:24" hidden="1">
      <c r="A110" s="364">
        <v>2</v>
      </c>
      <c r="B110" s="382" t="s">
        <v>314</v>
      </c>
      <c r="C110" s="549">
        <f ca="1"/>
        <v>0</v>
      </c>
      <c r="D110" s="558">
        <f ca="1"/>
        <v>0</v>
      </c>
      <c r="E110" s="433">
        <f ca="1"/>
        <v>0</v>
      </c>
      <c r="F110" s="433">
        <f ca="1"/>
        <v>0</v>
      </c>
      <c r="G110" s="433">
        <f ca="1"/>
        <v>0</v>
      </c>
      <c r="H110" s="433">
        <f ca="1"/>
        <v>0</v>
      </c>
      <c r="I110" s="433">
        <f ca="1"/>
        <v>0</v>
      </c>
      <c r="J110" s="433">
        <f ca="1"/>
        <v>0</v>
      </c>
      <c r="K110" s="557">
        <f t="shared" ca="1" si="5"/>
        <v>30.588431395825307</v>
      </c>
      <c r="L110" s="388">
        <v>1</v>
      </c>
      <c r="N110" s="382" t="s">
        <v>314</v>
      </c>
      <c r="O110" s="549">
        <f ca="1"/>
        <v>0</v>
      </c>
      <c r="P110" s="558">
        <f ca="1"/>
        <v>489.6</v>
      </c>
      <c r="Q110" s="433">
        <f ca="1"/>
        <v>437.8</v>
      </c>
      <c r="R110" s="433">
        <f ca="1"/>
        <v>241.1</v>
      </c>
      <c r="S110" s="433">
        <f ca="1"/>
        <v>128.30000000000001</v>
      </c>
      <c r="T110" s="433">
        <f ca="1"/>
        <v>106.1</v>
      </c>
      <c r="U110" s="433">
        <f ca="1"/>
        <v>0.2</v>
      </c>
      <c r="V110" s="433">
        <f ca="1"/>
        <v>0</v>
      </c>
      <c r="W110" s="557">
        <f t="shared" ca="1" si="6"/>
        <v>359.12</v>
      </c>
      <c r="X110" s="557">
        <f t="shared" ca="1" si="7"/>
        <v>359.02000000000004</v>
      </c>
    </row>
    <row r="111" spans="1:24" hidden="1">
      <c r="A111" s="364">
        <v>3</v>
      </c>
      <c r="B111" s="382" t="s">
        <v>255</v>
      </c>
      <c r="C111" s="549">
        <f ca="1"/>
        <v>0</v>
      </c>
      <c r="D111" s="552">
        <f ca="1"/>
        <v>0.4</v>
      </c>
      <c r="E111" s="383">
        <f ca="1"/>
        <v>3.6</v>
      </c>
      <c r="F111" s="383">
        <f ca="1"/>
        <v>3.6</v>
      </c>
      <c r="G111" s="383">
        <f ca="1"/>
        <v>3.6</v>
      </c>
      <c r="H111" s="383">
        <f ca="1"/>
        <v>3.6</v>
      </c>
      <c r="I111" s="383">
        <f ca="1"/>
        <v>3.6</v>
      </c>
      <c r="J111" s="383">
        <f ca="1"/>
        <v>0</v>
      </c>
      <c r="K111" s="553">
        <f t="shared" ca="1" si="5"/>
        <v>23.653351275662278</v>
      </c>
      <c r="L111" s="388">
        <v>2</v>
      </c>
      <c r="N111" s="382" t="s">
        <v>255</v>
      </c>
      <c r="O111" s="549">
        <f ca="1"/>
        <v>0</v>
      </c>
      <c r="P111" s="552">
        <f ca="1"/>
        <v>0.16908000000000001</v>
      </c>
      <c r="Q111" s="383">
        <f ca="1"/>
        <v>0.17413000000000001</v>
      </c>
      <c r="R111" s="383">
        <f ca="1"/>
        <v>0.12164000000000001</v>
      </c>
      <c r="S111" s="383">
        <f ca="1"/>
        <v>7.8589999999999993E-2</v>
      </c>
      <c r="T111" s="383">
        <f ca="1"/>
        <v>6.139E-2</v>
      </c>
      <c r="U111" s="383">
        <f ca="1"/>
        <v>0</v>
      </c>
      <c r="V111" s="383">
        <f ca="1"/>
        <v>0</v>
      </c>
      <c r="W111" s="553">
        <f t="shared" ca="1" si="6"/>
        <v>0.15313400000000002</v>
      </c>
      <c r="X111" s="553">
        <f t="shared" ca="1" si="7"/>
        <v>5.3134000000000015E-2</v>
      </c>
    </row>
    <row r="112" spans="1:24" hidden="1">
      <c r="A112" s="364">
        <v>3</v>
      </c>
      <c r="B112" s="382" t="s">
        <v>256</v>
      </c>
      <c r="C112" s="549">
        <f ca="1"/>
        <v>0</v>
      </c>
      <c r="D112" s="552">
        <f ca="1"/>
        <v>385</v>
      </c>
      <c r="E112" s="383">
        <f ca="1"/>
        <v>385</v>
      </c>
      <c r="F112" s="383">
        <f ca="1"/>
        <v>385</v>
      </c>
      <c r="G112" s="383">
        <f ca="1"/>
        <v>385</v>
      </c>
      <c r="H112" s="383">
        <f ca="1"/>
        <v>385</v>
      </c>
      <c r="I112" s="383">
        <f ca="1"/>
        <v>385</v>
      </c>
      <c r="J112" s="383">
        <f ca="1"/>
        <v>0</v>
      </c>
      <c r="K112" s="553">
        <f t="shared" ca="1" si="5"/>
        <v>385</v>
      </c>
      <c r="L112" s="388">
        <v>3</v>
      </c>
      <c r="N112" s="382" t="s">
        <v>256</v>
      </c>
      <c r="O112" s="549">
        <f ca="1"/>
        <v>0</v>
      </c>
      <c r="P112" s="552">
        <f ca="1"/>
        <v>0.16908000000000001</v>
      </c>
      <c r="Q112" s="383">
        <f ca="1"/>
        <v>0.17413000000000001</v>
      </c>
      <c r="R112" s="383">
        <f ca="1"/>
        <v>0.12164000000000001</v>
      </c>
      <c r="S112" s="383">
        <f ca="1"/>
        <v>7.8589999999999993E-2</v>
      </c>
      <c r="T112" s="383">
        <f ca="1"/>
        <v>6.139E-2</v>
      </c>
      <c r="U112" s="383">
        <f ca="1"/>
        <v>0</v>
      </c>
      <c r="V112" s="383">
        <f ca="1"/>
        <v>0</v>
      </c>
      <c r="W112" s="553">
        <f t="shared" ca="1" si="6"/>
        <v>0.15313400000000002</v>
      </c>
      <c r="X112" s="553">
        <f t="shared" ca="1" si="7"/>
        <v>2.984742020000561</v>
      </c>
    </row>
    <row r="113" spans="1:27" hidden="1">
      <c r="A113" s="364">
        <v>3</v>
      </c>
      <c r="B113" s="382" t="s">
        <v>257</v>
      </c>
      <c r="C113" s="549">
        <f ca="1"/>
        <v>0</v>
      </c>
      <c r="D113" s="552">
        <f ca="1"/>
        <v>2642.8</v>
      </c>
      <c r="E113" s="383">
        <f ca="1"/>
        <v>2642.8</v>
      </c>
      <c r="F113" s="383">
        <f ca="1"/>
        <v>2357.8000000000002</v>
      </c>
      <c r="G113" s="383">
        <f ca="1"/>
        <v>1774.8</v>
      </c>
      <c r="H113" s="383">
        <f ca="1"/>
        <v>1100.7</v>
      </c>
      <c r="I113" s="383">
        <f ca="1"/>
        <v>668.7</v>
      </c>
      <c r="J113" s="383">
        <f ca="1"/>
        <v>0</v>
      </c>
      <c r="K113" s="553">
        <f t="shared" ca="1" si="5"/>
        <v>2528.8000000000002</v>
      </c>
      <c r="L113" s="388">
        <v>5</v>
      </c>
      <c r="N113" s="382" t="s">
        <v>257</v>
      </c>
      <c r="O113" s="549">
        <f ca="1"/>
        <v>0</v>
      </c>
      <c r="P113" s="552">
        <f ca="1"/>
        <v>333.9</v>
      </c>
      <c r="Q113" s="383">
        <f ca="1"/>
        <v>345.4</v>
      </c>
      <c r="R113" s="383">
        <f ca="1"/>
        <v>222.9</v>
      </c>
      <c r="S113" s="383">
        <f ca="1"/>
        <v>208.4</v>
      </c>
      <c r="T113" s="383">
        <f ca="1"/>
        <v>204.4</v>
      </c>
      <c r="U113" s="383">
        <f ca="1"/>
        <v>131.5</v>
      </c>
      <c r="V113" s="383">
        <f ca="1"/>
        <v>0</v>
      </c>
      <c r="W113" s="553">
        <f t="shared" ca="1" si="6"/>
        <v>296.39999999999998</v>
      </c>
      <c r="X113" s="553">
        <f t="shared" ca="1" si="7"/>
        <v>296.29999999999995</v>
      </c>
    </row>
    <row r="114" spans="1:27" hidden="1">
      <c r="A114" s="364">
        <v>3</v>
      </c>
      <c r="B114" s="382" t="s">
        <v>314</v>
      </c>
      <c r="C114" s="549">
        <f ca="1"/>
        <v>0</v>
      </c>
      <c r="D114" s="558">
        <f ca="1"/>
        <v>89.9</v>
      </c>
      <c r="E114" s="433">
        <f ca="1"/>
        <v>89.9</v>
      </c>
      <c r="F114" s="433">
        <f ca="1"/>
        <v>0</v>
      </c>
      <c r="G114" s="433">
        <f ca="1"/>
        <v>0</v>
      </c>
      <c r="H114" s="433">
        <f ca="1"/>
        <v>0</v>
      </c>
      <c r="I114" s="433">
        <f ca="1"/>
        <v>0</v>
      </c>
      <c r="J114" s="433">
        <f ca="1"/>
        <v>0</v>
      </c>
      <c r="K114" s="557">
        <f t="shared" ca="1" si="5"/>
        <v>53.940000000000012</v>
      </c>
      <c r="L114" s="388">
        <v>1</v>
      </c>
      <c r="N114" s="382" t="s">
        <v>314</v>
      </c>
      <c r="O114" s="549">
        <f ca="1"/>
        <v>0</v>
      </c>
      <c r="P114" s="558">
        <f ca="1"/>
        <v>1690.8</v>
      </c>
      <c r="Q114" s="433">
        <f ca="1"/>
        <v>1741.3</v>
      </c>
      <c r="R114" s="433">
        <f ca="1"/>
        <v>1216.4000000000001</v>
      </c>
      <c r="S114" s="433">
        <f ca="1"/>
        <v>785.9</v>
      </c>
      <c r="T114" s="433">
        <f ca="1"/>
        <v>613.9</v>
      </c>
      <c r="U114" s="433">
        <f ca="1"/>
        <v>0</v>
      </c>
      <c r="V114" s="433">
        <f ca="1"/>
        <v>0</v>
      </c>
      <c r="W114" s="557">
        <f t="shared" ca="1" si="6"/>
        <v>1531.34</v>
      </c>
      <c r="X114" s="557">
        <f t="shared" ca="1" si="7"/>
        <v>1531.24</v>
      </c>
    </row>
    <row r="115" spans="1:27" hidden="1">
      <c r="A115" s="364">
        <v>4</v>
      </c>
      <c r="B115" s="382" t="s">
        <v>255</v>
      </c>
      <c r="C115" s="549">
        <f ca="1"/>
        <v>0</v>
      </c>
      <c r="D115" s="552">
        <f ca="1"/>
        <v>7</v>
      </c>
      <c r="E115" s="383">
        <f ca="1"/>
        <v>7</v>
      </c>
      <c r="F115" s="383">
        <f ca="1"/>
        <v>7</v>
      </c>
      <c r="G115" s="383">
        <f ca="1"/>
        <v>7</v>
      </c>
      <c r="H115" s="383">
        <f ca="1"/>
        <v>7</v>
      </c>
      <c r="I115" s="383">
        <f ca="1"/>
        <v>0</v>
      </c>
      <c r="J115" s="383">
        <f ca="1"/>
        <v>0</v>
      </c>
      <c r="K115" s="553">
        <f t="shared" ca="1" si="5"/>
        <v>7</v>
      </c>
      <c r="L115" s="388">
        <v>2</v>
      </c>
      <c r="N115" s="382" t="s">
        <v>255</v>
      </c>
      <c r="O115" s="549">
        <f ca="1"/>
        <v>0</v>
      </c>
      <c r="P115" s="552">
        <f ca="1"/>
        <v>10.4</v>
      </c>
      <c r="Q115" s="383">
        <f ca="1"/>
        <v>10.4</v>
      </c>
      <c r="R115" s="383">
        <f ca="1"/>
        <v>10.4</v>
      </c>
      <c r="S115" s="383">
        <f ca="1"/>
        <v>10.4</v>
      </c>
      <c r="T115" s="383">
        <f ca="1"/>
        <v>10.4</v>
      </c>
      <c r="U115" s="383">
        <f ca="1"/>
        <v>6.5200000000000006E-3</v>
      </c>
      <c r="V115" s="383">
        <f ca="1"/>
        <v>0</v>
      </c>
      <c r="W115" s="553">
        <f t="shared" ca="1" si="6"/>
        <v>10.4</v>
      </c>
      <c r="X115" s="553">
        <f t="shared" ca="1" si="7"/>
        <v>10.3</v>
      </c>
    </row>
    <row r="116" spans="1:27" hidden="1">
      <c r="A116" s="364">
        <v>4</v>
      </c>
      <c r="B116" s="382" t="s">
        <v>256</v>
      </c>
      <c r="C116" s="549">
        <f ca="1"/>
        <v>0</v>
      </c>
      <c r="D116" s="552">
        <f ca="1"/>
        <v>186</v>
      </c>
      <c r="E116" s="383">
        <f ca="1"/>
        <v>186</v>
      </c>
      <c r="F116" s="383">
        <f ca="1"/>
        <v>226</v>
      </c>
      <c r="G116" s="383">
        <f ca="1"/>
        <v>175</v>
      </c>
      <c r="H116" s="383">
        <f ca="1"/>
        <v>175</v>
      </c>
      <c r="I116" s="383">
        <f ca="1"/>
        <v>40</v>
      </c>
      <c r="J116" s="383">
        <f ca="1"/>
        <v>40</v>
      </c>
      <c r="K116" s="553">
        <f t="shared" ca="1" si="5"/>
        <v>202</v>
      </c>
      <c r="L116" s="388">
        <v>3</v>
      </c>
      <c r="N116" s="382" t="s">
        <v>256</v>
      </c>
      <c r="O116" s="549">
        <f ca="1"/>
        <v>0</v>
      </c>
      <c r="P116" s="552">
        <f ca="1"/>
        <v>0.14937999999999999</v>
      </c>
      <c r="Q116" s="383">
        <f ca="1"/>
        <v>0.15556</v>
      </c>
      <c r="R116" s="383">
        <f ca="1"/>
        <v>0.11465999999999998</v>
      </c>
      <c r="S116" s="383">
        <f ca="1"/>
        <v>6.1699999999999998E-2</v>
      </c>
      <c r="T116" s="383">
        <f ca="1"/>
        <v>3.4480000000000004E-2</v>
      </c>
      <c r="U116" s="383">
        <f ca="1"/>
        <v>6.5200000000000006E-3</v>
      </c>
      <c r="V116" s="383">
        <f ca="1"/>
        <v>0</v>
      </c>
      <c r="W116" s="553">
        <f t="shared" ca="1" si="6"/>
        <v>0.13919999999999999</v>
      </c>
      <c r="X116" s="553">
        <f t="shared" ca="1" si="7"/>
        <v>29.764581500388882</v>
      </c>
    </row>
    <row r="117" spans="1:27" hidden="1">
      <c r="A117" s="364">
        <v>4</v>
      </c>
      <c r="B117" s="382" t="s">
        <v>257</v>
      </c>
      <c r="C117" s="549">
        <f ca="1"/>
        <v>0</v>
      </c>
      <c r="D117" s="552">
        <f ca="1"/>
        <v>1644.3</v>
      </c>
      <c r="E117" s="383">
        <f ca="1"/>
        <v>1652.7</v>
      </c>
      <c r="F117" s="383">
        <f ca="1"/>
        <v>1342.1</v>
      </c>
      <c r="G117" s="383">
        <f ca="1"/>
        <v>1160.0999999999999</v>
      </c>
      <c r="H117" s="383">
        <f ca="1"/>
        <v>817.1</v>
      </c>
      <c r="I117" s="383">
        <f ca="1"/>
        <v>168.8</v>
      </c>
      <c r="J117" s="383">
        <f ca="1"/>
        <v>0</v>
      </c>
      <c r="K117" s="553">
        <f t="shared" ca="1" si="5"/>
        <v>1528.46</v>
      </c>
      <c r="L117" s="388">
        <v>5</v>
      </c>
      <c r="N117" s="382" t="s">
        <v>257</v>
      </c>
      <c r="O117" s="549">
        <f ca="1"/>
        <v>0</v>
      </c>
      <c r="P117" s="552">
        <f ca="1"/>
        <v>1324.2</v>
      </c>
      <c r="Q117" s="383">
        <f ca="1"/>
        <v>1517.8</v>
      </c>
      <c r="R117" s="383">
        <f ca="1"/>
        <v>1345.3</v>
      </c>
      <c r="S117" s="383">
        <f ca="1"/>
        <v>968.9</v>
      </c>
      <c r="T117" s="383">
        <f ca="1"/>
        <v>854.9</v>
      </c>
      <c r="U117" s="383">
        <f ca="1"/>
        <v>289.7</v>
      </c>
      <c r="V117" s="383">
        <f ca="1"/>
        <v>0</v>
      </c>
      <c r="W117" s="553">
        <f t="shared" ca="1" si="6"/>
        <v>1448.8</v>
      </c>
      <c r="X117" s="553">
        <f t="shared" ca="1" si="7"/>
        <v>1448.7</v>
      </c>
    </row>
    <row r="118" spans="1:27" hidden="1">
      <c r="A118" s="364">
        <v>4</v>
      </c>
      <c r="B118" s="382" t="s">
        <v>314</v>
      </c>
      <c r="C118" s="549">
        <f ca="1"/>
        <v>0</v>
      </c>
      <c r="D118" s="552">
        <f ca="1"/>
        <v>173.1</v>
      </c>
      <c r="E118" s="559">
        <f ca="1"/>
        <v>173.1</v>
      </c>
      <c r="F118" s="559">
        <f ca="1"/>
        <v>173.1</v>
      </c>
      <c r="G118" s="559">
        <f ca="1"/>
        <v>134.1</v>
      </c>
      <c r="H118" s="559">
        <f ca="1"/>
        <v>105</v>
      </c>
      <c r="I118" s="559">
        <f ca="1"/>
        <v>0</v>
      </c>
      <c r="J118" s="559">
        <f ca="1"/>
        <v>0</v>
      </c>
      <c r="K118" s="557">
        <f t="shared" ca="1" si="5"/>
        <v>173.1</v>
      </c>
      <c r="L118" s="388">
        <v>1</v>
      </c>
      <c r="N118" s="382" t="s">
        <v>314</v>
      </c>
      <c r="O118" s="549">
        <f ca="1"/>
        <v>0</v>
      </c>
      <c r="P118" s="558">
        <f ca="1"/>
        <v>1493.8</v>
      </c>
      <c r="Q118" s="433">
        <f ca="1"/>
        <v>1555.6</v>
      </c>
      <c r="R118" s="433">
        <f ca="1"/>
        <v>1146.5999999999999</v>
      </c>
      <c r="S118" s="433">
        <f ca="1"/>
        <v>617</v>
      </c>
      <c r="T118" s="433">
        <f ca="1"/>
        <v>344.8</v>
      </c>
      <c r="U118" s="433">
        <f ca="1"/>
        <v>65.2</v>
      </c>
      <c r="V118" s="433">
        <f ca="1"/>
        <v>0</v>
      </c>
      <c r="W118" s="557">
        <f t="shared" ca="1" si="6"/>
        <v>1391.9999999999998</v>
      </c>
      <c r="X118" s="557">
        <f t="shared" ca="1" si="7"/>
        <v>1447.4625444362257</v>
      </c>
    </row>
    <row r="119" spans="1:27" hidden="1">
      <c r="A119" s="364">
        <v>0</v>
      </c>
      <c r="B119" s="382" t="s">
        <v>597</v>
      </c>
      <c r="C119" s="549"/>
      <c r="D119" s="510">
        <f t="shared" ref="D119:J119" ca="1" si="8">N$29/$W$29*$F$38*1000</f>
        <v>67.639909877290876</v>
      </c>
      <c r="E119" s="511">
        <f t="shared" ca="1" si="8"/>
        <v>253.64966203984079</v>
      </c>
      <c r="F119" s="511">
        <f t="shared" ca="1" si="8"/>
        <v>380.47449305976119</v>
      </c>
      <c r="G119" s="511">
        <f t="shared" ca="1" si="8"/>
        <v>380.47449305976119</v>
      </c>
      <c r="H119" s="511">
        <f t="shared" ca="1" si="8"/>
        <v>380.47449305976119</v>
      </c>
      <c r="I119" s="511">
        <f t="shared" ca="1" si="8"/>
        <v>380.47449305976119</v>
      </c>
      <c r="J119" s="512">
        <f t="shared" ca="1" si="8"/>
        <v>126.8248310199204</v>
      </c>
      <c r="K119" s="560">
        <f ca="1">(OFFSET($B119,0,K$99)*J$101+OFFSET($B119,0,K$100)*J$100)/K$101</f>
        <v>304.37959444780893</v>
      </c>
      <c r="L119" s="388"/>
      <c r="N119" s="382" t="s">
        <v>597</v>
      </c>
      <c r="O119" s="549"/>
      <c r="P119" s="510">
        <f ca="1">Q38*1000/SCAP</f>
        <v>51.669758262582171</v>
      </c>
      <c r="Q119" s="511">
        <f>$X119</f>
        <v>239.32269303618301</v>
      </c>
      <c r="R119" s="511">
        <f>X119</f>
        <v>239.32269303618301</v>
      </c>
      <c r="S119" s="511">
        <f>$X119</f>
        <v>239.32269303618301</v>
      </c>
      <c r="T119" s="511">
        <f>$X119</f>
        <v>239.32269303618301</v>
      </c>
      <c r="U119" s="511">
        <f>$X119</f>
        <v>239.32269303618301</v>
      </c>
      <c r="V119" s="512">
        <v>0</v>
      </c>
      <c r="W119" s="560">
        <f t="shared" ca="1" si="6"/>
        <v>239.32269303618304</v>
      </c>
      <c r="X119" s="560">
        <f ca="1">R38*1000/SCAP</f>
        <v>239.32269303618301</v>
      </c>
    </row>
    <row r="120" spans="1:27" hidden="1">
      <c r="D120" s="386">
        <f ca="1">SUM(D103:D118)</f>
        <v>8218.2999999999993</v>
      </c>
      <c r="H120" s="386">
        <f ca="1">SUM(H103:H118)</f>
        <v>4389.3</v>
      </c>
      <c r="K120" s="386">
        <f ca="1">SUM(K103:K118)</f>
        <v>8555.9400799180657</v>
      </c>
      <c r="L120" s="388"/>
      <c r="N120" s="382" t="s">
        <v>648</v>
      </c>
      <c r="O120" s="549"/>
      <c r="P120" s="510">
        <f t="array" aca="1" ref="P120:V120" ca="1">OFFSET(CalibData!$D$127:$J$127,0,(CalIndex-1)*10)</f>
        <v>38.1</v>
      </c>
      <c r="Q120" s="511">
        <f ca="1"/>
        <v>63.6</v>
      </c>
      <c r="R120" s="511">
        <f ca="1"/>
        <v>63.6</v>
      </c>
      <c r="S120" s="511">
        <f ca="1"/>
        <v>61.5</v>
      </c>
      <c r="T120" s="511">
        <f ca="1"/>
        <v>61.5</v>
      </c>
      <c r="U120" s="511">
        <f ca="1"/>
        <v>3.6</v>
      </c>
      <c r="V120" s="512">
        <f ca="1"/>
        <v>0</v>
      </c>
      <c r="W120" s="560">
        <f t="shared" ca="1" si="6"/>
        <v>63.6</v>
      </c>
      <c r="X120" s="560">
        <f ca="1">MAX(AuxData!$G107/C$14/$T39*1000/SCAP,(OFFSET($N120,0,K$99)*J$101+OFFSET($N120,0,K$100)*J$100)/K$101)</f>
        <v>66.213958296492038</v>
      </c>
    </row>
    <row r="121" spans="1:27" hidden="1">
      <c r="P121" s="386">
        <f ca="1">SUM(P103:P118)</f>
        <v>7965.8356299999996</v>
      </c>
      <c r="W121" s="386">
        <f ca="1">SUM(W103:W118)</f>
        <v>7553.6678979999988</v>
      </c>
      <c r="X121" s="386">
        <f ca="1">SUM(X103:X118)</f>
        <v>8655.3584038639656</v>
      </c>
    </row>
    <row r="122" spans="1:27" hidden="1">
      <c r="E122" s="364" t="s">
        <v>452</v>
      </c>
      <c r="Q122" s="364" t="s">
        <v>453</v>
      </c>
    </row>
    <row r="123" spans="1:27" hidden="1">
      <c r="B123" s="364" t="s">
        <v>380</v>
      </c>
      <c r="C123" s="561">
        <f ca="1">BaseYear</f>
        <v>2010</v>
      </c>
      <c r="D123" s="561">
        <f ca="1">AuxYear</f>
        <v>2017</v>
      </c>
      <c r="E123" s="536">
        <v>2015</v>
      </c>
      <c r="F123" s="536">
        <v>2020</v>
      </c>
      <c r="G123" s="536">
        <v>2025</v>
      </c>
      <c r="H123" s="536">
        <v>2030</v>
      </c>
      <c r="I123" s="536">
        <v>2040</v>
      </c>
      <c r="J123" s="536">
        <v>2050</v>
      </c>
      <c r="K123" s="379" t="s">
        <v>259</v>
      </c>
      <c r="L123" s="379" t="s">
        <v>259</v>
      </c>
      <c r="N123" s="364" t="s">
        <v>381</v>
      </c>
      <c r="O123" s="561">
        <f ca="1">BaseYear</f>
        <v>2010</v>
      </c>
      <c r="P123" s="561">
        <f ca="1">AuxYear</f>
        <v>2017</v>
      </c>
      <c r="Q123" s="411">
        <v>2015</v>
      </c>
      <c r="R123" s="411">
        <v>2020</v>
      </c>
      <c r="S123" s="411">
        <v>2025</v>
      </c>
      <c r="T123" s="411">
        <v>2030</v>
      </c>
      <c r="U123" s="411">
        <v>2040</v>
      </c>
      <c r="V123" s="411">
        <v>2050</v>
      </c>
      <c r="W123" s="494" t="s">
        <v>259</v>
      </c>
      <c r="X123" s="494" t="s">
        <v>259</v>
      </c>
    </row>
    <row r="124" spans="1:27" hidden="1">
      <c r="A124" s="364">
        <v>1</v>
      </c>
      <c r="B124" s="382" t="s">
        <v>254</v>
      </c>
      <c r="C124" s="550">
        <f ca="1">MAX(VLOOKUP($B124,$B$62:$G$66,$A124+2,0),IF(OFFSET($B$102,$M124,0)=$B124,(OFFSET($D$102,$M124,0)-IF($B124="BIO",C123*SCAP))))/SCAP</f>
        <v>16.607388703806961</v>
      </c>
      <c r="D124" s="562">
        <f t="shared" ref="D124:D143" ca="1" si="9">MAX(VLOOKUP($B124,$B$92:$G$96,$A124+2,0),IF(OFFSET($B$102,$M124,0)=$B124,(OFFSET($K$102,$M124,0)-IF($B124="BIO",D123*SCAP))))/SCAP</f>
        <v>20.292952406268949</v>
      </c>
      <c r="E124" s="563">
        <f t="shared" ref="E124:J133" ca="1" si="10">IF($D124&gt;0,MIN(OFFSET(E$102,$M124,0)/MIN($D124*SCAP,OFFSET($K$102,$M124,0)),MIN(10^IF($B124=OFFSET($B$102,$M124,0),3,0),MAX(0,$D124*SCAP+OFFSET(E$102,$M124,0)-OFFSET($K$102,$M124,0))/(SCAP*$D124))),0)</f>
        <v>0</v>
      </c>
      <c r="F124" s="564">
        <f t="shared" ca="1" si="10"/>
        <v>0</v>
      </c>
      <c r="G124" s="564">
        <f t="shared" ca="1" si="10"/>
        <v>0</v>
      </c>
      <c r="H124" s="564">
        <f t="shared" ca="1" si="10"/>
        <v>0</v>
      </c>
      <c r="I124" s="564">
        <f t="shared" ca="1" si="10"/>
        <v>0</v>
      </c>
      <c r="J124" s="564">
        <f t="shared" ca="1" si="10"/>
        <v>0</v>
      </c>
      <c r="K124" s="565">
        <f t="array" aca="1" ref="K124:K128" ca="1">IEAData!I$90:I$94*TRANSPOSE(INDEX(C$45:G$48,$A124,0))/IF(C124:C128&gt;0,C124:C128*$C$14,1)*1000/SCAP</f>
        <v>7.0425483166414116E-2</v>
      </c>
      <c r="L124" s="566">
        <f t="array" aca="1" ref="L124:L128" ca="1">AuxData!I$90:I$94*TRANSPOSE(INDEX(C$75:G$78,$A124,0))/IF(D124:D128&gt;0,D124:D128*$C$14,1)*1000/SCAP</f>
        <v>5.0064183629556509E-2</v>
      </c>
      <c r="M124" s="567">
        <f t="shared" ref="M124:M143" si="11">($A124-1)*4+$Y124</f>
        <v>4</v>
      </c>
      <c r="N124" s="382" t="s">
        <v>254</v>
      </c>
      <c r="O124" s="568">
        <f ca="1">MAX(VLOOKUP($N124,$N$62:$S$66,$A124+2,0),IF(OR(OFFSET($N$102,$M124,0)=$N124,$N124="OIL"),OFFSET($P$102,$M124,0)-IF($N124="BIO",O123*SHCAP)))/SHCAP</f>
        <v>1.1269277530480102</v>
      </c>
      <c r="P124" s="568">
        <f ca="1">MAX(VLOOKUP($N124,$N$92:$S$96,$A124+2,0),IF(OR(OFFSET($N$102,$M124,0)=$N124,$N124="OIL"),OFFSET($X$102,$M124,0)-IF($N124="BIO",P123*SHCAP)))/SHCAP</f>
        <v>1.2222193411692999</v>
      </c>
      <c r="Q124" s="569">
        <f t="shared" ref="Q124:Q143" ca="1" si="12">IF(P124&gt;0,MAX(IF($N124=OFFSET($N$102,$M124,0),OFFSET(Q$102,$M124,0)/SHCAP-IF($N124="BIO",Q123)),$P124*MIN(1,OFFSET(Q$102,$M124,0)/MAX(Tiny,OFFSET($W$102,$M124,0)))),0)</f>
        <v>1.2222193411692999</v>
      </c>
      <c r="R124" s="570">
        <f t="shared" ref="R124:R143" ca="1" si="13">IF(Q124&gt;0,MAX(IF($N124=OFFSET($N$102,$M124,0),OFFSET(R$102,$M124,0)/SHCAP-IF($N124="BIO",R123)),$P124*MIN(1,OFFSET(R$102,$M124,0)/MAX(Tiny,OFFSET($W$102,$M124,0)))),0)</f>
        <v>0.65412382431262328</v>
      </c>
      <c r="S124" s="570">
        <f t="shared" ref="S124:S143" ca="1" si="14">IF(R124&gt;0,MAX(IF($N124=OFFSET($N$102,$M124,0),OFFSET(S$102,$M124,0)/SHCAP-IF($N124="BIO",S123)),$P124*MIN(1,OFFSET(S$102,$M124,0)/MAX(Tiny,OFFSET($W$102,$M124,0)))),0)</f>
        <v>0.13596955898633181</v>
      </c>
      <c r="T124" s="570">
        <f t="shared" ref="T124:T143" ca="1" si="15">IF(S124&gt;0,MAX(IF($N124=OFFSET($N$102,$M124,0),OFFSET(T$102,$M124,0)/SHCAP-IF($N124="BIO",T123)),$P124*MIN(1,OFFSET(T$102,$M124,0)/MAX(Tiny,OFFSET($W$102,$M124,0)))),0)</f>
        <v>7.1659632438742446E-2</v>
      </c>
      <c r="U124" s="570">
        <f t="shared" ref="U124:U143" ca="1" si="16">IF(T124&gt;0,MAX(IF($N124=OFFSET($N$102,$M124,0),OFFSET(U$102,$M124,0)/SHCAP-IF($N124="BIO",U123)),$P124*MIN(1,OFFSET(U$102,$M124,0)/MAX(Tiny,OFFSET($W$102,$M124,0)))),0)</f>
        <v>0</v>
      </c>
      <c r="V124" s="571">
        <f t="shared" ref="V124:V143" ca="1" si="17">IF(U124&gt;0,MAX(IF($N124=OFFSET($N$102,$M124,0),OFFSET(V$102,$M124,0)/SHCAP-IF($N124="BIO",V123)),$P124*MIN(1,OFFSET(V$102,$M124,0)/MAX(Tiny,OFFSET($W$102,$M124,0)))),0)</f>
        <v>0</v>
      </c>
      <c r="W124" s="572">
        <f t="array" aca="1" ref="W124:W128" ca="1">IEAData!$I$101:$I$105*TRANSPOSE(INDEX($O$45:$S$48,$A124,0))/IF(O124:O128&gt;0,O124:O128*$C$14,1)*1000/SHCAP</f>
        <v>4.2600133542464967E-2</v>
      </c>
      <c r="X124" s="572">
        <f t="array" aca="1" ref="X124:X128" ca="1">AuxData!$I$101:$I$105*TRANSPOSE(INDEX($O$75:$S$78,$A124,0))/IF(P124:P128&gt;0,P124:P128*$C$14,1)*1000/SHCAP</f>
        <v>4.3853862218526586E-2</v>
      </c>
      <c r="Y124" s="573">
        <v>4</v>
      </c>
      <c r="AA124" s="574"/>
    </row>
    <row r="125" spans="1:27" hidden="1">
      <c r="A125" s="364">
        <v>1</v>
      </c>
      <c r="B125" s="382" t="s">
        <v>255</v>
      </c>
      <c r="C125" s="552">
        <f ca="1">MAX(VLOOKUP($B125,$B$62:$G$66,$A125+2,0),IF(OFFSET($B$102,$M125,0)=$B125,(OFFSET($D$102,$M125,0)-IF($B125="BIO",C124*SCAP))))/SCAP</f>
        <v>1229.2636896485089</v>
      </c>
      <c r="D125" s="559">
        <f t="shared" ca="1" si="9"/>
        <v>905</v>
      </c>
      <c r="E125" s="575">
        <f t="shared" ca="1" si="10"/>
        <v>1</v>
      </c>
      <c r="F125" s="576">
        <f t="shared" ca="1" si="10"/>
        <v>1</v>
      </c>
      <c r="G125" s="576">
        <f t="shared" ca="1" si="10"/>
        <v>0.49944751381215469</v>
      </c>
      <c r="H125" s="576">
        <f t="shared" ca="1" si="10"/>
        <v>0.49944751381215469</v>
      </c>
      <c r="I125" s="576">
        <f t="shared" ca="1" si="10"/>
        <v>0</v>
      </c>
      <c r="J125" s="576">
        <f t="shared" ca="1" si="10"/>
        <v>0</v>
      </c>
      <c r="K125" s="577">
        <f ca="1"/>
        <v>0.28810424931714856</v>
      </c>
      <c r="L125" s="578">
        <f ca="1"/>
        <v>4.8501941559871302E-2</v>
      </c>
      <c r="M125" s="567">
        <f t="shared" si="11"/>
        <v>1</v>
      </c>
      <c r="N125" s="382" t="s">
        <v>255</v>
      </c>
      <c r="O125" s="579">
        <f ca="1">MAX(VLOOKUP($N125,$N$62:$S$66,$A125+2,0),IF(OFFSET($N$102,$M125,0)=$N125,OFFSET($P$102,$M125,0)-IF($N125="BIO",O124*SHCAP)))/SHCAP</f>
        <v>0.46450000000000002</v>
      </c>
      <c r="P125" s="579">
        <f ca="1">MAX(VLOOKUP($N125,$N$92:$S$96,$A125+2,0),IF(OFFSET($N$102,$M125,0)=$N125,OFFSET($X$102,$M125,0)-IF($N125="BIO",P124*SHCAP)))/SHCAP</f>
        <v>0.43539999999999995</v>
      </c>
      <c r="Q125" s="580">
        <f t="shared" ca="1" si="12"/>
        <v>0.47949999999999998</v>
      </c>
      <c r="R125" s="581">
        <f t="shared" ca="1" si="13"/>
        <v>0.3695</v>
      </c>
      <c r="S125" s="581">
        <f t="shared" ca="1" si="14"/>
        <v>0.224</v>
      </c>
      <c r="T125" s="581">
        <f t="shared" ca="1" si="15"/>
        <v>0.13</v>
      </c>
      <c r="U125" s="581">
        <f t="shared" ca="1" si="16"/>
        <v>0</v>
      </c>
      <c r="V125" s="582">
        <f t="shared" ca="1" si="17"/>
        <v>0</v>
      </c>
      <c r="W125" s="583">
        <f ca="1"/>
        <v>0.11342431385571965</v>
      </c>
      <c r="X125" s="583">
        <f ca="1"/>
        <v>2.736040337160069E-2</v>
      </c>
      <c r="Y125" s="573">
        <v>1</v>
      </c>
      <c r="AA125" s="574"/>
    </row>
    <row r="126" spans="1:27" hidden="1">
      <c r="A126" s="364">
        <v>1</v>
      </c>
      <c r="B126" s="382" t="s">
        <v>256</v>
      </c>
      <c r="C126" s="552">
        <f ca="1">MAX(VLOOKUP($B126,$B$62:$G$66,$A126+2,0),IF(OFFSET($B$102,$M126,0)=$B126,(OFFSET($D$102,$M126,0)-IF($B126="BIO",C125*SCAP))))/SCAP</f>
        <v>854</v>
      </c>
      <c r="D126" s="559">
        <f t="shared" ca="1" si="9"/>
        <v>1022.4053448403095</v>
      </c>
      <c r="E126" s="575">
        <f t="shared" ca="1" si="10"/>
        <v>0.83528514821427025</v>
      </c>
      <c r="F126" s="576">
        <f t="shared" ca="1" si="10"/>
        <v>0.58000479261248505</v>
      </c>
      <c r="G126" s="576">
        <f t="shared" ca="1" si="10"/>
        <v>0</v>
      </c>
      <c r="H126" s="576">
        <f t="shared" ca="1" si="10"/>
        <v>0</v>
      </c>
      <c r="I126" s="576">
        <f t="shared" ca="1" si="10"/>
        <v>0</v>
      </c>
      <c r="J126" s="576">
        <f t="shared" ca="1" si="10"/>
        <v>0</v>
      </c>
      <c r="K126" s="577">
        <f ca="1"/>
        <v>0.57180980511904544</v>
      </c>
      <c r="L126" s="578">
        <f ca="1"/>
        <v>0.45057765266600869</v>
      </c>
      <c r="M126" s="567">
        <f t="shared" si="11"/>
        <v>2</v>
      </c>
      <c r="N126" s="382" t="s">
        <v>256</v>
      </c>
      <c r="O126" s="579">
        <f ca="1">MAX(VLOOKUP($N126,$N$62:$S$66,$A126+2,0),IF(OFFSET($N$102,$M126,0)=$N126,OFFSET($P$102,$M126,0)-IF($N126="BIO",O125*SHCAP)))/SHCAP</f>
        <v>9.4496266566634762E-3</v>
      </c>
      <c r="P126" s="579">
        <f ca="1">MAX(VLOOKUP($N126,$N$92:$S$96,$A126+2,0),IF(OFFSET($N$102,$M126,0)=$N126,OFFSET($X$102,$M126,0)-IF($N126="BIO",P125*SHCAP)))/SHCAP</f>
        <v>0</v>
      </c>
      <c r="Q126" s="580">
        <f t="shared" ca="1" si="12"/>
        <v>0</v>
      </c>
      <c r="R126" s="581">
        <f t="shared" ca="1" si="13"/>
        <v>0</v>
      </c>
      <c r="S126" s="581">
        <f t="shared" ca="1" si="14"/>
        <v>0</v>
      </c>
      <c r="T126" s="581">
        <f t="shared" ca="1" si="15"/>
        <v>0</v>
      </c>
      <c r="U126" s="581">
        <f t="shared" ca="1" si="16"/>
        <v>0</v>
      </c>
      <c r="V126" s="582">
        <f t="shared" ca="1" si="17"/>
        <v>0</v>
      </c>
      <c r="W126" s="583">
        <f ca="1"/>
        <v>0.34080106597307036</v>
      </c>
      <c r="X126" s="583">
        <f ca="1"/>
        <v>0</v>
      </c>
      <c r="Y126" s="573">
        <v>2</v>
      </c>
      <c r="AA126" s="574"/>
    </row>
    <row r="127" spans="1:27" hidden="1">
      <c r="A127" s="364">
        <v>1</v>
      </c>
      <c r="B127" s="382" t="s">
        <v>347</v>
      </c>
      <c r="C127" s="552">
        <f ca="1">MAX(VLOOKUP($B127,$B$62:$G$66,$A127+2,0),IF(OFFSET($B$102,$M127,0)=$B127,(OFFSET($D$102,$M127,0)-IF($B127="BIO",C126*SCAP))))/SCAP</f>
        <v>149.9841249061983</v>
      </c>
      <c r="D127" s="559">
        <f t="shared" ca="1" si="9"/>
        <v>176.18067373173426</v>
      </c>
      <c r="E127" s="575">
        <f t="shared" ca="1" si="10"/>
        <v>0</v>
      </c>
      <c r="F127" s="576">
        <f t="shared" ca="1" si="10"/>
        <v>1</v>
      </c>
      <c r="G127" s="576">
        <f t="shared" ca="1" si="10"/>
        <v>1</v>
      </c>
      <c r="H127" s="576">
        <f t="shared" ca="1" si="10"/>
        <v>1</v>
      </c>
      <c r="I127" s="576">
        <f t="shared" ca="1" si="10"/>
        <v>1</v>
      </c>
      <c r="J127" s="576">
        <f t="shared" ca="1" si="10"/>
        <v>1</v>
      </c>
      <c r="K127" s="577">
        <f ca="1"/>
        <v>0.55115595521541472</v>
      </c>
      <c r="L127" s="578">
        <f ca="1"/>
        <v>0.39180665449218138</v>
      </c>
      <c r="M127" s="567">
        <f t="shared" si="11"/>
        <v>3</v>
      </c>
      <c r="N127" s="382" t="s">
        <v>347</v>
      </c>
      <c r="O127" s="579">
        <f ca="1">MAX(VLOOKUP($N127,$N$62:$S$66,$A127+2,0),IF(OFFSET($N$102,$M127,0)=$N127,OFFSET($P$102,$M127,0)-IF($N127="BIO",O126*SHCAP)))/SHCAP</f>
        <v>1.568255875862937E-3</v>
      </c>
      <c r="P127" s="579">
        <f ca="1">MAX(VLOOKUP($N127,$N$92:$S$96,$A127+2,0),IF(OFFSET($N$102,$M127,0)=$N127,OFFSET($X$102,$M127,0)-IF($N127="BIO",P126*SHCAP)))/SHCAP</f>
        <v>0</v>
      </c>
      <c r="Q127" s="580">
        <f t="shared" ca="1" si="12"/>
        <v>0</v>
      </c>
      <c r="R127" s="581">
        <f t="shared" ca="1" si="13"/>
        <v>0</v>
      </c>
      <c r="S127" s="581">
        <f t="shared" ca="1" si="14"/>
        <v>0</v>
      </c>
      <c r="T127" s="581">
        <f t="shared" ca="1" si="15"/>
        <v>0</v>
      </c>
      <c r="U127" s="581">
        <f t="shared" ca="1" si="16"/>
        <v>0</v>
      </c>
      <c r="V127" s="582">
        <f t="shared" ca="1" si="17"/>
        <v>0</v>
      </c>
      <c r="W127" s="583">
        <f ca="1"/>
        <v>0.34080106830740931</v>
      </c>
      <c r="X127" s="583">
        <f ca="1"/>
        <v>0</v>
      </c>
      <c r="Y127" s="573">
        <v>3</v>
      </c>
      <c r="AA127" s="574"/>
    </row>
    <row r="128" spans="1:27" hidden="1">
      <c r="A128" s="364">
        <v>1</v>
      </c>
      <c r="B128" s="382" t="s">
        <v>257</v>
      </c>
      <c r="C128" s="558">
        <f ca="1">MAX(VLOOKUP($B128,$B$62:$G$66,$A128+2,0),IF(OFFSET($B$102,$M128,0)=$B128,(OFFSET($D$102,$M128,0)-IF($B128="BIO",C127*SCAP))))/SCAP</f>
        <v>32.460170384476982</v>
      </c>
      <c r="D128" s="433">
        <f t="shared" ca="1" si="9"/>
        <v>133.56177974933627</v>
      </c>
      <c r="E128" s="584">
        <f t="shared" ca="1" si="10"/>
        <v>0</v>
      </c>
      <c r="F128" s="585">
        <f t="shared" ca="1" si="10"/>
        <v>2.7519982171483663</v>
      </c>
      <c r="G128" s="585">
        <f t="shared" ca="1" si="10"/>
        <v>2.7519982171483663</v>
      </c>
      <c r="H128" s="585">
        <f t="shared" ca="1" si="10"/>
        <v>2.7519982171483663</v>
      </c>
      <c r="I128" s="585">
        <f t="shared" ca="1" si="10"/>
        <v>2.7519982171483663</v>
      </c>
      <c r="J128" s="585">
        <f t="shared" ca="1" si="10"/>
        <v>2.7519982171483663</v>
      </c>
      <c r="K128" s="586">
        <f ca="1"/>
        <v>0.93210198308489267</v>
      </c>
      <c r="L128" s="587">
        <f ca="1"/>
        <v>0.66261419509707153</v>
      </c>
      <c r="M128" s="567">
        <f t="shared" si="11"/>
        <v>3</v>
      </c>
      <c r="N128" s="382" t="s">
        <v>257</v>
      </c>
      <c r="O128" s="579">
        <f ca="1">MAX(VLOOKUP($N128,$N$62:$S$66,$A128+2,0),IF(OFFSET($N$102,$M128,0)=$N128,OFFSET($P$102,$M128,0)-IF($N128="BIO",O127*SHCAP)))/SHCAP</f>
        <v>9.1360116115730347E-2</v>
      </c>
      <c r="P128" s="579">
        <f ca="1">MAX(VLOOKUP($N128,$N$92:$S$96,$A128+2,0),IF(OFFSET($N$102,$M128,0)=$N128,OFFSET($X$102,$M128,0)-IF($N128="BIO",P127*SHCAP)))/SHCAP</f>
        <v>0.45389228516018854</v>
      </c>
      <c r="Q128" s="588">
        <f t="shared" ca="1" si="12"/>
        <v>0.38690818140306821</v>
      </c>
      <c r="R128" s="589">
        <f t="shared" ca="1" si="13"/>
        <v>0.45389228516018854</v>
      </c>
      <c r="S128" s="589">
        <f t="shared" ca="1" si="14"/>
        <v>0.45389228516018854</v>
      </c>
      <c r="T128" s="589">
        <f t="shared" ca="1" si="15"/>
        <v>0.45389228516018854</v>
      </c>
      <c r="U128" s="589">
        <f t="shared" ca="1" si="16"/>
        <v>0.41990035191030661</v>
      </c>
      <c r="V128" s="590">
        <f t="shared" ca="1" si="17"/>
        <v>0</v>
      </c>
      <c r="W128" s="583">
        <f ca="1"/>
        <v>0.34080106832866813</v>
      </c>
      <c r="X128" s="583">
        <f ca="1"/>
        <v>0.3508308977973249</v>
      </c>
      <c r="Y128" s="573">
        <v>3</v>
      </c>
      <c r="AA128" s="574"/>
    </row>
    <row r="129" spans="1:27" hidden="1">
      <c r="A129" s="364">
        <v>2</v>
      </c>
      <c r="B129" s="382" t="s">
        <v>254</v>
      </c>
      <c r="C129" s="550">
        <f t="array" aca="1" ref="C129:C133" ca="1">OFFSET(C$62:C$66,0,$A129)/SCAP</f>
        <v>9.6715435171343689</v>
      </c>
      <c r="D129" s="562">
        <f t="shared" ca="1" si="9"/>
        <v>30.588431395825307</v>
      </c>
      <c r="E129" s="563">
        <f t="shared" ca="1" si="10"/>
        <v>0</v>
      </c>
      <c r="F129" s="564">
        <f t="shared" ca="1" si="10"/>
        <v>0</v>
      </c>
      <c r="G129" s="564">
        <f t="shared" ca="1" si="10"/>
        <v>0</v>
      </c>
      <c r="H129" s="564">
        <f t="shared" ca="1" si="10"/>
        <v>0</v>
      </c>
      <c r="I129" s="564">
        <f t="shared" ca="1" si="10"/>
        <v>0</v>
      </c>
      <c r="J129" s="564">
        <f t="shared" ca="1" si="10"/>
        <v>0</v>
      </c>
      <c r="K129" s="565">
        <f t="array" aca="1" ref="K129:K133" ca="1">IEAData!I$90:I$94*TRANSPOSE(INDEX(C$45:G$48,$A129,0))/IF(C129:C133&gt;0,C129:C133*$C$14,1)*1000/SCAP</f>
        <v>4.8418023470242565E-2</v>
      </c>
      <c r="L129" s="566">
        <f t="array" aca="1" ref="L129:L133" ca="1">AuxData!I$90:I$94*TRANSPOSE(INDEX(C$75:G$78,$A129,0))/IF(D129:D133&gt;0,D129:D133*$C$14,1)*1000/SCAP</f>
        <v>3.035030397087652E-2</v>
      </c>
      <c r="M129" s="567">
        <f t="shared" si="11"/>
        <v>8</v>
      </c>
      <c r="N129" s="382" t="s">
        <v>254</v>
      </c>
      <c r="O129" s="568">
        <f ca="1">MAX(VLOOKUP($N129,$N$62:$S$66,$A129+2,0),IF(OR(OFFSET($N$102,$M129,0)=$N129,$N129="OIL"),OFFSET($P$102,$M129,0)-IF($N129="BIO",O128*SHCAP)))/SHCAP</f>
        <v>0.58270174129841557</v>
      </c>
      <c r="P129" s="568">
        <f ca="1">MAX(VLOOKUP($N129,$N$92:$S$96,$A129+2,0),IF(OR(OFFSET($N$102,$M129,0)=$N129,$N129="OIL"),OFFSET($X$102,$M129,0)-IF($N129="BIO",P128*SHCAP)))/SHCAP</f>
        <v>0.35902000000000006</v>
      </c>
      <c r="Q129" s="569">
        <f t="shared" ca="1" si="12"/>
        <v>0.35902000000000006</v>
      </c>
      <c r="R129" s="570">
        <f t="shared" ca="1" si="13"/>
        <v>0.24103286366674095</v>
      </c>
      <c r="S129" s="570">
        <f t="shared" ca="1" si="14"/>
        <v>0.12826427378035202</v>
      </c>
      <c r="T129" s="570">
        <f t="shared" ca="1" si="15"/>
        <v>0.10607045555803075</v>
      </c>
      <c r="U129" s="570">
        <f t="shared" ca="1" si="16"/>
        <v>1.9994430830920029E-4</v>
      </c>
      <c r="V129" s="571">
        <f t="shared" ca="1" si="17"/>
        <v>0</v>
      </c>
      <c r="W129" s="572">
        <f t="array" aca="1" ref="W129:W133" ca="1">IEAData!$I$101:$I$105*TRANSPOSE(INDEX($O$45:$S$48,$A129,0))/IF(O129:O133&gt;0,O129:O133*$C$14,1)*1000/SHCAP</f>
        <v>4.7239916186471893E-2</v>
      </c>
      <c r="X129" s="572">
        <f t="array" aca="1" ref="X129:X133" ca="1">AuxData!$I$101:$I$105*TRANSPOSE(INDEX($O$75:$S$78,$A129,0))/IF(P129:P133&gt;0,P129:P133*$C$14,1)*1000/SHCAP</f>
        <v>2.8250030633886369E-2</v>
      </c>
      <c r="Y129" s="573">
        <v>4</v>
      </c>
      <c r="AA129" s="574"/>
    </row>
    <row r="130" spans="1:27" hidden="1">
      <c r="A130" s="364">
        <v>2</v>
      </c>
      <c r="B130" s="382" t="s">
        <v>255</v>
      </c>
      <c r="C130" s="552">
        <f ca="1"/>
        <v>762.27524446560824</v>
      </c>
      <c r="D130" s="559">
        <f t="shared" ca="1" si="9"/>
        <v>763.99999999999989</v>
      </c>
      <c r="E130" s="575">
        <f t="shared" ca="1" si="10"/>
        <v>1.118848167539267</v>
      </c>
      <c r="F130" s="576">
        <f t="shared" ca="1" si="10"/>
        <v>0.82172774869109944</v>
      </c>
      <c r="G130" s="576">
        <f t="shared" ca="1" si="10"/>
        <v>0.82172774869109944</v>
      </c>
      <c r="H130" s="576">
        <f t="shared" ca="1" si="10"/>
        <v>0.64450261780104723</v>
      </c>
      <c r="I130" s="576">
        <f t="shared" ca="1" si="10"/>
        <v>0.25484293193717272</v>
      </c>
      <c r="J130" s="576">
        <f t="shared" ca="1" si="10"/>
        <v>0</v>
      </c>
      <c r="K130" s="577">
        <f ca="1"/>
        <v>0.19807373237826506</v>
      </c>
      <c r="L130" s="578">
        <f ca="1"/>
        <v>7.5916426608068363E-3</v>
      </c>
      <c r="M130" s="567">
        <f t="shared" si="11"/>
        <v>5</v>
      </c>
      <c r="N130" s="382" t="s">
        <v>255</v>
      </c>
      <c r="O130" s="579">
        <f ca="1">MAX(VLOOKUP($N130,$N$62:$S$66,$A130+2,0),IF(OFFSET($N$102,$M130,0)=$N130,OFFSET($P$102,$M130,0)-IF($N130="BIO",O129*SHCAP)))/SHCAP</f>
        <v>1.1171674969933869</v>
      </c>
      <c r="P130" s="579">
        <f ca="1">MAX(VLOOKUP($N130,$N$92:$S$96,$A130+2,0),IF(OFFSET($N$102,$M130,0)=$N130,OFFSET($X$102,$M130,0)-IF($N130="BIO",P129*SHCAP)))/SHCAP</f>
        <v>1.0664400000000001</v>
      </c>
      <c r="Q130" s="580">
        <f t="shared" ca="1" si="12"/>
        <v>1.1782999999999999</v>
      </c>
      <c r="R130" s="581">
        <f t="shared" ca="1" si="13"/>
        <v>0.89890000000000003</v>
      </c>
      <c r="S130" s="581">
        <f t="shared" ca="1" si="14"/>
        <v>0.48460000000000003</v>
      </c>
      <c r="T130" s="581">
        <f t="shared" ca="1" si="15"/>
        <v>0.40610000000000002</v>
      </c>
      <c r="U130" s="581">
        <f t="shared" ca="1" si="16"/>
        <v>2.2499999999999999E-2</v>
      </c>
      <c r="V130" s="582">
        <f t="shared" ca="1" si="17"/>
        <v>0</v>
      </c>
      <c r="W130" s="583">
        <f ca="1"/>
        <v>0.18895966473963666</v>
      </c>
      <c r="X130" s="583">
        <f ca="1"/>
        <v>5.137354032605887E-2</v>
      </c>
      <c r="Y130" s="573">
        <v>1</v>
      </c>
      <c r="AA130" s="574"/>
    </row>
    <row r="131" spans="1:27" hidden="1">
      <c r="A131" s="364">
        <v>2</v>
      </c>
      <c r="B131" s="382" t="s">
        <v>256</v>
      </c>
      <c r="C131" s="552">
        <f ca="1"/>
        <v>2.2262591279900921</v>
      </c>
      <c r="D131" s="559">
        <f t="shared" ca="1" si="9"/>
        <v>0</v>
      </c>
      <c r="E131" s="575">
        <f t="shared" ca="1" si="10"/>
        <v>0</v>
      </c>
      <c r="F131" s="576">
        <f t="shared" ca="1" si="10"/>
        <v>0</v>
      </c>
      <c r="G131" s="576">
        <f t="shared" ca="1" si="10"/>
        <v>0</v>
      </c>
      <c r="H131" s="576">
        <f t="shared" ca="1" si="10"/>
        <v>0</v>
      </c>
      <c r="I131" s="576">
        <f t="shared" ca="1" si="10"/>
        <v>0</v>
      </c>
      <c r="J131" s="576">
        <f t="shared" ca="1" si="10"/>
        <v>0</v>
      </c>
      <c r="K131" s="577">
        <f ca="1"/>
        <v>0.43576221123218317</v>
      </c>
      <c r="L131" s="578">
        <f ca="1"/>
        <v>0</v>
      </c>
      <c r="M131" s="567">
        <f t="shared" si="11"/>
        <v>6</v>
      </c>
      <c r="N131" s="382" t="s">
        <v>256</v>
      </c>
      <c r="O131" s="579">
        <f ca="1">MAX(VLOOKUP($N131,$N$62:$S$66,$A131+2,0),IF(OFFSET($N$102,$M131,0)=$N131,OFFSET($P$102,$M131,0)-IF($N131="BIO",O130*SHCAP)))/SHCAP</f>
        <v>2.7985345678422924E-3</v>
      </c>
      <c r="P131" s="579">
        <f ca="1">MAX(VLOOKUP($N131,$N$92:$S$96,$A131+2,0),IF(OFFSET($N$102,$M131,0)=$N131,OFFSET($X$102,$M131,0)-IF($N131="BIO",P130*SHCAP)))/SHCAP</f>
        <v>0</v>
      </c>
      <c r="Q131" s="580">
        <f t="shared" ca="1" si="12"/>
        <v>0</v>
      </c>
      <c r="R131" s="581">
        <f t="shared" ca="1" si="13"/>
        <v>0</v>
      </c>
      <c r="S131" s="581">
        <f t="shared" ca="1" si="14"/>
        <v>0</v>
      </c>
      <c r="T131" s="581">
        <f t="shared" ca="1" si="15"/>
        <v>0</v>
      </c>
      <c r="U131" s="581">
        <f t="shared" ca="1" si="16"/>
        <v>0</v>
      </c>
      <c r="V131" s="582">
        <f t="shared" ca="1" si="17"/>
        <v>0</v>
      </c>
      <c r="W131" s="583">
        <f ca="1"/>
        <v>0.37791932686736279</v>
      </c>
      <c r="X131" s="583">
        <f ca="1"/>
        <v>0</v>
      </c>
      <c r="Y131" s="573">
        <v>2</v>
      </c>
      <c r="AA131" s="574"/>
    </row>
    <row r="132" spans="1:27" hidden="1">
      <c r="A132" s="364">
        <v>2</v>
      </c>
      <c r="B132" s="382" t="s">
        <v>347</v>
      </c>
      <c r="C132" s="552">
        <f ca="1"/>
        <v>157.93739743988979</v>
      </c>
      <c r="D132" s="559">
        <f t="shared" ca="1" si="9"/>
        <v>208.38847357886982</v>
      </c>
      <c r="E132" s="575">
        <f t="shared" ca="1" si="10"/>
        <v>1</v>
      </c>
      <c r="F132" s="576">
        <f t="shared" ca="1" si="10"/>
        <v>0.90786438582586326</v>
      </c>
      <c r="G132" s="576">
        <f t="shared" ca="1" si="10"/>
        <v>0.40399774581105391</v>
      </c>
      <c r="H132" s="576">
        <f t="shared" ca="1" si="10"/>
        <v>0</v>
      </c>
      <c r="I132" s="576">
        <f t="shared" ca="1" si="10"/>
        <v>0</v>
      </c>
      <c r="J132" s="576">
        <f t="shared" ca="1" si="10"/>
        <v>0</v>
      </c>
      <c r="K132" s="577">
        <f ca="1"/>
        <v>0.37892366194102889</v>
      </c>
      <c r="L132" s="578">
        <f ca="1"/>
        <v>0.23752411803294673</v>
      </c>
      <c r="M132" s="567">
        <f t="shared" si="11"/>
        <v>7</v>
      </c>
      <c r="N132" s="382" t="s">
        <v>347</v>
      </c>
      <c r="O132" s="579">
        <f ca="1">MAX(VLOOKUP($N132,$N$62:$S$66,$A132+2,0),IF(OFFSET($N$102,$M132,0)=$N132,OFFSET($P$102,$M132,0)-IF($N132="BIO",O131*SHCAP)))/SHCAP</f>
        <v>7.7427068120342448E-3</v>
      </c>
      <c r="P132" s="579">
        <f ca="1">MAX(VLOOKUP($N132,$N$92:$S$96,$A132+2,0),IF(OFFSET($N$102,$M132,0)=$N132,OFFSET($X$102,$M132,0)-IF($N132="BIO",P131*SHCAP)))/SHCAP</f>
        <v>1.7323807092178276E-2</v>
      </c>
      <c r="Q132" s="580">
        <f t="shared" ca="1" si="12"/>
        <v>1.7007009849876648E-2</v>
      </c>
      <c r="R132" s="581">
        <f t="shared" ca="1" si="13"/>
        <v>1.7323807092178276E-2</v>
      </c>
      <c r="S132" s="581">
        <f t="shared" ca="1" si="14"/>
        <v>1.7038272735630102E-2</v>
      </c>
      <c r="T132" s="581">
        <f t="shared" ca="1" si="15"/>
        <v>1.7038272735630102E-2</v>
      </c>
      <c r="U132" s="581">
        <f t="shared" ca="1" si="16"/>
        <v>1.5725231533985213E-2</v>
      </c>
      <c r="V132" s="582">
        <f t="shared" ca="1" si="17"/>
        <v>0</v>
      </c>
      <c r="W132" s="583">
        <f ca="1"/>
        <v>0.3779193294559457</v>
      </c>
      <c r="X132" s="583">
        <f ca="1"/>
        <v>0.38108864981590862</v>
      </c>
      <c r="Y132" s="573">
        <v>3</v>
      </c>
      <c r="AA132" s="574"/>
    </row>
    <row r="133" spans="1:27" hidden="1">
      <c r="A133" s="364">
        <v>2</v>
      </c>
      <c r="B133" s="382" t="s">
        <v>257</v>
      </c>
      <c r="C133" s="552">
        <f ca="1"/>
        <v>356.78013870000461</v>
      </c>
      <c r="D133" s="559">
        <f t="shared" ca="1" si="9"/>
        <v>689.46267278185087</v>
      </c>
      <c r="E133" s="584">
        <f t="shared" ca="1" si="10"/>
        <v>1.0185651819965167</v>
      </c>
      <c r="F133" s="585">
        <f t="shared" ca="1" si="10"/>
        <v>0.97215222700522463</v>
      </c>
      <c r="G133" s="585">
        <f t="shared" ca="1" si="10"/>
        <v>0.81985971844004746</v>
      </c>
      <c r="H133" s="585">
        <f t="shared" ca="1" si="10"/>
        <v>0.57329089504880815</v>
      </c>
      <c r="I133" s="585">
        <f t="shared" ca="1" si="10"/>
        <v>0.35282935884017064</v>
      </c>
      <c r="J133" s="585">
        <f t="shared" ca="1" si="10"/>
        <v>0</v>
      </c>
      <c r="K133" s="586">
        <f ca="1"/>
        <v>0.64082678122379877</v>
      </c>
      <c r="L133" s="587">
        <f ca="1"/>
        <v>0.40169519961454214</v>
      </c>
      <c r="M133" s="567">
        <f t="shared" si="11"/>
        <v>7</v>
      </c>
      <c r="N133" s="382" t="s">
        <v>257</v>
      </c>
      <c r="O133" s="579">
        <f ca="1">MAX(VLOOKUP($N133,$N$62:$S$66,$A133+2,0),IF(OFFSET($N$102,$M133,0)=$N133,OFFSET($P$102,$M133,0)-IF($N133="BIO",O132*SHCAP)))/SHCAP</f>
        <v>6.9780691588279389E-2</v>
      </c>
      <c r="P133" s="579">
        <f ca="1">MAX(VLOOKUP($N133,$N$92:$S$96,$A133+2,0),IF(OFFSET($N$102,$M133,0)=$N133,OFFSET($X$102,$M133,0)-IF($N133="BIO",P132*SHCAP)))/SHCAP</f>
        <v>0.35158177557786102</v>
      </c>
      <c r="Q133" s="588">
        <f t="shared" ca="1" si="12"/>
        <v>0.34515246495612917</v>
      </c>
      <c r="R133" s="589">
        <f t="shared" ca="1" si="13"/>
        <v>0.35158177557786102</v>
      </c>
      <c r="S133" s="589">
        <f t="shared" ca="1" si="14"/>
        <v>0.34578693639906327</v>
      </c>
      <c r="T133" s="589">
        <f t="shared" ca="1" si="15"/>
        <v>0.34578693639906327</v>
      </c>
      <c r="U133" s="589">
        <f t="shared" ca="1" si="16"/>
        <v>0.3191391357958327</v>
      </c>
      <c r="V133" s="590">
        <f t="shared" ca="1" si="17"/>
        <v>0</v>
      </c>
      <c r="W133" s="583">
        <f ca="1"/>
        <v>0.37791932947951995</v>
      </c>
      <c r="X133" s="583">
        <f ca="1"/>
        <v>0.38108864987525226</v>
      </c>
      <c r="Y133" s="573">
        <v>3</v>
      </c>
      <c r="AA133" s="574"/>
    </row>
    <row r="134" spans="1:27" hidden="1">
      <c r="A134" s="364">
        <v>3</v>
      </c>
      <c r="B134" s="382" t="s">
        <v>254</v>
      </c>
      <c r="C134" s="550">
        <f t="array" aca="1" ref="C134:C138" ca="1">OFFSET(C$62:C$66,0,$A134)/SCAP</f>
        <v>47.734968553489018</v>
      </c>
      <c r="D134" s="562">
        <f t="shared" ca="1" si="9"/>
        <v>51.6828948741829</v>
      </c>
      <c r="E134" s="563">
        <f t="shared" ref="E134:J143" ca="1" si="18">IF($D134&gt;0,MIN(OFFSET(E$102,$M134,0)/MIN($D134*SCAP,OFFSET($K$102,$M134,0)),MIN(10^IF($B134=OFFSET($B$102,$M134,0),3,0),MAX(0,$D134*SCAP+OFFSET(E$102,$M134,0)-OFFSET($K$102,$M134,0))/(SCAP*$D134))),0)</f>
        <v>1</v>
      </c>
      <c r="F134" s="564">
        <f t="shared" ca="1" si="18"/>
        <v>0</v>
      </c>
      <c r="G134" s="564">
        <f t="shared" ca="1" si="18"/>
        <v>0</v>
      </c>
      <c r="H134" s="564">
        <f t="shared" ca="1" si="18"/>
        <v>0</v>
      </c>
      <c r="I134" s="564">
        <f t="shared" ca="1" si="18"/>
        <v>0</v>
      </c>
      <c r="J134" s="564">
        <f t="shared" ca="1" si="18"/>
        <v>0</v>
      </c>
      <c r="K134" s="565">
        <f t="array" aca="1" ref="K134:K138" ca="1">IEAData!I$90:I$94*TRANSPOSE(INDEX(C$45:G$48,$A134,0))/IF(C134:C138&gt;0,C134:C138*$C$14,1)*1000/SCAP</f>
        <v>4.5484900548894945E-2</v>
      </c>
      <c r="L134" s="566">
        <f t="array" aca="1" ref="L134:L138" ca="1">AuxData!I$90:I$94*TRANSPOSE(INDEX(C$75:G$78,$A134,0))/IF(D134:D138&gt;0,D134:D138*$C$14,1)*1000/SCAP</f>
        <v>4.1461247012837633E-2</v>
      </c>
      <c r="M134" s="567">
        <f t="shared" si="11"/>
        <v>12</v>
      </c>
      <c r="N134" s="382" t="s">
        <v>254</v>
      </c>
      <c r="O134" s="568">
        <f ca="1">MAX(VLOOKUP($N134,$N$62:$S$66,$A134+2,0),IF(OR(OFFSET($N$102,$M134,0)=$N134,$N134="OIL"),OFFSET($P$102,$M134,0)-IF($N134="BIO",O133*SHCAP)))/SHCAP</f>
        <v>1.9860648951120856</v>
      </c>
      <c r="P134" s="568">
        <f ca="1">MAX(VLOOKUP($N134,$N$92:$S$96,$A134+2,0),IF(OR(OFFSET($N$102,$M134,0)=$N134,$N134="OIL"),OFFSET($X$102,$M134,0)-IF($N134="BIO",P133*SHCAP)))/SHCAP</f>
        <v>1.5312399999999999</v>
      </c>
      <c r="Q134" s="569">
        <f t="shared" ca="1" si="12"/>
        <v>1.5312399999999999</v>
      </c>
      <c r="R134" s="570">
        <f t="shared" ca="1" si="13"/>
        <v>1.2163205663014094</v>
      </c>
      <c r="S134" s="570">
        <f t="shared" ca="1" si="14"/>
        <v>0.78584867893478905</v>
      </c>
      <c r="T134" s="570">
        <f t="shared" ca="1" si="15"/>
        <v>0.61385991092768422</v>
      </c>
      <c r="U134" s="570">
        <f t="shared" ca="1" si="16"/>
        <v>0</v>
      </c>
      <c r="V134" s="571">
        <f t="shared" ca="1" si="17"/>
        <v>0</v>
      </c>
      <c r="W134" s="572">
        <f t="array" aca="1" ref="W134:W138" ca="1">IEAData!$I$101:$I$105*TRANSPOSE(INDEX($O$45:$S$48,$A134,0))/IF(O134:O138&gt;0,O134:O138*$C$14,1)*1000/SHCAP</f>
        <v>4.902697681259572E-2</v>
      </c>
      <c r="X134" s="572">
        <f t="array" aca="1" ref="X134:X138" ca="1">AuxData!$I$101:$I$105*TRANSPOSE(INDEX($O$75:$S$78,$A134,0))/IF(P134:P138&gt;0,P134:P138*$C$14,1)*1000/SHCAP</f>
        <v>2.0789873819012906E-2</v>
      </c>
      <c r="Y134" s="573">
        <v>4</v>
      </c>
      <c r="AA134" s="574"/>
    </row>
    <row r="135" spans="1:27" hidden="1">
      <c r="A135" s="364">
        <v>3</v>
      </c>
      <c r="B135" s="382" t="s">
        <v>255</v>
      </c>
      <c r="C135" s="552">
        <f ca="1"/>
        <v>0</v>
      </c>
      <c r="D135" s="559">
        <f t="shared" ca="1" si="9"/>
        <v>23.653351275662278</v>
      </c>
      <c r="E135" s="575">
        <f t="shared" ca="1" si="18"/>
        <v>0.15219830619537453</v>
      </c>
      <c r="F135" s="576">
        <f t="shared" ca="1" si="18"/>
        <v>0.15219830619537453</v>
      </c>
      <c r="G135" s="576">
        <f t="shared" ca="1" si="18"/>
        <v>0.15219830619537453</v>
      </c>
      <c r="H135" s="576">
        <f t="shared" ca="1" si="18"/>
        <v>0.15219830619537453</v>
      </c>
      <c r="I135" s="576">
        <f t="shared" ca="1" si="18"/>
        <v>0.15219830619537453</v>
      </c>
      <c r="J135" s="576">
        <f t="shared" ca="1" si="18"/>
        <v>0</v>
      </c>
      <c r="K135" s="577">
        <f ca="1"/>
        <v>0</v>
      </c>
      <c r="L135" s="578">
        <f ca="1"/>
        <v>0.16961419232524491</v>
      </c>
      <c r="M135" s="567">
        <f t="shared" si="11"/>
        <v>9</v>
      </c>
      <c r="N135" s="382" t="s">
        <v>255</v>
      </c>
      <c r="O135" s="579">
        <f ca="1">MAX(VLOOKUP($N135,$N$62:$S$66,$A135+2,0),IF(OFFSET($N$102,$M135,0)=$N135,OFFSET($P$102,$M135,0)-IF($N135="BIO",O134*SHCAP)))/SHCAP</f>
        <v>1.9132894092633766E-2</v>
      </c>
      <c r="P135" s="579">
        <f ca="1">MAX(VLOOKUP($N135,$N$92:$S$96,$A135+2,0),IF(OFFSET($N$102,$M135,0)=$N135,OFFSET($X$102,$M135,0)-IF($N135="BIO",P134*SHCAP)))/SHCAP</f>
        <v>5.3134000000000017E-5</v>
      </c>
      <c r="Q135" s="580">
        <f t="shared" ca="1" si="12"/>
        <v>1.7413000000000002E-4</v>
      </c>
      <c r="R135" s="581">
        <f t="shared" ca="1" si="13"/>
        <v>1.2164000000000001E-4</v>
      </c>
      <c r="S135" s="581">
        <f t="shared" ca="1" si="14"/>
        <v>7.8589999999999991E-5</v>
      </c>
      <c r="T135" s="581">
        <f t="shared" ca="1" si="15"/>
        <v>6.1390000000000007E-5</v>
      </c>
      <c r="U135" s="581">
        <f t="shared" ca="1" si="16"/>
        <v>0</v>
      </c>
      <c r="V135" s="582">
        <f t="shared" ca="1" si="17"/>
        <v>0</v>
      </c>
      <c r="W135" s="583">
        <f ca="1"/>
        <v>0.19610790724389549</v>
      </c>
      <c r="X135" s="583">
        <f ca="1"/>
        <v>0</v>
      </c>
      <c r="Y135" s="573">
        <v>1</v>
      </c>
      <c r="AA135" s="574"/>
    </row>
    <row r="136" spans="1:27" hidden="1">
      <c r="A136" s="364">
        <v>3</v>
      </c>
      <c r="B136" s="382" t="s">
        <v>256</v>
      </c>
      <c r="C136" s="552">
        <f ca="1"/>
        <v>359.4688747752528</v>
      </c>
      <c r="D136" s="559">
        <f t="shared" ca="1" si="9"/>
        <v>385</v>
      </c>
      <c r="E136" s="575">
        <f t="shared" ca="1" si="18"/>
        <v>1</v>
      </c>
      <c r="F136" s="576">
        <f t="shared" ca="1" si="18"/>
        <v>1</v>
      </c>
      <c r="G136" s="576">
        <f t="shared" ca="1" si="18"/>
        <v>1</v>
      </c>
      <c r="H136" s="576">
        <f t="shared" ca="1" si="18"/>
        <v>1</v>
      </c>
      <c r="I136" s="576">
        <f t="shared" ca="1" si="18"/>
        <v>1</v>
      </c>
      <c r="J136" s="576">
        <f t="shared" ca="1" si="18"/>
        <v>0</v>
      </c>
      <c r="K136" s="577">
        <f ca="1"/>
        <v>0.40936410494005437</v>
      </c>
      <c r="L136" s="578">
        <f ca="1"/>
        <v>2.8316490691119935E-2</v>
      </c>
      <c r="M136" s="567">
        <f t="shared" si="11"/>
        <v>10</v>
      </c>
      <c r="N136" s="382" t="s">
        <v>256</v>
      </c>
      <c r="O136" s="579">
        <f ca="1">MAX(VLOOKUP($N136,$N$62:$S$66,$A136+2,0),IF(OFFSET($N$102,$M136,0)=$N136,OFFSET($P$102,$M136,0)-IF($N136="BIO",O135*SHCAP)))/SHCAP</f>
        <v>1.6908E-4</v>
      </c>
      <c r="P136" s="579">
        <f ca="1">MAX(VLOOKUP($N136,$N$92:$S$96,$A136+2,0),IF(OFFSET($N$102,$M136,0)=$N136,OFFSET($X$102,$M136,0)-IF($N136="BIO",P135*SHCAP)))/SHCAP</f>
        <v>2.984742020000561E-3</v>
      </c>
      <c r="Q136" s="580">
        <f t="shared" ca="1" si="12"/>
        <v>2.984742020000561E-3</v>
      </c>
      <c r="R136" s="581">
        <f t="shared" ca="1" si="13"/>
        <v>2.3708909798795057E-3</v>
      </c>
      <c r="S136" s="581">
        <f t="shared" ca="1" si="14"/>
        <v>1.5318013984604597E-3</v>
      </c>
      <c r="T136" s="581">
        <f t="shared" ca="1" si="15"/>
        <v>1.1965553868365903E-3</v>
      </c>
      <c r="U136" s="581">
        <f t="shared" ca="1" si="16"/>
        <v>0</v>
      </c>
      <c r="V136" s="582">
        <f t="shared" ca="1" si="17"/>
        <v>0</v>
      </c>
      <c r="W136" s="583">
        <f ca="1"/>
        <v>0.3195861303645533</v>
      </c>
      <c r="X136" s="583">
        <f ca="1"/>
        <v>0.30274977316118012</v>
      </c>
      <c r="Y136" s="573">
        <v>2</v>
      </c>
      <c r="AA136" s="574"/>
    </row>
    <row r="137" spans="1:27" hidden="1">
      <c r="A137" s="364">
        <v>3</v>
      </c>
      <c r="B137" s="382" t="s">
        <v>347</v>
      </c>
      <c r="C137" s="552">
        <f ca="1"/>
        <v>1846.6873288312702</v>
      </c>
      <c r="D137" s="559">
        <f t="shared" ca="1" si="9"/>
        <v>1315.7287484268049</v>
      </c>
      <c r="E137" s="575">
        <f t="shared" ca="1" si="18"/>
        <v>1</v>
      </c>
      <c r="F137" s="576">
        <f t="shared" ca="1" si="18"/>
        <v>0.87003400191379732</v>
      </c>
      <c r="G137" s="576">
        <f t="shared" ca="1" si="18"/>
        <v>0.4269335522982638</v>
      </c>
      <c r="H137" s="576">
        <f t="shared" ca="1" si="18"/>
        <v>0</v>
      </c>
      <c r="I137" s="576">
        <f t="shared" ca="1" si="18"/>
        <v>0</v>
      </c>
      <c r="J137" s="576">
        <f t="shared" ca="1" si="18"/>
        <v>0</v>
      </c>
      <c r="K137" s="577">
        <f ca="1"/>
        <v>0.3559687869043951</v>
      </c>
      <c r="L137" s="578">
        <f ca="1"/>
        <v>0.32447932444829458</v>
      </c>
      <c r="M137" s="567">
        <f t="shared" si="11"/>
        <v>11</v>
      </c>
      <c r="N137" s="382" t="s">
        <v>347</v>
      </c>
      <c r="O137" s="579">
        <f ca="1">MAX(VLOOKUP($N137,$N$62:$S$66,$A137+2,0),IF(OFFSET($N$102,$M137,0)=$N137,OFFSET($P$102,$M137,0)-IF($N137="BIO",O136*SHCAP)))/SHCAP</f>
        <v>0.11982437966932871</v>
      </c>
      <c r="P137" s="579">
        <f ca="1">MAX(VLOOKUP($N137,$N$92:$S$96,$A137+2,0),IF(OFFSET($N$102,$M137,0)=$N137,OFFSET($X$102,$M137,0)-IF($N137="BIO",P136*SHCAP)))/SHCAP</f>
        <v>0.10538431340708615</v>
      </c>
      <c r="Q137" s="580">
        <f t="shared" ca="1" si="12"/>
        <v>0.10538431340708615</v>
      </c>
      <c r="R137" s="581">
        <f t="shared" ca="1" si="13"/>
        <v>7.9251563624964591E-2</v>
      </c>
      <c r="S137" s="581">
        <f t="shared" ca="1" si="14"/>
        <v>7.4096123191756944E-2</v>
      </c>
      <c r="T137" s="581">
        <f t="shared" ca="1" si="15"/>
        <v>7.2673932727423785E-2</v>
      </c>
      <c r="U137" s="581">
        <f t="shared" ca="1" si="16"/>
        <v>4.6754511514952191E-2</v>
      </c>
      <c r="V137" s="582">
        <f t="shared" ca="1" si="17"/>
        <v>0</v>
      </c>
      <c r="W137" s="583">
        <f ca="1"/>
        <v>0.39221581446358084</v>
      </c>
      <c r="X137" s="583">
        <f ca="1"/>
        <v>0.30274977365074934</v>
      </c>
      <c r="Y137" s="573">
        <v>3</v>
      </c>
      <c r="AA137" s="574"/>
    </row>
    <row r="138" spans="1:27" hidden="1">
      <c r="A138" s="364">
        <v>3</v>
      </c>
      <c r="B138" s="382" t="s">
        <v>257</v>
      </c>
      <c r="C138" s="552">
        <f ca="1"/>
        <v>652.23389911019456</v>
      </c>
      <c r="D138" s="559">
        <f t="shared" ca="1" si="9"/>
        <v>1213.0712515731952</v>
      </c>
      <c r="E138" s="584">
        <f t="shared" ca="1" si="18"/>
        <v>1.0939763429824563</v>
      </c>
      <c r="F138" s="585">
        <f t="shared" ca="1" si="18"/>
        <v>0.8590354855263157</v>
      </c>
      <c r="G138" s="585">
        <f t="shared" ca="1" si="18"/>
        <v>0.37843717009849109</v>
      </c>
      <c r="H138" s="585">
        <f t="shared" ca="1" si="18"/>
        <v>0</v>
      </c>
      <c r="I138" s="585">
        <f t="shared" ca="1" si="18"/>
        <v>0</v>
      </c>
      <c r="J138" s="585">
        <f t="shared" ca="1" si="18"/>
        <v>0</v>
      </c>
      <c r="K138" s="586">
        <f ca="1"/>
        <v>0.6020060366765505</v>
      </c>
      <c r="L138" s="587">
        <f ca="1"/>
        <v>0.42926264046376816</v>
      </c>
      <c r="M138" s="567">
        <f t="shared" si="11"/>
        <v>11</v>
      </c>
      <c r="N138" s="382" t="s">
        <v>257</v>
      </c>
      <c r="O138" s="579">
        <f ca="1">MAX(VLOOKUP($N138,$N$62:$S$66,$A138+2,0),IF(OFFSET($N$102,$M138,0)=$N138,OFFSET($P$102,$M138,0)-IF($N138="BIO",O137*SHCAP)))/SHCAP</f>
        <v>0.21407562033067126</v>
      </c>
      <c r="P138" s="579">
        <f ca="1">MAX(VLOOKUP($N138,$N$92:$S$96,$A138+2,0),IF(OFFSET($N$102,$M138,0)=$N138,OFFSET($X$102,$M138,0)-IF($N138="BIO",P137*SHCAP)))/SHCAP</f>
        <v>0.28010537714756245</v>
      </c>
      <c r="Q138" s="588">
        <f t="shared" ca="1" si="12"/>
        <v>0.28010537714756245</v>
      </c>
      <c r="R138" s="589">
        <f t="shared" ca="1" si="13"/>
        <v>0.21064604779416896</v>
      </c>
      <c r="S138" s="589">
        <f t="shared" ca="1" si="14"/>
        <v>0.19694318690132262</v>
      </c>
      <c r="T138" s="589">
        <f t="shared" ca="1" si="15"/>
        <v>0.19316308734467533</v>
      </c>
      <c r="U138" s="589">
        <f t="shared" ca="1" si="16"/>
        <v>0.12427077292477891</v>
      </c>
      <c r="V138" s="590">
        <f t="shared" ca="1" si="17"/>
        <v>0</v>
      </c>
      <c r="W138" s="583">
        <f ca="1"/>
        <v>0.12503246505953711</v>
      </c>
      <c r="X138" s="583">
        <f ca="1"/>
        <v>0.30274977369789385</v>
      </c>
      <c r="Y138" s="573">
        <v>3</v>
      </c>
      <c r="AA138" s="574"/>
    </row>
    <row r="139" spans="1:27" hidden="1">
      <c r="A139" s="364">
        <v>4</v>
      </c>
      <c r="B139" s="382" t="s">
        <v>254</v>
      </c>
      <c r="C139" s="550">
        <f t="array" aca="1" ref="C139:C143" ca="1">OFFSET(C$62:C$66,0,$A139)/SCAP</f>
        <v>44.636886991280605</v>
      </c>
      <c r="D139" s="562">
        <f t="shared" ca="1" si="9"/>
        <v>51.168906383766974</v>
      </c>
      <c r="E139" s="563">
        <f t="shared" ca="1" si="18"/>
        <v>0.99999999999999989</v>
      </c>
      <c r="F139" s="564">
        <f t="shared" ca="1" si="18"/>
        <v>0.99999999999999989</v>
      </c>
      <c r="G139" s="564">
        <f t="shared" ca="1" si="18"/>
        <v>0.23781837924188035</v>
      </c>
      <c r="H139" s="564">
        <f t="shared" ca="1" si="18"/>
        <v>0</v>
      </c>
      <c r="I139" s="564">
        <f t="shared" ca="1" si="18"/>
        <v>0</v>
      </c>
      <c r="J139" s="564">
        <f t="shared" ca="1" si="18"/>
        <v>0</v>
      </c>
      <c r="K139" s="565">
        <f t="array" aca="1" ref="K139:K143" ca="1">IEAData!I$90:I$94*TRANSPOSE(INDEX(C$45:G$48,$A139,0))/IF(C139:C143&gt;0,C139:C143*$C$14,1)*1000/SCAP</f>
        <v>3.9493971542087225E-2</v>
      </c>
      <c r="L139" s="566">
        <f t="array" aca="1" ref="L139:L143" ca="1">AuxData!I$90:I$94*TRANSPOSE(INDEX(C$75:G$78,$A139,0))/IF(D139:D143&gt;0,D139:D143*$C$14,1)*1000/SCAP</f>
        <v>3.6742852040323619E-2</v>
      </c>
      <c r="M139" s="567">
        <f t="shared" si="11"/>
        <v>16</v>
      </c>
      <c r="N139" s="382" t="s">
        <v>254</v>
      </c>
      <c r="O139" s="568">
        <f ca="1">MAX(VLOOKUP($N139,$N$62:$S$66,$A139+2,0),IF(OR(OFFSET($N$102,$M139,0)=$N139,$N139="OIL"),OFFSET($P$102,$M139,0)-IF($N139="BIO",O138*SHCAP)))/SHCAP</f>
        <v>2.8172890577360765</v>
      </c>
      <c r="P139" s="568">
        <f ca="1">MAX(VLOOKUP($N139,$N$92:$S$96,$A139+2,0),IF(OR(OFFSET($N$102,$M139,0)=$N139,$N139="OIL"),OFFSET($X$102,$M139,0)-IF($N139="BIO",P138*SHCAP)))/SHCAP</f>
        <v>1.4474625444362257</v>
      </c>
      <c r="Q139" s="569">
        <f t="shared" ca="1" si="12"/>
        <v>1.4474625444362257</v>
      </c>
      <c r="R139" s="570">
        <f t="shared" ca="1" si="13"/>
        <v>1.1922848803524257</v>
      </c>
      <c r="S139" s="570">
        <f t="shared" ca="1" si="14"/>
        <v>0.64158361344622938</v>
      </c>
      <c r="T139" s="570">
        <f t="shared" ca="1" si="15"/>
        <v>0.35853813600690426</v>
      </c>
      <c r="U139" s="570">
        <f t="shared" ca="1" si="16"/>
        <v>6.7797814581351964E-2</v>
      </c>
      <c r="V139" s="571">
        <f t="shared" ca="1" si="17"/>
        <v>0</v>
      </c>
      <c r="W139" s="572">
        <f t="array" aca="1" ref="W139:W143" ca="1">IEAData!$I$101:$I$105*TRANSPOSE(INDEX($O$45:$S$48,$A139,0))/IF(O139:O143&gt;0,O139:O143*$C$14,1)*1000/SHCAP</f>
        <v>7.3717533149251613E-2</v>
      </c>
      <c r="X139" s="591">
        <f t="array" aca="1" ref="X139:X143" ca="1">AuxData!$I$101:$I$105*TRANSPOSE(INDEX($O$75:$S$78,$A139,0))/IF(P139:P143&gt;0,P139:P143*$C$14,1)*1000/SHCAP</f>
        <v>4.933375941521715E-2</v>
      </c>
      <c r="Y139" s="573">
        <v>4</v>
      </c>
      <c r="AA139" s="574"/>
    </row>
    <row r="140" spans="1:27" hidden="1">
      <c r="A140" s="364">
        <v>4</v>
      </c>
      <c r="B140" s="382" t="s">
        <v>255</v>
      </c>
      <c r="C140" s="552">
        <f ca="1"/>
        <v>3.5936447726068437</v>
      </c>
      <c r="D140" s="559">
        <f t="shared" ca="1" si="9"/>
        <v>7</v>
      </c>
      <c r="E140" s="575">
        <f t="shared" ca="1" si="18"/>
        <v>1</v>
      </c>
      <c r="F140" s="576">
        <f t="shared" ca="1" si="18"/>
        <v>1</v>
      </c>
      <c r="G140" s="576">
        <f t="shared" ca="1" si="18"/>
        <v>1</v>
      </c>
      <c r="H140" s="576">
        <f t="shared" ca="1" si="18"/>
        <v>1</v>
      </c>
      <c r="I140" s="576">
        <f t="shared" ca="1" si="18"/>
        <v>0</v>
      </c>
      <c r="J140" s="576">
        <f t="shared" ca="1" si="18"/>
        <v>0</v>
      </c>
      <c r="K140" s="577">
        <f ca="1"/>
        <v>0.16156624721762955</v>
      </c>
      <c r="L140" s="578">
        <f ca="1"/>
        <v>0</v>
      </c>
      <c r="M140" s="567">
        <f t="shared" si="11"/>
        <v>13</v>
      </c>
      <c r="N140" s="382" t="s">
        <v>255</v>
      </c>
      <c r="O140" s="579">
        <f ca="1">MAX(VLOOKUP($N140,$N$62:$S$66,$A140+2,0),IF(OFFSET($N$102,$M140,0)=$N140,OFFSET($P$102,$M140,0)-IF($N140="BIO",O139*SHCAP)))/SHCAP</f>
        <v>1.04E-2</v>
      </c>
      <c r="P140" s="579">
        <f ca="1">MAX(VLOOKUP($N140,$N$92:$S$96,$A140+2,0),IF(OFFSET($N$102,$M140,0)=$N140,OFFSET($X$102,$M140,0)-IF($N140="BIO",P139*SHCAP)))/SHCAP</f>
        <v>1.03E-2</v>
      </c>
      <c r="Q140" s="580">
        <f t="shared" ca="1" si="12"/>
        <v>1.04E-2</v>
      </c>
      <c r="R140" s="581">
        <f t="shared" ca="1" si="13"/>
        <v>1.04E-2</v>
      </c>
      <c r="S140" s="581">
        <f t="shared" ca="1" si="14"/>
        <v>1.04E-2</v>
      </c>
      <c r="T140" s="581">
        <f t="shared" ca="1" si="15"/>
        <v>1.04E-2</v>
      </c>
      <c r="U140" s="581">
        <f t="shared" ca="1" si="16"/>
        <v>6.5200000000000003E-6</v>
      </c>
      <c r="V140" s="582">
        <f t="shared" ca="1" si="17"/>
        <v>0</v>
      </c>
      <c r="W140" s="583">
        <f ca="1"/>
        <v>7.4445086517918688E-2</v>
      </c>
      <c r="X140" s="592">
        <f ca="1"/>
        <v>3.1675852616164138E-2</v>
      </c>
      <c r="Y140" s="573">
        <v>1</v>
      </c>
      <c r="AA140" s="574"/>
    </row>
    <row r="141" spans="1:27" hidden="1">
      <c r="A141" s="364">
        <v>4</v>
      </c>
      <c r="B141" s="382" t="s">
        <v>256</v>
      </c>
      <c r="C141" s="552">
        <f ca="1"/>
        <v>52.257549937993922</v>
      </c>
      <c r="D141" s="559">
        <f t="shared" ca="1" si="9"/>
        <v>202</v>
      </c>
      <c r="E141" s="575">
        <f t="shared" ca="1" si="18"/>
        <v>0.92079207920792083</v>
      </c>
      <c r="F141" s="576">
        <f t="shared" ca="1" si="18"/>
        <v>1.1188118811881189</v>
      </c>
      <c r="G141" s="576">
        <f t="shared" ca="1" si="18"/>
        <v>0.86633663366336633</v>
      </c>
      <c r="H141" s="576">
        <f t="shared" ca="1" si="18"/>
        <v>0.86633663366336633</v>
      </c>
      <c r="I141" s="576">
        <f t="shared" ca="1" si="18"/>
        <v>0.19801980198019803</v>
      </c>
      <c r="J141" s="576">
        <f t="shared" ca="1" si="18"/>
        <v>0.19801980198019803</v>
      </c>
      <c r="K141" s="577">
        <f ca="1"/>
        <v>0.35544574387878497</v>
      </c>
      <c r="L141" s="578">
        <f ca="1"/>
        <v>3.163949089979478E-2</v>
      </c>
      <c r="M141" s="567">
        <f t="shared" si="11"/>
        <v>14</v>
      </c>
      <c r="N141" s="382" t="s">
        <v>256</v>
      </c>
      <c r="O141" s="579">
        <f ca="1">MAX(VLOOKUP($N141,$N$62:$S$66,$A141+2,0),IF(OFFSET($N$102,$M141,0)=$N141,OFFSET($P$102,$M141,0)-IF($N141="BIO",O140*SHCAP)))/SHCAP</f>
        <v>1.4937999999999998E-4</v>
      </c>
      <c r="P141" s="579">
        <f ca="1">MAX(VLOOKUP($N141,$N$92:$S$96,$A141+2,0),IF(OFFSET($N$102,$M141,0)=$N141,OFFSET($X$102,$M141,0)-IF($N141="BIO",P140*SHCAP)))/SHCAP</f>
        <v>2.9764581500388881E-2</v>
      </c>
      <c r="Q141" s="580">
        <f t="shared" ca="1" si="12"/>
        <v>2.9764581500388881E-2</v>
      </c>
      <c r="R141" s="581">
        <f t="shared" ca="1" si="13"/>
        <v>2.4517291054846187E-2</v>
      </c>
      <c r="S141" s="581">
        <f t="shared" ca="1" si="14"/>
        <v>1.3193065219640761E-2</v>
      </c>
      <c r="T141" s="581">
        <f t="shared" ca="1" si="15"/>
        <v>7.3727210498089717E-3</v>
      </c>
      <c r="U141" s="581">
        <f t="shared" ca="1" si="16"/>
        <v>1.3941456277481001E-3</v>
      </c>
      <c r="V141" s="582">
        <f t="shared" ca="1" si="17"/>
        <v>0</v>
      </c>
      <c r="W141" s="583">
        <f ca="1"/>
        <v>0.13025726704725027</v>
      </c>
      <c r="X141" s="592">
        <f ca="1"/>
        <v>0.39467007467731674</v>
      </c>
      <c r="Y141" s="573">
        <v>2</v>
      </c>
      <c r="AA141" s="574"/>
    </row>
    <row r="142" spans="1:27" hidden="1">
      <c r="A142" s="364">
        <v>4</v>
      </c>
      <c r="B142" s="382" t="s">
        <v>347</v>
      </c>
      <c r="C142" s="552">
        <f ca="1"/>
        <v>738.70782377082469</v>
      </c>
      <c r="D142" s="559">
        <f t="shared" ca="1" si="9"/>
        <v>498.22010042349859</v>
      </c>
      <c r="E142" s="575">
        <f t="shared" ca="1" si="18"/>
        <v>1</v>
      </c>
      <c r="F142" s="576">
        <f t="shared" ca="1" si="18"/>
        <v>0.62594845161487878</v>
      </c>
      <c r="G142" s="576">
        <f t="shared" ca="1" si="18"/>
        <v>0.26064805557446252</v>
      </c>
      <c r="H142" s="576">
        <f t="shared" ca="1" si="18"/>
        <v>0</v>
      </c>
      <c r="I142" s="576">
        <f t="shared" ca="1" si="18"/>
        <v>0</v>
      </c>
      <c r="J142" s="576">
        <f t="shared" ca="1" si="18"/>
        <v>0</v>
      </c>
      <c r="K142" s="577">
        <f ca="1"/>
        <v>0.30908325554676952</v>
      </c>
      <c r="L142" s="578">
        <f ca="1"/>
        <v>0.28755275509818484</v>
      </c>
      <c r="M142" s="567">
        <f t="shared" si="11"/>
        <v>15</v>
      </c>
      <c r="N142" s="382" t="s">
        <v>347</v>
      </c>
      <c r="O142" s="579">
        <f ca="1">MAX(VLOOKUP($N142,$N$62:$S$66,$A142+2,0),IF(OFFSET($N$102,$M142,0)=$N142,OFFSET($P$102,$M142,0)-IF($N142="BIO",O141*SHCAP)))/SHCAP</f>
        <v>0.18737277565811752</v>
      </c>
      <c r="P142" s="579">
        <f ca="1">MAX(VLOOKUP($N142,$N$92:$S$96,$A142+2,0),IF(OFFSET($N$102,$M142,0)=$N142,OFFSET($X$102,$M142,0)-IF($N142="BIO",P141*SHCAP)))/SHCAP</f>
        <v>0.2806284820258142</v>
      </c>
      <c r="Q142" s="580">
        <f t="shared" ca="1" si="12"/>
        <v>0.2806284820258142</v>
      </c>
      <c r="R142" s="581">
        <f t="shared" ca="1" si="13"/>
        <v>0.26058082334989496</v>
      </c>
      <c r="S142" s="581">
        <f t="shared" ca="1" si="14"/>
        <v>0.18767320281254238</v>
      </c>
      <c r="T142" s="581">
        <f t="shared" ca="1" si="15"/>
        <v>0.16559172369124003</v>
      </c>
      <c r="U142" s="581">
        <f t="shared" ca="1" si="16"/>
        <v>5.6114074574046366E-2</v>
      </c>
      <c r="V142" s="582">
        <f t="shared" ca="1" si="17"/>
        <v>0</v>
      </c>
      <c r="W142" s="583">
        <f ca="1"/>
        <v>0.58974026513810107</v>
      </c>
      <c r="X142" s="592">
        <f ca="1"/>
        <v>0.39467007531552806</v>
      </c>
      <c r="Y142" s="573">
        <v>3</v>
      </c>
      <c r="AA142" s="574"/>
    </row>
    <row r="143" spans="1:27" hidden="1">
      <c r="A143" s="364">
        <v>4</v>
      </c>
      <c r="B143" s="382" t="s">
        <v>257</v>
      </c>
      <c r="C143" s="558">
        <f ca="1"/>
        <v>419.3449412816172</v>
      </c>
      <c r="D143" s="433">
        <f t="shared" ca="1" si="9"/>
        <v>1030.2398995765016</v>
      </c>
      <c r="E143" s="584">
        <f t="shared" ca="1" si="18"/>
        <v>1.1205932715778828</v>
      </c>
      <c r="F143" s="585">
        <f t="shared" ca="1" si="18"/>
        <v>0.81911009263317536</v>
      </c>
      <c r="G143" s="585">
        <f t="shared" ca="1" si="18"/>
        <v>0.64245220928502089</v>
      </c>
      <c r="H143" s="585">
        <f t="shared" ca="1" si="18"/>
        <v>0.3095200445134989</v>
      </c>
      <c r="I143" s="585">
        <f t="shared" ca="1" si="18"/>
        <v>0</v>
      </c>
      <c r="J143" s="585">
        <f t="shared" ca="1" si="18"/>
        <v>0</v>
      </c>
      <c r="K143" s="586">
        <f ca="1"/>
        <v>0.52271432923350725</v>
      </c>
      <c r="L143" s="587">
        <f ca="1"/>
        <v>0.21179365159986954</v>
      </c>
      <c r="M143" s="567">
        <f t="shared" si="11"/>
        <v>15</v>
      </c>
      <c r="N143" s="382" t="s">
        <v>257</v>
      </c>
      <c r="O143" s="554">
        <f ca="1">MAX(VLOOKUP($N143,$N$62:$S$66,$A143+2,0),IF(OFFSET($N$102,$M143,0)=$N143,OFFSET($P$102,$M143,0)-IF($N143="BIO",O142*SHCAP)))/SHCAP</f>
        <v>1.1368272243418827</v>
      </c>
      <c r="P143" s="554">
        <f ca="1">MAX(VLOOKUP($N143,$N$92:$S$96,$A143+2,0),IF(OFFSET($N$102,$M143,0)=$N143,OFFSET($X$102,$M143,0)-IF($N143="BIO",P142*SHCAP)))/SHCAP</f>
        <v>1.3688661834326041</v>
      </c>
      <c r="Q143" s="588">
        <f t="shared" ca="1" si="12"/>
        <v>1.3688661834326041</v>
      </c>
      <c r="R143" s="589">
        <f t="shared" ca="1" si="13"/>
        <v>1.271076529936418</v>
      </c>
      <c r="S143" s="589">
        <f t="shared" ca="1" si="14"/>
        <v>0.91544343258410421</v>
      </c>
      <c r="T143" s="589">
        <f t="shared" ca="1" si="15"/>
        <v>0.80773308960279777</v>
      </c>
      <c r="U143" s="589">
        <f t="shared" ca="1" si="16"/>
        <v>0.27371654703232012</v>
      </c>
      <c r="V143" s="590">
        <f t="shared" ca="1" si="17"/>
        <v>0</v>
      </c>
      <c r="W143" s="593">
        <f ca="1"/>
        <v>0.15200743559187652</v>
      </c>
      <c r="X143" s="594">
        <f ca="1"/>
        <v>0.39467007537698645</v>
      </c>
      <c r="Y143" s="573">
        <v>3</v>
      </c>
      <c r="AA143" s="574"/>
    </row>
    <row r="144" spans="1:27" hidden="1">
      <c r="C144" s="386">
        <f ca="1">SUM(C124:C143)</f>
        <v>7735.871874918148</v>
      </c>
      <c r="D144" s="386">
        <f ca="1">SUM(D124:D143)</f>
        <v>8727.6454810178075</v>
      </c>
      <c r="O144" s="415">
        <f ca="1">SUM(O124:O143)</f>
        <v>9.96530222989702</v>
      </c>
      <c r="P144" s="415">
        <f ca="1">SUM(P124:P143)</f>
        <v>8.9626665669692098</v>
      </c>
      <c r="Q144" s="415">
        <f ca="1">SUM(Q124:Q143)</f>
        <v>9.0451173513480576</v>
      </c>
    </row>
    <row r="145" spans="1:22" hidden="1">
      <c r="A145" s="364">
        <v>0</v>
      </c>
      <c r="B145" s="382" t="s">
        <v>597</v>
      </c>
      <c r="C145" s="550">
        <f t="array" aca="1" ref="C145:C148" ca="1">E$38*$H$45:$H$48*1000/SCAP</f>
        <v>89.998178567814634</v>
      </c>
      <c r="D145" s="550">
        <f t="array" aca="1" ref="D145:D148" ca="1">F$38*$H$75:$H$78*1000/SCAP</f>
        <v>108.7047979901306</v>
      </c>
      <c r="E145" s="595">
        <f t="shared" ref="E145:J148" ca="1" si="19">OFFSET(E$102,$M145,0)/OFFSET($K$102,$M145,0)*$D145</f>
        <v>90.587331658442167</v>
      </c>
      <c r="F145" s="596">
        <f t="shared" ca="1" si="19"/>
        <v>135.88099748766325</v>
      </c>
      <c r="G145" s="596">
        <f t="shared" ca="1" si="19"/>
        <v>135.88099748766325</v>
      </c>
      <c r="H145" s="596">
        <f t="shared" ca="1" si="19"/>
        <v>135.88099748766325</v>
      </c>
      <c r="I145" s="596">
        <f t="shared" ca="1" si="19"/>
        <v>135.88099748766325</v>
      </c>
      <c r="J145" s="597">
        <f t="shared" ca="1" si="19"/>
        <v>45.293665829221084</v>
      </c>
      <c r="M145" s="388">
        <v>17</v>
      </c>
      <c r="N145" s="382" t="s">
        <v>597</v>
      </c>
      <c r="O145" s="568">
        <f t="array" aca="1" ref="O145:O148" ca="1">OFFSET(P$102,$M$145,0)/SHCAP*$T$45:$T$48</f>
        <v>1.9149694950130799E-2</v>
      </c>
      <c r="P145" s="598">
        <f t="array" aca="1" ref="P145:P148" ca="1">OFFSET(X$102,$M145,0)/SHCAP*$T$75:$T$78</f>
        <v>8.8697077756710721E-2</v>
      </c>
      <c r="Q145" s="569">
        <f t="shared" ref="Q145:V152" ca="1" si="20">OFFSET(Q$102,$M145,0)/OFFSET($X$102,$M145,0)*$P145</f>
        <v>8.8697077756710721E-2</v>
      </c>
      <c r="R145" s="570">
        <f t="shared" ca="1" si="20"/>
        <v>8.8697077756710721E-2</v>
      </c>
      <c r="S145" s="570">
        <f t="shared" ca="1" si="20"/>
        <v>8.8697077756710721E-2</v>
      </c>
      <c r="T145" s="570">
        <f t="shared" ca="1" si="20"/>
        <v>8.8697077756710721E-2</v>
      </c>
      <c r="U145" s="570">
        <f t="shared" ca="1" si="20"/>
        <v>8.8697077756710721E-2</v>
      </c>
      <c r="V145" s="571">
        <f t="shared" ca="1" si="20"/>
        <v>0</v>
      </c>
    </row>
    <row r="146" spans="1:22" hidden="1">
      <c r="A146" s="364">
        <v>0</v>
      </c>
      <c r="B146" s="382" t="s">
        <v>597</v>
      </c>
      <c r="C146" s="552">
        <f ca="1"/>
        <v>68.042635005228192</v>
      </c>
      <c r="D146" s="552">
        <f ca="1"/>
        <v>82.185673206554156</v>
      </c>
      <c r="E146" s="599">
        <f t="shared" ca="1" si="19"/>
        <v>68.488061005461802</v>
      </c>
      <c r="F146" s="600">
        <f t="shared" ca="1" si="19"/>
        <v>102.7320915081927</v>
      </c>
      <c r="G146" s="600">
        <f t="shared" ca="1" si="19"/>
        <v>102.7320915081927</v>
      </c>
      <c r="H146" s="600">
        <f t="shared" ca="1" si="19"/>
        <v>102.7320915081927</v>
      </c>
      <c r="I146" s="600">
        <f t="shared" ca="1" si="19"/>
        <v>102.7320915081927</v>
      </c>
      <c r="J146" s="601">
        <f t="shared" ca="1" si="19"/>
        <v>34.244030502730901</v>
      </c>
      <c r="M146" s="388">
        <v>17</v>
      </c>
      <c r="N146" s="382" t="s">
        <v>597</v>
      </c>
      <c r="O146" s="579">
        <f ca="1"/>
        <v>1.1244107772197608E-2</v>
      </c>
      <c r="P146" s="602">
        <f ca="1"/>
        <v>5.2080176941337361E-2</v>
      </c>
      <c r="Q146" s="580">
        <f t="shared" ca="1" si="20"/>
        <v>5.2080176941337361E-2</v>
      </c>
      <c r="R146" s="581">
        <f t="shared" ca="1" si="20"/>
        <v>5.2080176941337361E-2</v>
      </c>
      <c r="S146" s="581">
        <f t="shared" ca="1" si="20"/>
        <v>5.2080176941337361E-2</v>
      </c>
      <c r="T146" s="581">
        <f t="shared" ca="1" si="20"/>
        <v>5.2080176941337361E-2</v>
      </c>
      <c r="U146" s="581">
        <f t="shared" ca="1" si="20"/>
        <v>5.2080176941337361E-2</v>
      </c>
      <c r="V146" s="582">
        <f t="shared" ca="1" si="20"/>
        <v>0</v>
      </c>
    </row>
    <row r="147" spans="1:22" hidden="1">
      <c r="A147" s="364">
        <v>0</v>
      </c>
      <c r="B147" s="382" t="s">
        <v>597</v>
      </c>
      <c r="C147" s="552">
        <f ca="1"/>
        <v>42.10058353290384</v>
      </c>
      <c r="D147" s="552">
        <f ca="1"/>
        <v>50.851422784767358</v>
      </c>
      <c r="E147" s="599">
        <f t="shared" ca="1" si="19"/>
        <v>42.376185653972797</v>
      </c>
      <c r="F147" s="600">
        <f t="shared" ca="1" si="19"/>
        <v>63.564278480959196</v>
      </c>
      <c r="G147" s="600">
        <f t="shared" ca="1" si="19"/>
        <v>63.564278480959196</v>
      </c>
      <c r="H147" s="600">
        <f t="shared" ca="1" si="19"/>
        <v>63.564278480959196</v>
      </c>
      <c r="I147" s="600">
        <f t="shared" ca="1" si="19"/>
        <v>63.564278480959196</v>
      </c>
      <c r="J147" s="601">
        <f t="shared" ca="1" si="19"/>
        <v>21.188092826986399</v>
      </c>
      <c r="M147" s="388">
        <v>17</v>
      </c>
      <c r="N147" s="382" t="s">
        <v>597</v>
      </c>
      <c r="O147" s="579">
        <f ca="1"/>
        <v>6.599386284807318E-3</v>
      </c>
      <c r="P147" s="602">
        <f ca="1"/>
        <v>3.0566872212558497E-2</v>
      </c>
      <c r="Q147" s="580">
        <f t="shared" ca="1" si="20"/>
        <v>3.0566872212558497E-2</v>
      </c>
      <c r="R147" s="581">
        <f t="shared" ca="1" si="20"/>
        <v>3.0566872212558497E-2</v>
      </c>
      <c r="S147" s="581">
        <f t="shared" ca="1" si="20"/>
        <v>3.0566872212558497E-2</v>
      </c>
      <c r="T147" s="581">
        <f t="shared" ca="1" si="20"/>
        <v>3.0566872212558497E-2</v>
      </c>
      <c r="U147" s="581">
        <f t="shared" ca="1" si="20"/>
        <v>3.0566872212558497E-2</v>
      </c>
      <c r="V147" s="582">
        <f t="shared" ca="1" si="20"/>
        <v>0</v>
      </c>
    </row>
    <row r="148" spans="1:22" hidden="1">
      <c r="A148" s="364">
        <v>0</v>
      </c>
      <c r="B148" s="382" t="s">
        <v>597</v>
      </c>
      <c r="C148" s="558">
        <f ca="1"/>
        <v>51.858602894053355</v>
      </c>
      <c r="D148" s="558">
        <f ca="1"/>
        <v>62.637700466356861</v>
      </c>
      <c r="E148" s="603">
        <f t="shared" ca="1" si="19"/>
        <v>52.198083721964053</v>
      </c>
      <c r="F148" s="604">
        <f t="shared" ca="1" si="19"/>
        <v>78.29712558294608</v>
      </c>
      <c r="G148" s="604">
        <f t="shared" ca="1" si="19"/>
        <v>78.29712558294608</v>
      </c>
      <c r="H148" s="604">
        <f t="shared" ca="1" si="19"/>
        <v>78.29712558294608</v>
      </c>
      <c r="I148" s="604">
        <f t="shared" ca="1" si="19"/>
        <v>78.29712558294608</v>
      </c>
      <c r="J148" s="605">
        <f t="shared" ca="1" si="19"/>
        <v>26.099041860982027</v>
      </c>
      <c r="M148" s="388">
        <v>17</v>
      </c>
      <c r="N148" s="382" t="s">
        <v>597</v>
      </c>
      <c r="O148" s="554">
        <f ca="1"/>
        <v>1.4676569255446447E-2</v>
      </c>
      <c r="P148" s="606">
        <f ca="1"/>
        <v>6.7978566125576428E-2</v>
      </c>
      <c r="Q148" s="588">
        <f t="shared" ca="1" si="20"/>
        <v>6.7978566125576428E-2</v>
      </c>
      <c r="R148" s="589">
        <f t="shared" ca="1" si="20"/>
        <v>6.7978566125576428E-2</v>
      </c>
      <c r="S148" s="589">
        <f t="shared" ca="1" si="20"/>
        <v>6.7978566125576428E-2</v>
      </c>
      <c r="T148" s="589">
        <f t="shared" ca="1" si="20"/>
        <v>6.7978566125576428E-2</v>
      </c>
      <c r="U148" s="589">
        <f t="shared" ca="1" si="20"/>
        <v>6.7978566125576428E-2</v>
      </c>
      <c r="V148" s="590">
        <f t="shared" ca="1" si="20"/>
        <v>0</v>
      </c>
    </row>
    <row r="149" spans="1:22" hidden="1">
      <c r="D149" s="607"/>
      <c r="M149" s="388">
        <v>18</v>
      </c>
      <c r="N149" s="382" t="s">
        <v>648</v>
      </c>
      <c r="O149" s="568">
        <f t="array" aca="1" ref="O149:O152" ca="1">OFFSET(P$102,$M$149,0)/SHCAP*$U$45:$U$48</f>
        <v>3.3544731557102692E-2</v>
      </c>
      <c r="P149" s="598">
        <f t="array" aca="1" ref="P149:P152" ca="1">OFFSET(X$102,$M149,0)/SHCAP*$U$75:$U$78</f>
        <v>5.8297361060079211E-2</v>
      </c>
      <c r="Q149" s="569">
        <f t="shared" ca="1" si="20"/>
        <v>5.599592984335252E-2</v>
      </c>
      <c r="R149" s="570">
        <f t="shared" ca="1" si="20"/>
        <v>5.599592984335252E-2</v>
      </c>
      <c r="S149" s="570">
        <f t="shared" ca="1" si="20"/>
        <v>5.4147007631543717E-2</v>
      </c>
      <c r="T149" s="570">
        <f t="shared" ca="1" si="20"/>
        <v>5.4147007631543717E-2</v>
      </c>
      <c r="U149" s="570">
        <f t="shared" ca="1" si="20"/>
        <v>3.1695809345293879E-3</v>
      </c>
      <c r="V149" s="571">
        <f t="shared" ca="1" si="20"/>
        <v>0</v>
      </c>
    </row>
    <row r="150" spans="1:22" hidden="1">
      <c r="M150" s="388">
        <v>18</v>
      </c>
      <c r="N150" s="382" t="s">
        <v>648</v>
      </c>
      <c r="O150" s="579">
        <f ca="1"/>
        <v>3.601365644664613E-3</v>
      </c>
      <c r="P150" s="602">
        <f ca="1"/>
        <v>6.2588103571192084E-3</v>
      </c>
      <c r="Q150" s="580">
        <f t="shared" ca="1" si="20"/>
        <v>6.0117284777078577E-3</v>
      </c>
      <c r="R150" s="581">
        <f t="shared" ca="1" si="20"/>
        <v>6.0117284777078577E-3</v>
      </c>
      <c r="S150" s="581">
        <f t="shared" ca="1" si="20"/>
        <v>5.8132280091042965E-3</v>
      </c>
      <c r="T150" s="581">
        <f t="shared" ca="1" si="20"/>
        <v>5.8132280091042965E-3</v>
      </c>
      <c r="U150" s="581">
        <f t="shared" ca="1" si="20"/>
        <v>3.4028651760610514E-4</v>
      </c>
      <c r="V150" s="582">
        <f t="shared" ca="1" si="20"/>
        <v>0</v>
      </c>
    </row>
    <row r="151" spans="1:22" hidden="1">
      <c r="M151" s="388">
        <v>18</v>
      </c>
      <c r="N151" s="382" t="s">
        <v>648</v>
      </c>
      <c r="O151" s="579">
        <f ca="1"/>
        <v>3.8258133618958344E-5</v>
      </c>
      <c r="P151" s="602">
        <f ca="1"/>
        <v>6.6488778581294696E-5</v>
      </c>
      <c r="Q151" s="580">
        <f t="shared" ca="1" si="20"/>
        <v>6.3863971080465898E-5</v>
      </c>
      <c r="R151" s="581">
        <f t="shared" ca="1" si="20"/>
        <v>6.3863971080465898E-5</v>
      </c>
      <c r="S151" s="581">
        <f t="shared" ca="1" si="20"/>
        <v>6.17552550542241E-5</v>
      </c>
      <c r="T151" s="581">
        <f t="shared" ca="1" si="20"/>
        <v>6.17552550542241E-5</v>
      </c>
      <c r="U151" s="581">
        <f t="shared" ca="1" si="20"/>
        <v>3.6149417592716548E-6</v>
      </c>
      <c r="V151" s="582">
        <f t="shared" ca="1" si="20"/>
        <v>0</v>
      </c>
    </row>
    <row r="152" spans="1:22" hidden="1">
      <c r="M152" s="388">
        <v>18</v>
      </c>
      <c r="N152" s="382" t="s">
        <v>648</v>
      </c>
      <c r="O152" s="554">
        <f ca="1"/>
        <v>9.156446646137364E-4</v>
      </c>
      <c r="P152" s="606">
        <f ca="1"/>
        <v>1.5912981007123197E-3</v>
      </c>
      <c r="Q152" s="588">
        <f t="shared" ca="1" si="20"/>
        <v>1.5284777078591505E-3</v>
      </c>
      <c r="R152" s="589">
        <f t="shared" ca="1" si="20"/>
        <v>1.5284777078591505E-3</v>
      </c>
      <c r="S152" s="589">
        <f t="shared" ca="1" si="20"/>
        <v>1.4780091042977635E-3</v>
      </c>
      <c r="T152" s="589">
        <f t="shared" ca="1" si="20"/>
        <v>1.4780091042977635E-3</v>
      </c>
      <c r="U152" s="589">
        <f t="shared" ca="1" si="20"/>
        <v>8.6517606105234929E-5</v>
      </c>
      <c r="V152" s="590">
        <f t="shared" ca="1" si="20"/>
        <v>0</v>
      </c>
    </row>
  </sheetData>
  <sheetProtection password="C14A" sheet="1" objects="1" selectLockedCells="1" selectUnlockedCells="1"/>
  <phoneticPr fontId="27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2:N67"/>
  <sheetViews>
    <sheetView tabSelected="1" topLeftCell="A13" zoomScale="90" workbookViewId="0">
      <selection activeCell="D25" sqref="D25"/>
    </sheetView>
  </sheetViews>
  <sheetFormatPr defaultRowHeight="12.75"/>
  <cols>
    <col min="1" max="2" width="9.140625" customWidth="1"/>
    <col min="3" max="3" width="10.42578125" customWidth="1"/>
    <col min="4" max="4" width="31.140625" customWidth="1"/>
    <col min="5" max="5" width="6.28515625" customWidth="1"/>
    <col min="6" max="11" width="9.140625" customWidth="1"/>
    <col min="12" max="12" width="12.28515625" customWidth="1"/>
  </cols>
  <sheetData>
    <row r="2" spans="2:14">
      <c r="B2" s="105" t="s">
        <v>216</v>
      </c>
    </row>
    <row r="3" spans="2:14">
      <c r="B3" s="307" t="s">
        <v>217</v>
      </c>
      <c r="C3" s="307" t="s">
        <v>218</v>
      </c>
      <c r="D3" s="307" t="s">
        <v>219</v>
      </c>
      <c r="E3" s="307" t="s">
        <v>220</v>
      </c>
      <c r="F3" s="248" t="s">
        <v>65</v>
      </c>
      <c r="G3" s="248" t="s">
        <v>226</v>
      </c>
      <c r="H3" s="248" t="s">
        <v>227</v>
      </c>
      <c r="I3" s="248" t="s">
        <v>228</v>
      </c>
      <c r="L3" s="210" t="s">
        <v>486</v>
      </c>
    </row>
    <row r="4" spans="2:14" ht="21" customHeight="1" thickBot="1">
      <c r="B4" s="306" t="s">
        <v>382</v>
      </c>
      <c r="C4" s="6" t="s">
        <v>198</v>
      </c>
      <c r="D4" s="6" t="s">
        <v>200</v>
      </c>
      <c r="E4" s="162" t="s">
        <v>137</v>
      </c>
      <c r="F4" s="6"/>
      <c r="G4" s="6" t="s">
        <v>229</v>
      </c>
      <c r="H4" s="6"/>
      <c r="I4" s="6" t="s">
        <v>230</v>
      </c>
      <c r="L4" s="116" t="s">
        <v>218</v>
      </c>
      <c r="M4" s="211" t="s">
        <v>199</v>
      </c>
      <c r="N4" s="211" t="s">
        <v>396</v>
      </c>
    </row>
    <row r="5" spans="2:14">
      <c r="B5" s="306" t="s">
        <v>382</v>
      </c>
      <c r="C5" s="6" t="s">
        <v>199</v>
      </c>
      <c r="D5" s="6" t="s">
        <v>201</v>
      </c>
      <c r="E5" s="162" t="s">
        <v>137</v>
      </c>
      <c r="F5" s="6"/>
      <c r="G5" s="6" t="s">
        <v>229</v>
      </c>
      <c r="H5" s="6"/>
      <c r="I5" s="6" t="s">
        <v>230</v>
      </c>
      <c r="L5" s="212" t="s">
        <v>483</v>
      </c>
      <c r="M5" s="214">
        <v>1</v>
      </c>
      <c r="N5" s="213"/>
    </row>
    <row r="6" spans="2:14">
      <c r="B6" s="306" t="s">
        <v>382</v>
      </c>
      <c r="C6" s="6" t="s">
        <v>483</v>
      </c>
      <c r="D6" s="6" t="s">
        <v>484</v>
      </c>
      <c r="E6" s="162" t="s">
        <v>137</v>
      </c>
      <c r="F6" s="162" t="s">
        <v>118</v>
      </c>
      <c r="G6" s="6" t="s">
        <v>229</v>
      </c>
      <c r="H6" s="6"/>
      <c r="I6" s="6" t="s">
        <v>230</v>
      </c>
      <c r="L6" s="213" t="s">
        <v>482</v>
      </c>
      <c r="M6" s="213"/>
      <c r="N6" s="214">
        <v>1</v>
      </c>
    </row>
    <row r="7" spans="2:14">
      <c r="B7" s="306" t="s">
        <v>382</v>
      </c>
      <c r="C7" s="6" t="s">
        <v>396</v>
      </c>
      <c r="D7" s="6" t="s">
        <v>407</v>
      </c>
      <c r="E7" s="162" t="s">
        <v>137</v>
      </c>
      <c r="F7" s="6"/>
      <c r="G7" s="6" t="s">
        <v>229</v>
      </c>
      <c r="H7" s="6"/>
      <c r="I7" s="6" t="s">
        <v>230</v>
      </c>
    </row>
    <row r="8" spans="2:14">
      <c r="B8" s="306" t="s">
        <v>382</v>
      </c>
      <c r="C8" s="6" t="s">
        <v>482</v>
      </c>
      <c r="D8" s="6" t="s">
        <v>485</v>
      </c>
      <c r="E8" s="162" t="s">
        <v>137</v>
      </c>
      <c r="F8" s="162" t="s">
        <v>336</v>
      </c>
      <c r="G8" s="6" t="s">
        <v>229</v>
      </c>
      <c r="H8" s="6"/>
      <c r="I8" s="6" t="s">
        <v>230</v>
      </c>
    </row>
    <row r="9" spans="2:14">
      <c r="B9" s="306" t="s">
        <v>382</v>
      </c>
      <c r="C9" s="6" t="s">
        <v>417</v>
      </c>
      <c r="D9" s="6" t="s">
        <v>105</v>
      </c>
      <c r="E9" s="162" t="s">
        <v>137</v>
      </c>
      <c r="F9" s="6"/>
      <c r="G9" s="6" t="s">
        <v>229</v>
      </c>
      <c r="H9" s="6"/>
      <c r="I9" s="6" t="s">
        <v>230</v>
      </c>
    </row>
    <row r="10" spans="2:14">
      <c r="B10" s="306" t="s">
        <v>382</v>
      </c>
      <c r="C10" s="6" t="s">
        <v>397</v>
      </c>
      <c r="D10" s="6" t="s">
        <v>408</v>
      </c>
      <c r="E10" s="162" t="s">
        <v>137</v>
      </c>
      <c r="F10" s="6"/>
      <c r="G10" s="6" t="s">
        <v>229</v>
      </c>
      <c r="H10" s="6"/>
      <c r="I10" s="6" t="s">
        <v>230</v>
      </c>
    </row>
    <row r="11" spans="2:14">
      <c r="B11" s="306" t="s">
        <v>382</v>
      </c>
      <c r="C11" s="6" t="s">
        <v>684</v>
      </c>
      <c r="D11" s="6" t="s">
        <v>560</v>
      </c>
      <c r="E11" s="162" t="s">
        <v>137</v>
      </c>
      <c r="F11" s="6"/>
      <c r="G11" s="6" t="s">
        <v>423</v>
      </c>
      <c r="H11" s="6"/>
      <c r="I11" s="6" t="s">
        <v>230</v>
      </c>
    </row>
    <row r="12" spans="2:14">
      <c r="B12" s="306" t="s">
        <v>382</v>
      </c>
      <c r="C12" s="6" t="s">
        <v>151</v>
      </c>
      <c r="D12" s="6" t="s">
        <v>87</v>
      </c>
      <c r="E12" s="162" t="s">
        <v>137</v>
      </c>
      <c r="F12" s="6"/>
      <c r="G12" s="6" t="s">
        <v>423</v>
      </c>
      <c r="H12" s="6"/>
      <c r="I12" s="6"/>
    </row>
    <row r="13" spans="2:14">
      <c r="B13" s="306" t="s">
        <v>382</v>
      </c>
      <c r="C13" s="6" t="s">
        <v>354</v>
      </c>
      <c r="D13" s="6" t="s">
        <v>444</v>
      </c>
      <c r="E13" s="162" t="s">
        <v>137</v>
      </c>
      <c r="F13" s="6"/>
      <c r="G13" s="6"/>
      <c r="H13" s="6"/>
      <c r="I13" s="6"/>
    </row>
    <row r="14" spans="2:14">
      <c r="B14" s="306" t="s">
        <v>382</v>
      </c>
      <c r="C14" s="6" t="s">
        <v>132</v>
      </c>
      <c r="D14" s="6" t="s">
        <v>133</v>
      </c>
      <c r="E14" s="162" t="s">
        <v>137</v>
      </c>
      <c r="F14" s="6"/>
      <c r="G14" s="6"/>
      <c r="H14" s="6"/>
      <c r="I14" s="6"/>
    </row>
    <row r="15" spans="2:14">
      <c r="B15" s="306" t="s">
        <v>382</v>
      </c>
      <c r="C15" s="6" t="s">
        <v>134</v>
      </c>
      <c r="D15" s="6" t="s">
        <v>135</v>
      </c>
      <c r="E15" s="162" t="s">
        <v>137</v>
      </c>
      <c r="F15" s="162" t="s">
        <v>336</v>
      </c>
      <c r="G15" s="6"/>
      <c r="H15" s="6"/>
      <c r="I15" s="6"/>
    </row>
    <row r="16" spans="2:14">
      <c r="B16" s="306" t="s">
        <v>382</v>
      </c>
      <c r="C16" s="6" t="s">
        <v>456</v>
      </c>
      <c r="D16" s="6" t="s">
        <v>457</v>
      </c>
      <c r="E16" s="162" t="s">
        <v>137</v>
      </c>
      <c r="F16" s="162" t="s">
        <v>336</v>
      </c>
      <c r="G16" s="6"/>
      <c r="H16" s="6"/>
      <c r="I16" s="6"/>
    </row>
    <row r="17" spans="2:9">
      <c r="B17" s="306" t="s">
        <v>382</v>
      </c>
      <c r="C17" s="6" t="s">
        <v>459</v>
      </c>
      <c r="D17" s="6" t="s">
        <v>685</v>
      </c>
      <c r="E17" s="162" t="s">
        <v>137</v>
      </c>
      <c r="F17" s="6"/>
      <c r="G17" s="6"/>
      <c r="H17" s="6"/>
      <c r="I17" s="6"/>
    </row>
    <row r="18" spans="2:9">
      <c r="B18" s="306" t="s">
        <v>382</v>
      </c>
      <c r="C18" s="6" t="s">
        <v>62</v>
      </c>
      <c r="D18" s="6" t="s">
        <v>454</v>
      </c>
      <c r="E18" s="162" t="s">
        <v>137</v>
      </c>
      <c r="F18" s="6"/>
      <c r="G18" s="6"/>
      <c r="H18" s="6"/>
      <c r="I18" s="6"/>
    </row>
    <row r="19" spans="2:9">
      <c r="B19" s="306" t="s">
        <v>382</v>
      </c>
      <c r="C19" s="6" t="s">
        <v>56</v>
      </c>
      <c r="D19" s="6" t="s">
        <v>473</v>
      </c>
      <c r="E19" s="162" t="s">
        <v>137</v>
      </c>
      <c r="F19" s="6"/>
      <c r="G19" s="6"/>
      <c r="H19" s="6"/>
      <c r="I19" s="6"/>
    </row>
    <row r="20" spans="2:9">
      <c r="B20" s="306" t="s">
        <v>382</v>
      </c>
      <c r="C20" s="6" t="s">
        <v>468</v>
      </c>
      <c r="D20" s="6" t="s">
        <v>469</v>
      </c>
      <c r="E20" s="162" t="s">
        <v>137</v>
      </c>
      <c r="F20" s="6"/>
      <c r="G20" s="6"/>
      <c r="H20" s="6"/>
      <c r="I20" s="6"/>
    </row>
    <row r="21" spans="2:9">
      <c r="B21" s="306" t="s">
        <v>382</v>
      </c>
      <c r="C21" s="6" t="s">
        <v>169</v>
      </c>
      <c r="D21" s="6" t="s">
        <v>89</v>
      </c>
      <c r="E21" s="162" t="s">
        <v>137</v>
      </c>
      <c r="F21" s="6"/>
      <c r="G21" s="6"/>
      <c r="H21" s="6"/>
      <c r="I21" s="6"/>
    </row>
    <row r="22" spans="2:9">
      <c r="B22" s="306" t="s">
        <v>382</v>
      </c>
      <c r="C22" s="6" t="s">
        <v>338</v>
      </c>
      <c r="D22" s="6" t="s">
        <v>93</v>
      </c>
      <c r="E22" s="162" t="s">
        <v>137</v>
      </c>
      <c r="F22" s="6"/>
      <c r="G22" s="6"/>
      <c r="H22" s="6"/>
      <c r="I22" s="6"/>
    </row>
    <row r="23" spans="2:9">
      <c r="B23" s="306" t="s">
        <v>382</v>
      </c>
      <c r="C23" s="6" t="s">
        <v>341</v>
      </c>
      <c r="D23" s="6" t="s">
        <v>342</v>
      </c>
      <c r="E23" s="162" t="s">
        <v>137</v>
      </c>
      <c r="F23" s="6"/>
      <c r="G23" s="6"/>
      <c r="H23" s="6"/>
      <c r="I23" s="6"/>
    </row>
    <row r="24" spans="2:9">
      <c r="B24" s="306" t="s">
        <v>382</v>
      </c>
      <c r="C24" s="6" t="s">
        <v>170</v>
      </c>
      <c r="D24" s="6" t="s">
        <v>95</v>
      </c>
      <c r="E24" s="162" t="s">
        <v>137</v>
      </c>
      <c r="F24" s="162" t="s">
        <v>336</v>
      </c>
      <c r="G24" s="6"/>
      <c r="H24" s="6"/>
      <c r="I24" s="6"/>
    </row>
    <row r="25" spans="2:9">
      <c r="B25" s="306" t="s">
        <v>382</v>
      </c>
      <c r="C25" s="6" t="s">
        <v>57</v>
      </c>
      <c r="D25" s="6" t="s">
        <v>91</v>
      </c>
      <c r="E25" s="162" t="s">
        <v>137</v>
      </c>
      <c r="F25" s="6"/>
      <c r="G25" s="6" t="s">
        <v>229</v>
      </c>
      <c r="H25" s="6"/>
      <c r="I25" s="6"/>
    </row>
    <row r="26" spans="2:9">
      <c r="B26" s="306" t="s">
        <v>382</v>
      </c>
      <c r="C26" s="6" t="s">
        <v>424</v>
      </c>
      <c r="D26" s="6" t="s">
        <v>438</v>
      </c>
      <c r="E26" s="162" t="s">
        <v>137</v>
      </c>
      <c r="F26" s="6"/>
      <c r="G26" s="6" t="s">
        <v>423</v>
      </c>
      <c r="H26" s="6"/>
      <c r="I26" s="6"/>
    </row>
    <row r="27" spans="2:9">
      <c r="B27" s="306" t="s">
        <v>382</v>
      </c>
      <c r="C27" s="6" t="s">
        <v>439</v>
      </c>
      <c r="D27" s="6" t="s">
        <v>440</v>
      </c>
      <c r="E27" s="162" t="s">
        <v>137</v>
      </c>
      <c r="F27" s="6"/>
      <c r="G27" s="6" t="s">
        <v>425</v>
      </c>
      <c r="H27" s="6"/>
      <c r="I27" s="6"/>
    </row>
    <row r="28" spans="2:9">
      <c r="B28" s="306" t="s">
        <v>382</v>
      </c>
      <c r="C28" s="6" t="s">
        <v>681</v>
      </c>
      <c r="D28" s="6" t="s">
        <v>682</v>
      </c>
      <c r="E28" s="162" t="s">
        <v>137</v>
      </c>
      <c r="F28" s="6"/>
      <c r="G28" s="6" t="s">
        <v>423</v>
      </c>
      <c r="H28" s="6"/>
      <c r="I28" s="6"/>
    </row>
    <row r="29" spans="2:9">
      <c r="B29" s="306" t="s">
        <v>382</v>
      </c>
      <c r="C29" s="6" t="s">
        <v>171</v>
      </c>
      <c r="D29" s="6" t="s">
        <v>97</v>
      </c>
      <c r="E29" s="162" t="s">
        <v>137</v>
      </c>
      <c r="F29" s="6"/>
      <c r="G29" s="6"/>
      <c r="H29" s="6"/>
      <c r="I29" s="6"/>
    </row>
    <row r="30" spans="2:9">
      <c r="B30" s="306" t="s">
        <v>382</v>
      </c>
      <c r="C30" s="6" t="s">
        <v>168</v>
      </c>
      <c r="D30" s="6" t="s">
        <v>99</v>
      </c>
      <c r="E30" s="162" t="s">
        <v>137</v>
      </c>
      <c r="F30" s="6"/>
      <c r="G30" s="6"/>
      <c r="H30" s="6"/>
      <c r="I30" s="6"/>
    </row>
    <row r="31" spans="2:9">
      <c r="B31" s="306" t="s">
        <v>382</v>
      </c>
      <c r="C31" s="6" t="s">
        <v>172</v>
      </c>
      <c r="D31" s="6" t="s">
        <v>101</v>
      </c>
      <c r="E31" s="162" t="s">
        <v>137</v>
      </c>
      <c r="F31" s="6"/>
      <c r="G31" s="6"/>
      <c r="H31" s="6"/>
      <c r="I31" s="6"/>
    </row>
    <row r="32" spans="2:9">
      <c r="B32" s="306" t="s">
        <v>382</v>
      </c>
      <c r="C32" s="6" t="s">
        <v>645</v>
      </c>
      <c r="D32" s="6" t="s">
        <v>664</v>
      </c>
      <c r="E32" s="162" t="s">
        <v>137</v>
      </c>
      <c r="F32" s="6"/>
      <c r="G32" s="6"/>
      <c r="H32" s="6"/>
      <c r="I32" s="6"/>
    </row>
    <row r="33" spans="2:9">
      <c r="B33" s="306" t="s">
        <v>382</v>
      </c>
      <c r="C33" s="6" t="s">
        <v>152</v>
      </c>
      <c r="D33" s="6" t="s">
        <v>103</v>
      </c>
      <c r="E33" s="162" t="s">
        <v>137</v>
      </c>
      <c r="F33" s="6"/>
      <c r="G33" s="6"/>
      <c r="H33" s="6"/>
      <c r="I33" s="6"/>
    </row>
    <row r="34" spans="2:9">
      <c r="B34" s="306" t="s">
        <v>382</v>
      </c>
      <c r="C34" s="6" t="s">
        <v>523</v>
      </c>
      <c r="D34" s="6" t="s">
        <v>528</v>
      </c>
      <c r="E34" s="162" t="s">
        <v>137</v>
      </c>
      <c r="F34" s="6"/>
      <c r="G34" s="6"/>
      <c r="H34" s="6"/>
      <c r="I34" s="6"/>
    </row>
    <row r="35" spans="2:9">
      <c r="B35" s="306" t="s">
        <v>382</v>
      </c>
      <c r="C35" s="6" t="s">
        <v>524</v>
      </c>
      <c r="D35" s="6" t="s">
        <v>527</v>
      </c>
      <c r="E35" s="162" t="s">
        <v>137</v>
      </c>
      <c r="F35" s="6"/>
      <c r="G35" s="6"/>
      <c r="H35" s="6"/>
      <c r="I35" s="6"/>
    </row>
    <row r="36" spans="2:9">
      <c r="B36" s="306" t="s">
        <v>382</v>
      </c>
      <c r="C36" s="6" t="s">
        <v>525</v>
      </c>
      <c r="D36" s="6" t="s">
        <v>529</v>
      </c>
      <c r="E36" s="162" t="s">
        <v>137</v>
      </c>
      <c r="F36" s="6"/>
      <c r="G36" s="6"/>
      <c r="H36" s="6"/>
      <c r="I36" s="6"/>
    </row>
    <row r="37" spans="2:9">
      <c r="B37" s="306" t="s">
        <v>382</v>
      </c>
      <c r="C37" s="6" t="s">
        <v>532</v>
      </c>
      <c r="D37" s="6" t="s">
        <v>533</v>
      </c>
      <c r="E37" s="162" t="s">
        <v>137</v>
      </c>
      <c r="F37" s="6"/>
      <c r="G37" s="6"/>
      <c r="H37" s="6"/>
      <c r="I37" s="6"/>
    </row>
    <row r="38" spans="2:9">
      <c r="B38" s="306" t="s">
        <v>382</v>
      </c>
      <c r="C38" s="6" t="s">
        <v>687</v>
      </c>
      <c r="D38" s="6" t="s">
        <v>688</v>
      </c>
      <c r="E38" s="162" t="s">
        <v>137</v>
      </c>
      <c r="F38" s="6"/>
      <c r="G38" s="6" t="s">
        <v>423</v>
      </c>
      <c r="H38" s="6"/>
      <c r="I38" s="6"/>
    </row>
    <row r="39" spans="2:9">
      <c r="B39" s="306" t="s">
        <v>382</v>
      </c>
      <c r="C39" s="6" t="s">
        <v>458</v>
      </c>
      <c r="D39" s="6" t="s">
        <v>470</v>
      </c>
      <c r="E39" s="162" t="s">
        <v>137</v>
      </c>
      <c r="F39" s="6"/>
      <c r="G39" s="6"/>
      <c r="H39" s="6"/>
      <c r="I39" s="6"/>
    </row>
    <row r="40" spans="2:9">
      <c r="B40" s="306" t="s">
        <v>382</v>
      </c>
      <c r="C40" s="6" t="s">
        <v>516</v>
      </c>
      <c r="D40" s="6" t="s">
        <v>517</v>
      </c>
      <c r="E40" s="162" t="s">
        <v>137</v>
      </c>
      <c r="F40" s="6"/>
      <c r="G40" s="6"/>
      <c r="H40" s="6"/>
      <c r="I40" s="6"/>
    </row>
    <row r="41" spans="2:9">
      <c r="B41" s="306" t="s">
        <v>382</v>
      </c>
      <c r="C41" s="6" t="s">
        <v>543</v>
      </c>
      <c r="D41" s="6" t="s">
        <v>544</v>
      </c>
      <c r="E41" s="162" t="s">
        <v>137</v>
      </c>
      <c r="F41" s="6"/>
      <c r="G41" s="6"/>
      <c r="H41" s="6"/>
      <c r="I41" s="6"/>
    </row>
    <row r="42" spans="2:9">
      <c r="B42" s="306" t="s">
        <v>382</v>
      </c>
      <c r="C42" s="6" t="s">
        <v>8</v>
      </c>
      <c r="D42" s="6" t="s">
        <v>519</v>
      </c>
      <c r="E42" s="162" t="s">
        <v>137</v>
      </c>
      <c r="F42" s="162"/>
      <c r="G42" s="6"/>
      <c r="H42" s="6"/>
      <c r="I42" s="6"/>
    </row>
    <row r="43" spans="2:9">
      <c r="B43" s="306" t="s">
        <v>382</v>
      </c>
      <c r="C43" s="6" t="s">
        <v>455</v>
      </c>
      <c r="D43" s="6" t="s">
        <v>475</v>
      </c>
      <c r="E43" s="162" t="s">
        <v>137</v>
      </c>
      <c r="F43" s="162" t="s">
        <v>336</v>
      </c>
      <c r="G43" s="6"/>
      <c r="H43" s="6"/>
      <c r="I43" s="6"/>
    </row>
    <row r="44" spans="2:9">
      <c r="B44" s="306" t="s">
        <v>382</v>
      </c>
      <c r="C44" s="6" t="s">
        <v>340</v>
      </c>
      <c r="D44" s="6" t="s">
        <v>342</v>
      </c>
      <c r="E44" s="162" t="s">
        <v>137</v>
      </c>
      <c r="F44" s="6"/>
      <c r="G44" s="6"/>
      <c r="H44" s="6"/>
      <c r="I44" s="6"/>
    </row>
    <row r="45" spans="2:9">
      <c r="B45" s="306" t="s">
        <v>382</v>
      </c>
      <c r="C45" s="6" t="s">
        <v>409</v>
      </c>
      <c r="D45" s="6" t="s">
        <v>413</v>
      </c>
      <c r="E45" s="162" t="s">
        <v>137</v>
      </c>
      <c r="F45" s="6"/>
      <c r="G45" s="41" t="s">
        <v>229</v>
      </c>
      <c r="H45" s="41"/>
      <c r="I45" s="41" t="s">
        <v>232</v>
      </c>
    </row>
    <row r="46" spans="2:9">
      <c r="B46" s="306" t="s">
        <v>382</v>
      </c>
      <c r="C46" s="6" t="s">
        <v>410</v>
      </c>
      <c r="D46" s="6" t="s">
        <v>414</v>
      </c>
      <c r="E46" s="162" t="s">
        <v>137</v>
      </c>
      <c r="F46" s="6"/>
      <c r="G46" s="41" t="s">
        <v>229</v>
      </c>
      <c r="H46" s="41"/>
      <c r="I46" s="41" t="s">
        <v>232</v>
      </c>
    </row>
    <row r="47" spans="2:9">
      <c r="B47" s="306" t="s">
        <v>382</v>
      </c>
      <c r="C47" s="6" t="s">
        <v>411</v>
      </c>
      <c r="D47" s="6" t="s">
        <v>415</v>
      </c>
      <c r="E47" s="162" t="s">
        <v>137</v>
      </c>
      <c r="F47" s="6"/>
      <c r="G47" s="41" t="s">
        <v>229</v>
      </c>
      <c r="H47" s="41"/>
      <c r="I47" s="41" t="s">
        <v>232</v>
      </c>
    </row>
    <row r="48" spans="2:9">
      <c r="B48" s="306" t="s">
        <v>382</v>
      </c>
      <c r="C48" s="6" t="s">
        <v>412</v>
      </c>
      <c r="D48" s="6" t="s">
        <v>416</v>
      </c>
      <c r="E48" s="162" t="s">
        <v>137</v>
      </c>
      <c r="F48" s="6"/>
      <c r="G48" s="41" t="s">
        <v>229</v>
      </c>
      <c r="H48" s="41"/>
      <c r="I48" s="41" t="s">
        <v>232</v>
      </c>
    </row>
    <row r="49" spans="2:9">
      <c r="B49" s="306" t="s">
        <v>382</v>
      </c>
      <c r="C49" s="6" t="s">
        <v>53</v>
      </c>
      <c r="D49" s="6" t="s">
        <v>205</v>
      </c>
      <c r="E49" s="162" t="s">
        <v>137</v>
      </c>
      <c r="F49" s="6"/>
      <c r="G49" s="41" t="s">
        <v>229</v>
      </c>
      <c r="H49" s="41"/>
      <c r="I49" s="41" t="s">
        <v>232</v>
      </c>
    </row>
    <row r="50" spans="2:9">
      <c r="B50" s="306" t="s">
        <v>382</v>
      </c>
      <c r="C50" s="6" t="s">
        <v>580</v>
      </c>
      <c r="D50" s="6" t="s">
        <v>588</v>
      </c>
      <c r="E50" s="162" t="s">
        <v>137</v>
      </c>
      <c r="F50" s="6"/>
      <c r="G50" s="41" t="s">
        <v>229</v>
      </c>
      <c r="H50" s="41"/>
      <c r="I50" s="41" t="s">
        <v>232</v>
      </c>
    </row>
    <row r="51" spans="2:9">
      <c r="B51" s="306" t="s">
        <v>382</v>
      </c>
      <c r="C51" s="6" t="s">
        <v>581</v>
      </c>
      <c r="D51" s="6" t="s">
        <v>589</v>
      </c>
      <c r="E51" s="162" t="s">
        <v>137</v>
      </c>
      <c r="F51" s="6"/>
      <c r="G51" s="41" t="s">
        <v>229</v>
      </c>
      <c r="H51" s="41"/>
      <c r="I51" s="41" t="s">
        <v>232</v>
      </c>
    </row>
    <row r="52" spans="2:9">
      <c r="B52" s="306" t="s">
        <v>382</v>
      </c>
      <c r="C52" s="6" t="s">
        <v>584</v>
      </c>
      <c r="D52" s="6" t="s">
        <v>587</v>
      </c>
      <c r="E52" s="162" t="s">
        <v>137</v>
      </c>
      <c r="F52" s="6"/>
      <c r="G52" s="41" t="s">
        <v>425</v>
      </c>
      <c r="H52" s="41"/>
      <c r="I52" s="41"/>
    </row>
    <row r="53" spans="2:9">
      <c r="B53" s="318" t="s">
        <v>221</v>
      </c>
      <c r="C53" s="202" t="s">
        <v>591</v>
      </c>
      <c r="D53" s="202" t="s">
        <v>592</v>
      </c>
      <c r="E53" s="319" t="s">
        <v>137</v>
      </c>
      <c r="F53" s="202"/>
      <c r="G53" s="320" t="s">
        <v>229</v>
      </c>
      <c r="H53" s="320"/>
      <c r="I53" s="320"/>
    </row>
    <row r="54" spans="2:9">
      <c r="B54" s="318" t="s">
        <v>221</v>
      </c>
      <c r="C54" s="202" t="s">
        <v>49</v>
      </c>
      <c r="D54" s="202" t="s">
        <v>638</v>
      </c>
      <c r="E54" s="319" t="s">
        <v>60</v>
      </c>
      <c r="F54" s="202"/>
      <c r="G54" s="320"/>
      <c r="H54" s="320"/>
      <c r="I54" s="320"/>
    </row>
    <row r="55" spans="2:9">
      <c r="B55" s="318" t="s">
        <v>221</v>
      </c>
      <c r="C55" s="202" t="s">
        <v>51</v>
      </c>
      <c r="D55" s="202" t="s">
        <v>639</v>
      </c>
      <c r="E55" s="319" t="s">
        <v>60</v>
      </c>
      <c r="F55" s="202"/>
      <c r="G55" s="320"/>
      <c r="H55" s="320"/>
      <c r="I55" s="320"/>
    </row>
    <row r="56" spans="2:9">
      <c r="B56" s="318" t="s">
        <v>221</v>
      </c>
      <c r="C56" s="202" t="s">
        <v>48</v>
      </c>
      <c r="D56" s="202" t="s">
        <v>640</v>
      </c>
      <c r="E56" s="319" t="s">
        <v>222</v>
      </c>
      <c r="F56" s="202"/>
      <c r="G56" s="320"/>
      <c r="H56" s="320"/>
      <c r="I56" s="320"/>
    </row>
    <row r="57" spans="2:9">
      <c r="B57" s="318" t="s">
        <v>221</v>
      </c>
      <c r="C57" s="202" t="s">
        <v>47</v>
      </c>
      <c r="D57" s="202" t="s">
        <v>641</v>
      </c>
      <c r="E57" s="319" t="s">
        <v>222</v>
      </c>
      <c r="F57" s="202"/>
      <c r="G57" s="320"/>
      <c r="H57" s="320"/>
      <c r="I57" s="320"/>
    </row>
    <row r="58" spans="2:9">
      <c r="B58" s="318" t="s">
        <v>221</v>
      </c>
      <c r="C58" s="202" t="s">
        <v>50</v>
      </c>
      <c r="D58" s="202" t="s">
        <v>642</v>
      </c>
      <c r="E58" s="319" t="s">
        <v>60</v>
      </c>
      <c r="F58" s="202"/>
      <c r="G58" s="320"/>
      <c r="H58" s="320"/>
      <c r="I58" s="320"/>
    </row>
    <row r="59" spans="2:9">
      <c r="B59" s="318" t="s">
        <v>221</v>
      </c>
      <c r="C59" s="202" t="s">
        <v>570</v>
      </c>
      <c r="D59" s="202" t="s">
        <v>572</v>
      </c>
      <c r="E59" s="319" t="s">
        <v>137</v>
      </c>
      <c r="F59" s="202"/>
      <c r="G59" s="320"/>
      <c r="H59" s="320"/>
      <c r="I59" s="320"/>
    </row>
    <row r="60" spans="2:9">
      <c r="B60" s="318" t="s">
        <v>221</v>
      </c>
      <c r="C60" s="202" t="s">
        <v>676</v>
      </c>
      <c r="D60" s="202" t="s">
        <v>676</v>
      </c>
      <c r="E60" s="319" t="s">
        <v>137</v>
      </c>
      <c r="F60" s="319" t="s">
        <v>118</v>
      </c>
      <c r="G60" s="202"/>
      <c r="H60" s="202"/>
      <c r="I60" s="202"/>
    </row>
    <row r="61" spans="2:9">
      <c r="B61" s="318" t="s">
        <v>221</v>
      </c>
      <c r="C61" s="202" t="s">
        <v>677</v>
      </c>
      <c r="D61" s="202" t="s">
        <v>677</v>
      </c>
      <c r="E61" s="319" t="s">
        <v>137</v>
      </c>
      <c r="F61" s="319" t="s">
        <v>118</v>
      </c>
      <c r="G61" s="202"/>
      <c r="H61" s="202"/>
      <c r="I61" s="202"/>
    </row>
    <row r="62" spans="2:9">
      <c r="B62" s="318" t="s">
        <v>221</v>
      </c>
      <c r="C62" s="202" t="s">
        <v>678</v>
      </c>
      <c r="D62" s="202" t="s">
        <v>678</v>
      </c>
      <c r="E62" s="319" t="s">
        <v>137</v>
      </c>
      <c r="F62" s="319" t="s">
        <v>118</v>
      </c>
      <c r="G62" s="202"/>
      <c r="H62" s="202"/>
      <c r="I62" s="202"/>
    </row>
    <row r="63" spans="2:9">
      <c r="B63" s="318" t="s">
        <v>221</v>
      </c>
      <c r="C63" s="202" t="s">
        <v>680</v>
      </c>
      <c r="D63" s="202" t="s">
        <v>680</v>
      </c>
      <c r="E63" s="319" t="s">
        <v>137</v>
      </c>
      <c r="F63" s="319" t="s">
        <v>118</v>
      </c>
      <c r="G63" s="202"/>
      <c r="H63" s="202"/>
      <c r="I63" s="202"/>
    </row>
    <row r="64" spans="2:9">
      <c r="B64" s="608" t="s">
        <v>345</v>
      </c>
      <c r="C64" s="6" t="s">
        <v>689</v>
      </c>
      <c r="D64" s="6" t="s">
        <v>690</v>
      </c>
      <c r="E64" s="162" t="s">
        <v>137</v>
      </c>
      <c r="F64" s="162" t="s">
        <v>599</v>
      </c>
      <c r="G64" s="6"/>
      <c r="H64" s="6"/>
      <c r="I64" s="6"/>
    </row>
    <row r="65" spans="2:9">
      <c r="B65" s="608" t="s">
        <v>345</v>
      </c>
      <c r="C65" s="6" t="s">
        <v>691</v>
      </c>
      <c r="D65" s="6" t="s">
        <v>692</v>
      </c>
      <c r="E65" s="162" t="s">
        <v>137</v>
      </c>
      <c r="F65" s="162" t="s">
        <v>599</v>
      </c>
      <c r="G65" s="6"/>
      <c r="H65" s="6"/>
      <c r="I65" s="6"/>
    </row>
    <row r="66" spans="2:9">
      <c r="B66" s="608" t="s">
        <v>345</v>
      </c>
      <c r="C66" s="6" t="s">
        <v>694</v>
      </c>
      <c r="D66" s="6" t="s">
        <v>695</v>
      </c>
      <c r="E66" s="162" t="s">
        <v>137</v>
      </c>
      <c r="F66" s="162" t="s">
        <v>599</v>
      </c>
      <c r="G66" s="6"/>
      <c r="H66" s="6"/>
      <c r="I66" s="6"/>
    </row>
    <row r="67" spans="2:9">
      <c r="B67" s="608" t="s">
        <v>345</v>
      </c>
      <c r="C67" s="6" t="s">
        <v>693</v>
      </c>
      <c r="D67" s="6" t="s">
        <v>696</v>
      </c>
      <c r="E67" s="162" t="s">
        <v>137</v>
      </c>
      <c r="F67" s="162" t="s">
        <v>599</v>
      </c>
      <c r="G67" s="6"/>
      <c r="H67" s="6"/>
      <c r="I67" s="6"/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3:N113"/>
  <sheetViews>
    <sheetView topLeftCell="A60" zoomScale="90" workbookViewId="0">
      <selection activeCell="D25" sqref="D25"/>
    </sheetView>
  </sheetViews>
  <sheetFormatPr defaultColWidth="9.140625" defaultRowHeight="12.75"/>
  <cols>
    <col min="1" max="1" width="9.140625" customWidth="1"/>
    <col min="2" max="2" width="13.85546875" customWidth="1"/>
    <col min="3" max="3" width="14.85546875" customWidth="1"/>
    <col min="4" max="4" width="28.5703125" customWidth="1"/>
    <col min="5" max="5" width="6.28515625" customWidth="1"/>
    <col min="6" max="250" width="9.140625" customWidth="1"/>
  </cols>
  <sheetData>
    <row r="3" spans="2:14">
      <c r="B3" s="105" t="s">
        <v>270</v>
      </c>
    </row>
    <row r="4" spans="2:14">
      <c r="B4" s="131" t="s">
        <v>266</v>
      </c>
      <c r="C4" s="132" t="s">
        <v>212</v>
      </c>
      <c r="D4" s="132" t="s">
        <v>213</v>
      </c>
      <c r="E4" s="132" t="s">
        <v>271</v>
      </c>
      <c r="F4" s="132" t="s">
        <v>272</v>
      </c>
      <c r="G4" s="132" t="s">
        <v>273</v>
      </c>
      <c r="H4" s="132" t="s">
        <v>274</v>
      </c>
      <c r="I4" s="133" t="s">
        <v>275</v>
      </c>
    </row>
    <row r="5" spans="2:14">
      <c r="B5" s="134" t="s">
        <v>604</v>
      </c>
      <c r="C5" s="134" t="s">
        <v>623</v>
      </c>
      <c r="D5" s="134" t="s">
        <v>107</v>
      </c>
      <c r="E5" s="134" t="s">
        <v>137</v>
      </c>
      <c r="F5" s="134" t="s">
        <v>283</v>
      </c>
      <c r="G5" s="205" t="s">
        <v>423</v>
      </c>
      <c r="H5" s="134"/>
      <c r="I5" s="134" t="s">
        <v>278</v>
      </c>
      <c r="L5" s="134" t="s">
        <v>299</v>
      </c>
      <c r="N5" t="s">
        <v>623</v>
      </c>
    </row>
    <row r="6" spans="2:14">
      <c r="B6" s="134" t="s">
        <v>604</v>
      </c>
      <c r="C6" s="134" t="s">
        <v>624</v>
      </c>
      <c r="D6" s="134" t="s">
        <v>108</v>
      </c>
      <c r="E6" s="134" t="s">
        <v>137</v>
      </c>
      <c r="F6" s="134" t="s">
        <v>283</v>
      </c>
      <c r="G6" s="134" t="s">
        <v>425</v>
      </c>
      <c r="H6" s="134"/>
      <c r="I6" s="134" t="s">
        <v>278</v>
      </c>
      <c r="L6" s="134" t="s">
        <v>301</v>
      </c>
      <c r="N6" t="s">
        <v>624</v>
      </c>
    </row>
    <row r="7" spans="2:14">
      <c r="B7" s="134" t="s">
        <v>604</v>
      </c>
      <c r="C7" s="134" t="s">
        <v>625</v>
      </c>
      <c r="D7" s="134" t="s">
        <v>109</v>
      </c>
      <c r="E7" s="134" t="s">
        <v>137</v>
      </c>
      <c r="F7" s="134" t="s">
        <v>283</v>
      </c>
      <c r="G7" s="134" t="s">
        <v>425</v>
      </c>
      <c r="H7" s="134"/>
      <c r="I7" s="134" t="s">
        <v>278</v>
      </c>
      <c r="L7" s="134" t="s">
        <v>296</v>
      </c>
      <c r="N7" t="s">
        <v>625</v>
      </c>
    </row>
    <row r="8" spans="2:14">
      <c r="B8" s="134" t="s">
        <v>604</v>
      </c>
      <c r="C8" s="134" t="s">
        <v>626</v>
      </c>
      <c r="D8" s="134" t="s">
        <v>110</v>
      </c>
      <c r="E8" s="134" t="s">
        <v>137</v>
      </c>
      <c r="F8" s="134" t="s">
        <v>283</v>
      </c>
      <c r="G8" s="134" t="s">
        <v>425</v>
      </c>
      <c r="H8" s="134"/>
      <c r="I8" s="134" t="s">
        <v>278</v>
      </c>
      <c r="L8" s="134" t="s">
        <v>295</v>
      </c>
      <c r="N8" t="s">
        <v>626</v>
      </c>
    </row>
    <row r="9" spans="2:14">
      <c r="B9" s="134" t="s">
        <v>604</v>
      </c>
      <c r="C9" s="134" t="s">
        <v>627</v>
      </c>
      <c r="D9" s="134" t="s">
        <v>554</v>
      </c>
      <c r="E9" s="134" t="s">
        <v>137</v>
      </c>
      <c r="F9" s="134" t="s">
        <v>283</v>
      </c>
      <c r="G9" s="134" t="s">
        <v>425</v>
      </c>
      <c r="H9" s="134"/>
      <c r="I9" s="134" t="s">
        <v>278</v>
      </c>
      <c r="L9" s="134" t="s">
        <v>555</v>
      </c>
      <c r="N9" t="s">
        <v>627</v>
      </c>
    </row>
    <row r="10" spans="2:14">
      <c r="B10" s="134" t="s">
        <v>604</v>
      </c>
      <c r="C10" s="134" t="s">
        <v>628</v>
      </c>
      <c r="D10" s="134" t="s">
        <v>92</v>
      </c>
      <c r="E10" s="134" t="s">
        <v>137</v>
      </c>
      <c r="F10" s="134" t="s">
        <v>283</v>
      </c>
      <c r="G10" s="134" t="s">
        <v>425</v>
      </c>
      <c r="H10" s="134"/>
      <c r="I10" s="134" t="s">
        <v>278</v>
      </c>
      <c r="L10" s="134" t="s">
        <v>300</v>
      </c>
      <c r="N10" t="s">
        <v>628</v>
      </c>
    </row>
    <row r="11" spans="2:14">
      <c r="B11" s="134" t="s">
        <v>604</v>
      </c>
      <c r="C11" s="134" t="s">
        <v>629</v>
      </c>
      <c r="D11" s="134" t="s">
        <v>339</v>
      </c>
      <c r="E11" s="134" t="s">
        <v>137</v>
      </c>
      <c r="F11" s="134" t="s">
        <v>283</v>
      </c>
      <c r="G11" s="134" t="s">
        <v>425</v>
      </c>
      <c r="H11" s="134"/>
      <c r="I11" s="134" t="s">
        <v>278</v>
      </c>
      <c r="L11" s="134" t="s">
        <v>344</v>
      </c>
      <c r="N11" t="s">
        <v>629</v>
      </c>
    </row>
    <row r="12" spans="2:14">
      <c r="B12" s="134" t="s">
        <v>604</v>
      </c>
      <c r="C12" s="134" t="s">
        <v>630</v>
      </c>
      <c r="D12" s="134" t="s">
        <v>90</v>
      </c>
      <c r="E12" s="134" t="s">
        <v>137</v>
      </c>
      <c r="F12" s="134" t="s">
        <v>283</v>
      </c>
      <c r="G12" s="134" t="s">
        <v>425</v>
      </c>
      <c r="H12" s="134"/>
      <c r="I12" s="134" t="s">
        <v>278</v>
      </c>
      <c r="L12" s="134" t="s">
        <v>298</v>
      </c>
      <c r="N12" t="s">
        <v>630</v>
      </c>
    </row>
    <row r="13" spans="2:14">
      <c r="B13" s="134" t="s">
        <v>604</v>
      </c>
      <c r="C13" s="134" t="s">
        <v>635</v>
      </c>
      <c r="D13" s="134" t="s">
        <v>636</v>
      </c>
      <c r="E13" s="134" t="s">
        <v>137</v>
      </c>
      <c r="F13" s="134" t="s">
        <v>283</v>
      </c>
      <c r="G13" s="134" t="s">
        <v>425</v>
      </c>
      <c r="H13" s="134"/>
      <c r="I13" s="134" t="s">
        <v>278</v>
      </c>
      <c r="L13" s="134" t="s">
        <v>445</v>
      </c>
      <c r="N13" t="s">
        <v>635</v>
      </c>
    </row>
    <row r="14" spans="2:14">
      <c r="B14" s="134" t="s">
        <v>604</v>
      </c>
      <c r="C14" s="134" t="s">
        <v>631</v>
      </c>
      <c r="D14" s="134" t="s">
        <v>94</v>
      </c>
      <c r="E14" s="134" t="s">
        <v>137</v>
      </c>
      <c r="F14" s="134" t="s">
        <v>283</v>
      </c>
      <c r="G14" s="134" t="s">
        <v>425</v>
      </c>
      <c r="H14" s="134"/>
      <c r="I14" s="134" t="s">
        <v>278</v>
      </c>
      <c r="L14" s="134" t="s">
        <v>297</v>
      </c>
      <c r="N14" t="s">
        <v>631</v>
      </c>
    </row>
    <row r="15" spans="2:14">
      <c r="B15" s="134" t="s">
        <v>604</v>
      </c>
      <c r="C15" s="134" t="s">
        <v>632</v>
      </c>
      <c r="D15" s="134" t="s">
        <v>96</v>
      </c>
      <c r="E15" s="134" t="s">
        <v>137</v>
      </c>
      <c r="F15" s="134" t="s">
        <v>283</v>
      </c>
      <c r="G15" s="134" t="s">
        <v>425</v>
      </c>
      <c r="H15" s="134"/>
      <c r="I15" s="134" t="s">
        <v>278</v>
      </c>
      <c r="L15" s="134" t="s">
        <v>302</v>
      </c>
      <c r="N15" t="s">
        <v>632</v>
      </c>
    </row>
    <row r="16" spans="2:14">
      <c r="B16" s="134" t="s">
        <v>604</v>
      </c>
      <c r="C16" s="134" t="s">
        <v>633</v>
      </c>
      <c r="D16" s="134" t="s">
        <v>98</v>
      </c>
      <c r="E16" s="134" t="s">
        <v>137</v>
      </c>
      <c r="F16" s="134" t="s">
        <v>283</v>
      </c>
      <c r="G16" s="134" t="s">
        <v>425</v>
      </c>
      <c r="H16" s="134"/>
      <c r="I16" s="134" t="s">
        <v>278</v>
      </c>
      <c r="L16" s="134" t="s">
        <v>303</v>
      </c>
      <c r="N16" t="s">
        <v>633</v>
      </c>
    </row>
    <row r="17" spans="2:14">
      <c r="B17" s="134" t="s">
        <v>604</v>
      </c>
      <c r="C17" s="134" t="s">
        <v>634</v>
      </c>
      <c r="D17" s="134" t="s">
        <v>100</v>
      </c>
      <c r="E17" s="134" t="s">
        <v>137</v>
      </c>
      <c r="F17" s="134" t="s">
        <v>283</v>
      </c>
      <c r="G17" s="134" t="s">
        <v>425</v>
      </c>
      <c r="H17" s="134"/>
      <c r="I17" s="134" t="s">
        <v>278</v>
      </c>
      <c r="L17" s="134" t="s">
        <v>304</v>
      </c>
      <c r="N17" t="s">
        <v>634</v>
      </c>
    </row>
    <row r="18" spans="2:14">
      <c r="B18" s="134" t="s">
        <v>604</v>
      </c>
      <c r="C18" s="134" t="s">
        <v>610</v>
      </c>
      <c r="D18" s="134" t="s">
        <v>466</v>
      </c>
      <c r="E18" s="134" t="s">
        <v>137</v>
      </c>
      <c r="F18" s="134" t="s">
        <v>283</v>
      </c>
      <c r="G18" s="134" t="s">
        <v>425</v>
      </c>
      <c r="H18" s="134"/>
      <c r="I18" s="134" t="s">
        <v>278</v>
      </c>
      <c r="L18" s="134" t="s">
        <v>488</v>
      </c>
      <c r="N18" t="s">
        <v>610</v>
      </c>
    </row>
    <row r="19" spans="2:14">
      <c r="B19" s="134" t="s">
        <v>604</v>
      </c>
      <c r="C19" s="134" t="s">
        <v>611</v>
      </c>
      <c r="D19" s="134" t="s">
        <v>467</v>
      </c>
      <c r="E19" s="134" t="s">
        <v>137</v>
      </c>
      <c r="F19" s="134" t="s">
        <v>283</v>
      </c>
      <c r="G19" s="134" t="s">
        <v>425</v>
      </c>
      <c r="H19" s="134"/>
      <c r="I19" s="134" t="s">
        <v>278</v>
      </c>
      <c r="L19" s="134" t="s">
        <v>487</v>
      </c>
      <c r="N19" t="s">
        <v>611</v>
      </c>
    </row>
    <row r="20" spans="2:14">
      <c r="B20" s="134" t="s">
        <v>604</v>
      </c>
      <c r="C20" s="134" t="s">
        <v>612</v>
      </c>
      <c r="D20" s="134" t="s">
        <v>465</v>
      </c>
      <c r="E20" s="134" t="s">
        <v>137</v>
      </c>
      <c r="F20" s="134" t="s">
        <v>283</v>
      </c>
      <c r="G20" s="134" t="s">
        <v>425</v>
      </c>
      <c r="H20" s="134"/>
      <c r="I20" s="134" t="s">
        <v>278</v>
      </c>
      <c r="L20" s="134" t="s">
        <v>474</v>
      </c>
      <c r="N20" t="s">
        <v>612</v>
      </c>
    </row>
    <row r="21" spans="2:14">
      <c r="B21" s="134" t="s">
        <v>604</v>
      </c>
      <c r="C21" s="134" t="s">
        <v>613</v>
      </c>
      <c r="D21" s="134" t="s">
        <v>86</v>
      </c>
      <c r="E21" s="134" t="s">
        <v>137</v>
      </c>
      <c r="F21" s="134" t="s">
        <v>283</v>
      </c>
      <c r="G21" s="205" t="s">
        <v>423</v>
      </c>
      <c r="H21" s="134"/>
      <c r="I21" s="134" t="s">
        <v>278</v>
      </c>
      <c r="L21" s="134" t="s">
        <v>67</v>
      </c>
      <c r="N21" t="s">
        <v>613</v>
      </c>
    </row>
    <row r="22" spans="2:14">
      <c r="B22" s="134" t="s">
        <v>604</v>
      </c>
      <c r="C22" s="134" t="s">
        <v>614</v>
      </c>
      <c r="D22" s="134" t="s">
        <v>114</v>
      </c>
      <c r="E22" s="134" t="s">
        <v>137</v>
      </c>
      <c r="F22" s="134" t="s">
        <v>283</v>
      </c>
      <c r="G22" s="134" t="s">
        <v>425</v>
      </c>
      <c r="H22" s="134"/>
      <c r="I22" s="134" t="s">
        <v>278</v>
      </c>
      <c r="L22" s="134" t="s">
        <v>68</v>
      </c>
      <c r="N22" t="s">
        <v>614</v>
      </c>
    </row>
    <row r="23" spans="2:14">
      <c r="B23" s="134" t="s">
        <v>604</v>
      </c>
      <c r="C23" s="134" t="s">
        <v>619</v>
      </c>
      <c r="D23" s="134" t="s">
        <v>472</v>
      </c>
      <c r="E23" s="134" t="s">
        <v>137</v>
      </c>
      <c r="F23" s="134" t="s">
        <v>283</v>
      </c>
      <c r="G23" s="134" t="s">
        <v>425</v>
      </c>
      <c r="H23" s="134"/>
      <c r="I23" s="134" t="s">
        <v>278</v>
      </c>
      <c r="L23" s="134" t="s">
        <v>471</v>
      </c>
      <c r="N23" t="s">
        <v>619</v>
      </c>
    </row>
    <row r="24" spans="2:14">
      <c r="B24" s="134" t="s">
        <v>604</v>
      </c>
      <c r="C24" s="134" t="s">
        <v>620</v>
      </c>
      <c r="D24" s="134" t="s">
        <v>115</v>
      </c>
      <c r="E24" s="134" t="s">
        <v>137</v>
      </c>
      <c r="F24" s="134" t="s">
        <v>283</v>
      </c>
      <c r="G24" s="134" t="s">
        <v>425</v>
      </c>
      <c r="H24" s="134"/>
      <c r="I24" s="134" t="s">
        <v>278</v>
      </c>
      <c r="L24" s="134" t="s">
        <v>69</v>
      </c>
      <c r="N24" t="s">
        <v>620</v>
      </c>
    </row>
    <row r="25" spans="2:14">
      <c r="B25" s="134" t="s">
        <v>604</v>
      </c>
      <c r="C25" s="134" t="s">
        <v>621</v>
      </c>
      <c r="D25" s="134" t="s">
        <v>116</v>
      </c>
      <c r="E25" s="134" t="s">
        <v>137</v>
      </c>
      <c r="F25" s="134" t="s">
        <v>283</v>
      </c>
      <c r="G25" s="134" t="s">
        <v>425</v>
      </c>
      <c r="H25" s="134"/>
      <c r="I25" s="134" t="s">
        <v>278</v>
      </c>
      <c r="L25" s="134" t="s">
        <v>70</v>
      </c>
      <c r="N25" t="s">
        <v>621</v>
      </c>
    </row>
    <row r="26" spans="2:14">
      <c r="B26" s="134" t="s">
        <v>604</v>
      </c>
      <c r="C26" s="134" t="s">
        <v>618</v>
      </c>
      <c r="D26" s="134" t="s">
        <v>131</v>
      </c>
      <c r="E26" s="134" t="s">
        <v>137</v>
      </c>
      <c r="F26" s="134" t="s">
        <v>283</v>
      </c>
      <c r="G26" s="134" t="s">
        <v>425</v>
      </c>
      <c r="H26" s="134"/>
      <c r="I26" s="134" t="s">
        <v>278</v>
      </c>
      <c r="L26" s="134" t="s">
        <v>130</v>
      </c>
      <c r="N26" t="s">
        <v>618</v>
      </c>
    </row>
    <row r="27" spans="2:14">
      <c r="B27" s="134" t="s">
        <v>604</v>
      </c>
      <c r="C27" s="134" t="s">
        <v>617</v>
      </c>
      <c r="D27" s="134" t="s">
        <v>102</v>
      </c>
      <c r="E27" s="134" t="s">
        <v>137</v>
      </c>
      <c r="F27" s="134" t="s">
        <v>283</v>
      </c>
      <c r="G27" s="134" t="s">
        <v>425</v>
      </c>
      <c r="H27" s="134"/>
      <c r="I27" s="134" t="s">
        <v>278</v>
      </c>
      <c r="L27" s="134" t="s">
        <v>518</v>
      </c>
      <c r="N27" t="s">
        <v>617</v>
      </c>
    </row>
    <row r="28" spans="2:14">
      <c r="B28" s="134" t="s">
        <v>604</v>
      </c>
      <c r="C28" s="134" t="s">
        <v>615</v>
      </c>
      <c r="D28" s="134" t="s">
        <v>541</v>
      </c>
      <c r="E28" s="134" t="s">
        <v>137</v>
      </c>
      <c r="F28" s="134" t="s">
        <v>283</v>
      </c>
      <c r="G28" s="134" t="s">
        <v>425</v>
      </c>
      <c r="H28" s="134"/>
      <c r="I28" s="134" t="s">
        <v>278</v>
      </c>
      <c r="L28" s="134" t="s">
        <v>117</v>
      </c>
      <c r="N28" t="s">
        <v>615</v>
      </c>
    </row>
    <row r="29" spans="2:14">
      <c r="B29" s="134" t="s">
        <v>604</v>
      </c>
      <c r="C29" s="134" t="s">
        <v>616</v>
      </c>
      <c r="D29" s="134" t="s">
        <v>542</v>
      </c>
      <c r="E29" s="134" t="s">
        <v>137</v>
      </c>
      <c r="F29" s="134" t="s">
        <v>283</v>
      </c>
      <c r="G29" s="134" t="s">
        <v>425</v>
      </c>
      <c r="H29" s="134"/>
      <c r="I29" s="134" t="s">
        <v>278</v>
      </c>
      <c r="L29" s="134" t="s">
        <v>540</v>
      </c>
      <c r="N29" t="s">
        <v>616</v>
      </c>
    </row>
    <row r="30" spans="2:14">
      <c r="B30" s="134" t="s">
        <v>604</v>
      </c>
      <c r="C30" s="134" t="s">
        <v>622</v>
      </c>
      <c r="D30" s="134" t="s">
        <v>530</v>
      </c>
      <c r="E30" s="134" t="s">
        <v>137</v>
      </c>
      <c r="F30" s="134" t="s">
        <v>283</v>
      </c>
      <c r="G30" s="134" t="s">
        <v>425</v>
      </c>
      <c r="H30" s="134"/>
      <c r="I30" s="134" t="s">
        <v>278</v>
      </c>
      <c r="L30" s="134" t="s">
        <v>526</v>
      </c>
      <c r="N30" t="s">
        <v>622</v>
      </c>
    </row>
    <row r="31" spans="2:14">
      <c r="B31" s="134" t="s">
        <v>37</v>
      </c>
      <c r="C31" s="134" t="s">
        <v>498</v>
      </c>
      <c r="D31" s="134" t="s">
        <v>276</v>
      </c>
      <c r="E31" s="134" t="s">
        <v>137</v>
      </c>
      <c r="F31" s="134" t="s">
        <v>277</v>
      </c>
      <c r="G31" s="134" t="s">
        <v>229</v>
      </c>
      <c r="H31" s="134"/>
      <c r="I31" s="134" t="s">
        <v>278</v>
      </c>
    </row>
    <row r="32" spans="2:14">
      <c r="B32" s="134" t="s">
        <v>37</v>
      </c>
      <c r="C32" s="134" t="s">
        <v>496</v>
      </c>
      <c r="D32" s="134" t="s">
        <v>279</v>
      </c>
      <c r="E32" s="134" t="s">
        <v>137</v>
      </c>
      <c r="F32" s="134" t="s">
        <v>277</v>
      </c>
      <c r="G32" s="134" t="s">
        <v>229</v>
      </c>
      <c r="H32" s="134"/>
      <c r="I32" s="134" t="s">
        <v>278</v>
      </c>
    </row>
    <row r="33" spans="2:9">
      <c r="B33" s="134" t="s">
        <v>37</v>
      </c>
      <c r="C33" s="134" t="s">
        <v>497</v>
      </c>
      <c r="D33" s="134" t="s">
        <v>280</v>
      </c>
      <c r="E33" s="134" t="s">
        <v>137</v>
      </c>
      <c r="F33" s="134" t="s">
        <v>277</v>
      </c>
      <c r="G33" s="134" t="s">
        <v>229</v>
      </c>
      <c r="H33" s="134"/>
      <c r="I33" s="134" t="s">
        <v>278</v>
      </c>
    </row>
    <row r="34" spans="2:9">
      <c r="B34" s="134" t="s">
        <v>37</v>
      </c>
      <c r="C34" s="134" t="s">
        <v>495</v>
      </c>
      <c r="D34" s="134" t="s">
        <v>280</v>
      </c>
      <c r="E34" s="134" t="s">
        <v>137</v>
      </c>
      <c r="F34" s="134" t="s">
        <v>277</v>
      </c>
      <c r="G34" s="134" t="s">
        <v>229</v>
      </c>
      <c r="H34" s="134"/>
      <c r="I34" s="134" t="s">
        <v>278</v>
      </c>
    </row>
    <row r="35" spans="2:9">
      <c r="B35" s="134" t="s">
        <v>37</v>
      </c>
      <c r="C35" s="134" t="s">
        <v>494</v>
      </c>
      <c r="D35" s="134" t="s">
        <v>281</v>
      </c>
      <c r="E35" s="134" t="s">
        <v>137</v>
      </c>
      <c r="F35" s="134" t="s">
        <v>277</v>
      </c>
      <c r="G35" s="134" t="s">
        <v>229</v>
      </c>
      <c r="H35" s="134"/>
      <c r="I35" s="134" t="s">
        <v>278</v>
      </c>
    </row>
    <row r="36" spans="2:9">
      <c r="B36" s="134" t="s">
        <v>37</v>
      </c>
      <c r="C36" s="134" t="s">
        <v>503</v>
      </c>
      <c r="D36" s="134" t="s">
        <v>276</v>
      </c>
      <c r="E36" s="134" t="s">
        <v>137</v>
      </c>
      <c r="F36" s="134" t="s">
        <v>277</v>
      </c>
      <c r="G36" s="134" t="s">
        <v>229</v>
      </c>
      <c r="H36" s="134"/>
      <c r="I36" s="134" t="s">
        <v>278</v>
      </c>
    </row>
    <row r="37" spans="2:9">
      <c r="B37" s="134" t="s">
        <v>37</v>
      </c>
      <c r="C37" s="134" t="s">
        <v>501</v>
      </c>
      <c r="D37" s="134" t="s">
        <v>279</v>
      </c>
      <c r="E37" s="134" t="s">
        <v>137</v>
      </c>
      <c r="F37" s="134" t="s">
        <v>277</v>
      </c>
      <c r="G37" s="134" t="s">
        <v>229</v>
      </c>
      <c r="H37" s="134"/>
      <c r="I37" s="134" t="s">
        <v>278</v>
      </c>
    </row>
    <row r="38" spans="2:9">
      <c r="B38" s="134" t="s">
        <v>37</v>
      </c>
      <c r="C38" s="134" t="s">
        <v>502</v>
      </c>
      <c r="D38" s="134" t="s">
        <v>280</v>
      </c>
      <c r="E38" s="134" t="s">
        <v>137</v>
      </c>
      <c r="F38" s="134" t="s">
        <v>277</v>
      </c>
      <c r="G38" s="134" t="s">
        <v>229</v>
      </c>
      <c r="H38" s="134"/>
      <c r="I38" s="134" t="s">
        <v>278</v>
      </c>
    </row>
    <row r="39" spans="2:9">
      <c r="B39" s="134" t="s">
        <v>37</v>
      </c>
      <c r="C39" s="134" t="s">
        <v>500</v>
      </c>
      <c r="D39" s="134" t="s">
        <v>280</v>
      </c>
      <c r="E39" s="134" t="s">
        <v>137</v>
      </c>
      <c r="F39" s="134" t="s">
        <v>277</v>
      </c>
      <c r="G39" s="134" t="s">
        <v>229</v>
      </c>
      <c r="H39" s="134"/>
      <c r="I39" s="134" t="s">
        <v>278</v>
      </c>
    </row>
    <row r="40" spans="2:9">
      <c r="B40" s="134" t="s">
        <v>37</v>
      </c>
      <c r="C40" s="134" t="s">
        <v>499</v>
      </c>
      <c r="D40" s="134" t="s">
        <v>281</v>
      </c>
      <c r="E40" s="134" t="s">
        <v>137</v>
      </c>
      <c r="F40" s="134" t="s">
        <v>277</v>
      </c>
      <c r="G40" s="134" t="s">
        <v>229</v>
      </c>
      <c r="H40" s="134"/>
      <c r="I40" s="134" t="s">
        <v>278</v>
      </c>
    </row>
    <row r="41" spans="2:9">
      <c r="B41" s="134" t="s">
        <v>37</v>
      </c>
      <c r="C41" s="134" t="s">
        <v>508</v>
      </c>
      <c r="D41" s="134" t="s">
        <v>276</v>
      </c>
      <c r="E41" s="134" t="s">
        <v>137</v>
      </c>
      <c r="F41" s="134" t="s">
        <v>277</v>
      </c>
      <c r="G41" s="134" t="s">
        <v>229</v>
      </c>
      <c r="H41" s="134"/>
      <c r="I41" s="134" t="s">
        <v>278</v>
      </c>
    </row>
    <row r="42" spans="2:9">
      <c r="B42" s="134" t="s">
        <v>37</v>
      </c>
      <c r="C42" s="134" t="s">
        <v>506</v>
      </c>
      <c r="D42" s="134" t="s">
        <v>279</v>
      </c>
      <c r="E42" s="134" t="s">
        <v>137</v>
      </c>
      <c r="F42" s="134" t="s">
        <v>277</v>
      </c>
      <c r="G42" s="134" t="s">
        <v>229</v>
      </c>
      <c r="H42" s="134"/>
      <c r="I42" s="134" t="s">
        <v>278</v>
      </c>
    </row>
    <row r="43" spans="2:9">
      <c r="B43" s="134" t="s">
        <v>37</v>
      </c>
      <c r="C43" s="134" t="s">
        <v>507</v>
      </c>
      <c r="D43" s="134" t="s">
        <v>280</v>
      </c>
      <c r="E43" s="134" t="s">
        <v>137</v>
      </c>
      <c r="F43" s="134" t="s">
        <v>277</v>
      </c>
      <c r="G43" s="134" t="s">
        <v>229</v>
      </c>
      <c r="H43" s="134"/>
      <c r="I43" s="134" t="s">
        <v>278</v>
      </c>
    </row>
    <row r="44" spans="2:9">
      <c r="B44" s="134" t="s">
        <v>37</v>
      </c>
      <c r="C44" s="134" t="s">
        <v>505</v>
      </c>
      <c r="D44" s="134" t="s">
        <v>280</v>
      </c>
      <c r="E44" s="134" t="s">
        <v>137</v>
      </c>
      <c r="F44" s="134" t="s">
        <v>277</v>
      </c>
      <c r="G44" s="134" t="s">
        <v>229</v>
      </c>
      <c r="H44" s="134"/>
      <c r="I44" s="134" t="s">
        <v>278</v>
      </c>
    </row>
    <row r="45" spans="2:9">
      <c r="B45" s="134" t="s">
        <v>37</v>
      </c>
      <c r="C45" s="134" t="s">
        <v>504</v>
      </c>
      <c r="D45" s="134" t="s">
        <v>281</v>
      </c>
      <c r="E45" s="134" t="s">
        <v>137</v>
      </c>
      <c r="F45" s="134" t="s">
        <v>277</v>
      </c>
      <c r="G45" s="134" t="s">
        <v>229</v>
      </c>
      <c r="H45" s="134"/>
      <c r="I45" s="134" t="s">
        <v>278</v>
      </c>
    </row>
    <row r="46" spans="2:9">
      <c r="B46" s="134" t="s">
        <v>37</v>
      </c>
      <c r="C46" s="134" t="s">
        <v>513</v>
      </c>
      <c r="D46" s="134" t="s">
        <v>276</v>
      </c>
      <c r="E46" s="134" t="s">
        <v>137</v>
      </c>
      <c r="F46" s="134" t="s">
        <v>277</v>
      </c>
      <c r="G46" s="134" t="s">
        <v>229</v>
      </c>
      <c r="H46" s="134"/>
      <c r="I46" s="134" t="s">
        <v>278</v>
      </c>
    </row>
    <row r="47" spans="2:9">
      <c r="B47" s="134" t="s">
        <v>37</v>
      </c>
      <c r="C47" s="134" t="s">
        <v>511</v>
      </c>
      <c r="D47" s="134" t="s">
        <v>279</v>
      </c>
      <c r="E47" s="134" t="s">
        <v>137</v>
      </c>
      <c r="F47" s="134" t="s">
        <v>277</v>
      </c>
      <c r="G47" s="134" t="s">
        <v>229</v>
      </c>
      <c r="H47" s="134"/>
      <c r="I47" s="134" t="s">
        <v>278</v>
      </c>
    </row>
    <row r="48" spans="2:9">
      <c r="B48" s="134" t="s">
        <v>37</v>
      </c>
      <c r="C48" s="134" t="s">
        <v>512</v>
      </c>
      <c r="D48" s="134" t="s">
        <v>280</v>
      </c>
      <c r="E48" s="134" t="s">
        <v>137</v>
      </c>
      <c r="F48" s="134" t="s">
        <v>277</v>
      </c>
      <c r="G48" s="134" t="s">
        <v>229</v>
      </c>
      <c r="H48" s="134"/>
      <c r="I48" s="134" t="s">
        <v>278</v>
      </c>
    </row>
    <row r="49" spans="2:9">
      <c r="B49" s="134" t="s">
        <v>37</v>
      </c>
      <c r="C49" s="134" t="s">
        <v>510</v>
      </c>
      <c r="D49" s="134" t="s">
        <v>280</v>
      </c>
      <c r="E49" s="134" t="s">
        <v>137</v>
      </c>
      <c r="F49" s="134" t="s">
        <v>277</v>
      </c>
      <c r="G49" s="134" t="s">
        <v>229</v>
      </c>
      <c r="H49" s="134"/>
      <c r="I49" s="134" t="s">
        <v>278</v>
      </c>
    </row>
    <row r="50" spans="2:9">
      <c r="B50" s="134" t="s">
        <v>37</v>
      </c>
      <c r="C50" s="134" t="s">
        <v>509</v>
      </c>
      <c r="D50" s="134" t="s">
        <v>281</v>
      </c>
      <c r="E50" s="134" t="s">
        <v>137</v>
      </c>
      <c r="F50" s="134" t="s">
        <v>277</v>
      </c>
      <c r="G50" s="134" t="s">
        <v>229</v>
      </c>
      <c r="H50" s="134"/>
      <c r="I50" s="134" t="s">
        <v>278</v>
      </c>
    </row>
    <row r="51" spans="2:9">
      <c r="B51" s="134" t="s">
        <v>37</v>
      </c>
      <c r="C51" s="134" t="s">
        <v>653</v>
      </c>
      <c r="D51" s="134" t="s">
        <v>550</v>
      </c>
      <c r="E51" s="134" t="s">
        <v>137</v>
      </c>
      <c r="F51" s="134" t="s">
        <v>277</v>
      </c>
      <c r="G51" s="134" t="s">
        <v>423</v>
      </c>
      <c r="H51" s="134"/>
      <c r="I51" s="134" t="s">
        <v>278</v>
      </c>
    </row>
    <row r="52" spans="2:9">
      <c r="B52" s="134" t="s">
        <v>37</v>
      </c>
      <c r="C52" s="134" t="s">
        <v>654</v>
      </c>
      <c r="D52" s="134" t="s">
        <v>550</v>
      </c>
      <c r="E52" s="134" t="s">
        <v>137</v>
      </c>
      <c r="F52" s="134" t="s">
        <v>277</v>
      </c>
      <c r="G52" s="134" t="s">
        <v>423</v>
      </c>
      <c r="H52" s="134"/>
      <c r="I52" s="134" t="s">
        <v>278</v>
      </c>
    </row>
    <row r="53" spans="2:9">
      <c r="B53" s="134" t="s">
        <v>37</v>
      </c>
      <c r="C53" s="134" t="s">
        <v>655</v>
      </c>
      <c r="D53" s="134" t="s">
        <v>550</v>
      </c>
      <c r="E53" s="134" t="s">
        <v>137</v>
      </c>
      <c r="F53" s="134" t="s">
        <v>277</v>
      </c>
      <c r="G53" s="134" t="s">
        <v>423</v>
      </c>
      <c r="H53" s="134"/>
      <c r="I53" s="134" t="s">
        <v>278</v>
      </c>
    </row>
    <row r="54" spans="2:9">
      <c r="B54" s="134" t="s">
        <v>37</v>
      </c>
      <c r="C54" s="134" t="s">
        <v>656</v>
      </c>
      <c r="D54" s="134" t="s">
        <v>550</v>
      </c>
      <c r="E54" s="134" t="s">
        <v>137</v>
      </c>
      <c r="F54" s="134" t="s">
        <v>277</v>
      </c>
      <c r="G54" s="134" t="s">
        <v>423</v>
      </c>
      <c r="H54" s="134"/>
      <c r="I54" s="134" t="s">
        <v>278</v>
      </c>
    </row>
    <row r="55" spans="2:9">
      <c r="B55" s="134" t="s">
        <v>37</v>
      </c>
      <c r="C55" s="134" t="s">
        <v>493</v>
      </c>
      <c r="D55" s="134" t="s">
        <v>281</v>
      </c>
      <c r="E55" s="134" t="s">
        <v>137</v>
      </c>
      <c r="F55" s="134" t="s">
        <v>277</v>
      </c>
      <c r="G55" s="134" t="s">
        <v>423</v>
      </c>
      <c r="H55" s="134"/>
      <c r="I55" s="134" t="s">
        <v>278</v>
      </c>
    </row>
    <row r="56" spans="2:9">
      <c r="B56" s="134" t="s">
        <v>605</v>
      </c>
      <c r="C56" s="134" t="s">
        <v>282</v>
      </c>
      <c r="D56" s="134" t="s">
        <v>104</v>
      </c>
      <c r="E56" s="134" t="s">
        <v>137</v>
      </c>
      <c r="F56" s="134" t="s">
        <v>277</v>
      </c>
      <c r="G56" s="134" t="s">
        <v>229</v>
      </c>
      <c r="H56" s="134" t="s">
        <v>418</v>
      </c>
      <c r="I56" s="134" t="s">
        <v>278</v>
      </c>
    </row>
    <row r="57" spans="2:9">
      <c r="B57" s="134" t="s">
        <v>605</v>
      </c>
      <c r="C57" s="134" t="s">
        <v>419</v>
      </c>
      <c r="D57" s="134" t="s">
        <v>104</v>
      </c>
      <c r="E57" s="134" t="s">
        <v>137</v>
      </c>
      <c r="F57" s="134" t="s">
        <v>277</v>
      </c>
      <c r="G57" s="134" t="s">
        <v>229</v>
      </c>
      <c r="H57" s="134" t="s">
        <v>418</v>
      </c>
      <c r="I57" s="134" t="s">
        <v>278</v>
      </c>
    </row>
    <row r="58" spans="2:9">
      <c r="B58" s="134" t="s">
        <v>606</v>
      </c>
      <c r="C58" s="134" t="s">
        <v>420</v>
      </c>
      <c r="D58" s="134" t="s">
        <v>569</v>
      </c>
      <c r="E58" s="134" t="s">
        <v>137</v>
      </c>
      <c r="F58" s="134" t="s">
        <v>277</v>
      </c>
      <c r="G58" s="134" t="s">
        <v>229</v>
      </c>
      <c r="H58" s="134" t="s">
        <v>418</v>
      </c>
      <c r="I58" s="134" t="s">
        <v>278</v>
      </c>
    </row>
    <row r="59" spans="2:9">
      <c r="B59" s="134" t="s">
        <v>606</v>
      </c>
      <c r="C59" s="134" t="s">
        <v>574</v>
      </c>
      <c r="D59" s="134" t="s">
        <v>568</v>
      </c>
      <c r="E59" s="134" t="s">
        <v>137</v>
      </c>
      <c r="F59" s="134" t="s">
        <v>277</v>
      </c>
      <c r="G59" s="134" t="s">
        <v>425</v>
      </c>
      <c r="H59" s="134" t="s">
        <v>418</v>
      </c>
      <c r="I59" s="134" t="s">
        <v>278</v>
      </c>
    </row>
    <row r="60" spans="2:9">
      <c r="B60" s="134" t="s">
        <v>606</v>
      </c>
      <c r="C60" s="134" t="s">
        <v>577</v>
      </c>
      <c r="D60" s="134" t="s">
        <v>576</v>
      </c>
      <c r="E60" s="134" t="s">
        <v>137</v>
      </c>
      <c r="F60" s="134" t="s">
        <v>277</v>
      </c>
      <c r="G60" s="134" t="s">
        <v>229</v>
      </c>
      <c r="H60" s="134" t="s">
        <v>409</v>
      </c>
      <c r="I60" s="134" t="s">
        <v>278</v>
      </c>
    </row>
    <row r="61" spans="2:9">
      <c r="B61" s="134" t="s">
        <v>606</v>
      </c>
      <c r="C61" s="134" t="s">
        <v>578</v>
      </c>
      <c r="D61" s="134" t="s">
        <v>579</v>
      </c>
      <c r="E61" s="134" t="s">
        <v>137</v>
      </c>
      <c r="F61" s="134" t="s">
        <v>277</v>
      </c>
      <c r="G61" s="134" t="s">
        <v>229</v>
      </c>
      <c r="H61" s="134" t="s">
        <v>411</v>
      </c>
      <c r="I61" s="134" t="s">
        <v>278</v>
      </c>
    </row>
    <row r="62" spans="2:9">
      <c r="B62" s="134" t="s">
        <v>606</v>
      </c>
      <c r="C62" s="134" t="s">
        <v>583</v>
      </c>
      <c r="D62" s="134" t="s">
        <v>582</v>
      </c>
      <c r="E62" s="134" t="s">
        <v>137</v>
      </c>
      <c r="F62" s="134" t="s">
        <v>277</v>
      </c>
      <c r="G62" s="134" t="s">
        <v>425</v>
      </c>
      <c r="H62" s="134" t="s">
        <v>584</v>
      </c>
      <c r="I62" s="134" t="s">
        <v>278</v>
      </c>
    </row>
    <row r="63" spans="2:9">
      <c r="B63" s="134" t="s">
        <v>606</v>
      </c>
      <c r="C63" s="134" t="s">
        <v>585</v>
      </c>
      <c r="D63" s="134" t="s">
        <v>582</v>
      </c>
      <c r="E63" s="134" t="s">
        <v>137</v>
      </c>
      <c r="F63" s="134" t="s">
        <v>277</v>
      </c>
      <c r="G63" s="134" t="s">
        <v>425</v>
      </c>
      <c r="H63" s="134" t="s">
        <v>584</v>
      </c>
      <c r="I63" s="134" t="s">
        <v>278</v>
      </c>
    </row>
    <row r="64" spans="2:9">
      <c r="B64" s="134" t="s">
        <v>603</v>
      </c>
      <c r="C64" s="134" t="s">
        <v>390</v>
      </c>
      <c r="D64" s="134" t="s">
        <v>446</v>
      </c>
      <c r="E64" s="134" t="s">
        <v>137</v>
      </c>
      <c r="F64" s="134" t="s">
        <v>277</v>
      </c>
      <c r="G64" s="134" t="s">
        <v>229</v>
      </c>
      <c r="H64" s="134"/>
      <c r="I64" s="134" t="s">
        <v>278</v>
      </c>
    </row>
    <row r="65" spans="2:9">
      <c r="B65" s="134" t="s">
        <v>603</v>
      </c>
      <c r="C65" s="134" t="s">
        <v>263</v>
      </c>
      <c r="D65" s="134" t="s">
        <v>284</v>
      </c>
      <c r="E65" s="134" t="s">
        <v>137</v>
      </c>
      <c r="F65" s="134" t="s">
        <v>277</v>
      </c>
      <c r="G65" s="134" t="s">
        <v>229</v>
      </c>
      <c r="H65" s="134"/>
      <c r="I65" s="134" t="s">
        <v>278</v>
      </c>
    </row>
    <row r="66" spans="2:9">
      <c r="B66" s="134" t="s">
        <v>603</v>
      </c>
      <c r="C66" s="134" t="s">
        <v>262</v>
      </c>
      <c r="D66" s="134" t="s">
        <v>285</v>
      </c>
      <c r="E66" s="134" t="s">
        <v>137</v>
      </c>
      <c r="F66" s="134" t="s">
        <v>277</v>
      </c>
      <c r="G66" s="134" t="s">
        <v>229</v>
      </c>
      <c r="H66" s="134"/>
      <c r="I66" s="134" t="s">
        <v>278</v>
      </c>
    </row>
    <row r="67" spans="2:9">
      <c r="B67" s="134" t="s">
        <v>603</v>
      </c>
      <c r="C67" s="134" t="s">
        <v>261</v>
      </c>
      <c r="D67" s="134" t="s">
        <v>286</v>
      </c>
      <c r="E67" s="134" t="s">
        <v>137</v>
      </c>
      <c r="F67" s="134" t="s">
        <v>277</v>
      </c>
      <c r="G67" s="134" t="s">
        <v>229</v>
      </c>
      <c r="H67" s="134"/>
      <c r="I67" s="134" t="s">
        <v>278</v>
      </c>
    </row>
    <row r="68" spans="2:9">
      <c r="B68" s="134" t="s">
        <v>603</v>
      </c>
      <c r="C68" s="134" t="s">
        <v>264</v>
      </c>
      <c r="D68" s="134" t="s">
        <v>287</v>
      </c>
      <c r="E68" s="134" t="s">
        <v>137</v>
      </c>
      <c r="F68" s="134" t="s">
        <v>277</v>
      </c>
      <c r="G68" s="134" t="s">
        <v>231</v>
      </c>
      <c r="H68" s="134"/>
      <c r="I68" s="134" t="s">
        <v>278</v>
      </c>
    </row>
    <row r="69" spans="2:9">
      <c r="B69" s="134" t="s">
        <v>603</v>
      </c>
      <c r="C69" s="134" t="s">
        <v>437</v>
      </c>
      <c r="D69" s="134" t="s">
        <v>442</v>
      </c>
      <c r="E69" s="134" t="s">
        <v>137</v>
      </c>
      <c r="F69" s="134" t="s">
        <v>277</v>
      </c>
      <c r="G69" s="134" t="s">
        <v>423</v>
      </c>
      <c r="H69" s="134"/>
      <c r="I69" s="134" t="s">
        <v>278</v>
      </c>
    </row>
    <row r="70" spans="2:9">
      <c r="B70" s="134" t="s">
        <v>603</v>
      </c>
      <c r="C70" s="134" t="s">
        <v>436</v>
      </c>
      <c r="D70" s="134" t="s">
        <v>441</v>
      </c>
      <c r="E70" s="134" t="s">
        <v>137</v>
      </c>
      <c r="F70" s="134" t="s">
        <v>277</v>
      </c>
      <c r="G70" s="134" t="s">
        <v>229</v>
      </c>
      <c r="H70" s="134"/>
      <c r="I70" s="134" t="s">
        <v>278</v>
      </c>
    </row>
    <row r="71" spans="2:9">
      <c r="B71" s="134" t="s">
        <v>603</v>
      </c>
      <c r="C71" s="134" t="s">
        <v>659</v>
      </c>
      <c r="D71" s="134" t="s">
        <v>672</v>
      </c>
      <c r="E71" s="134" t="s">
        <v>137</v>
      </c>
      <c r="F71" s="134" t="s">
        <v>277</v>
      </c>
      <c r="G71" s="134" t="s">
        <v>231</v>
      </c>
      <c r="H71" s="134"/>
      <c r="I71" s="134" t="s">
        <v>278</v>
      </c>
    </row>
    <row r="72" spans="2:9">
      <c r="B72" s="134" t="s">
        <v>603</v>
      </c>
      <c r="C72" s="134" t="s">
        <v>661</v>
      </c>
      <c r="D72" s="134" t="s">
        <v>671</v>
      </c>
      <c r="E72" s="134" t="s">
        <v>137</v>
      </c>
      <c r="F72" s="134" t="s">
        <v>277</v>
      </c>
      <c r="G72" s="134" t="s">
        <v>231</v>
      </c>
      <c r="H72" s="134"/>
      <c r="I72" s="134" t="s">
        <v>278</v>
      </c>
    </row>
    <row r="73" spans="2:9">
      <c r="B73" s="134" t="s">
        <v>603</v>
      </c>
      <c r="C73" s="134" t="s">
        <v>660</v>
      </c>
      <c r="D73" s="134" t="s">
        <v>670</v>
      </c>
      <c r="E73" s="134" t="s">
        <v>137</v>
      </c>
      <c r="F73" s="134" t="s">
        <v>277</v>
      </c>
      <c r="G73" s="134" t="s">
        <v>231</v>
      </c>
      <c r="H73" s="134"/>
      <c r="I73" s="134" t="s">
        <v>278</v>
      </c>
    </row>
    <row r="74" spans="2:9">
      <c r="B74" s="134" t="s">
        <v>603</v>
      </c>
      <c r="C74" s="134" t="s">
        <v>260</v>
      </c>
      <c r="D74" s="134" t="s">
        <v>288</v>
      </c>
      <c r="E74" s="134" t="s">
        <v>137</v>
      </c>
      <c r="F74" s="134" t="s">
        <v>277</v>
      </c>
      <c r="G74" s="134" t="s">
        <v>229</v>
      </c>
      <c r="H74" s="134"/>
      <c r="I74" s="134" t="s">
        <v>278</v>
      </c>
    </row>
    <row r="75" spans="2:9">
      <c r="B75" s="134" t="s">
        <v>603</v>
      </c>
      <c r="C75" s="134" t="s">
        <v>265</v>
      </c>
      <c r="D75" s="134" t="s">
        <v>289</v>
      </c>
      <c r="E75" s="134" t="s">
        <v>137</v>
      </c>
      <c r="F75" s="134" t="s">
        <v>277</v>
      </c>
      <c r="G75" s="134" t="s">
        <v>425</v>
      </c>
      <c r="H75" s="134" t="s">
        <v>172</v>
      </c>
      <c r="I75" s="134" t="s">
        <v>559</v>
      </c>
    </row>
    <row r="76" spans="2:9">
      <c r="B76" s="134" t="s">
        <v>603</v>
      </c>
      <c r="C76" s="134" t="s">
        <v>545</v>
      </c>
      <c r="D76" s="134" t="s">
        <v>546</v>
      </c>
      <c r="E76" s="134" t="s">
        <v>137</v>
      </c>
      <c r="F76" s="134" t="s">
        <v>277</v>
      </c>
      <c r="G76" s="134" t="s">
        <v>425</v>
      </c>
      <c r="H76" s="134" t="s">
        <v>171</v>
      </c>
      <c r="I76" s="134" t="s">
        <v>559</v>
      </c>
    </row>
    <row r="77" spans="2:9">
      <c r="B77" s="134" t="s">
        <v>349</v>
      </c>
      <c r="C77" s="134" t="s">
        <v>358</v>
      </c>
      <c r="D77" s="134" t="s">
        <v>290</v>
      </c>
      <c r="E77" s="134" t="s">
        <v>137</v>
      </c>
      <c r="F77" s="134" t="s">
        <v>277</v>
      </c>
      <c r="G77" s="134" t="s">
        <v>229</v>
      </c>
      <c r="H77" s="134"/>
      <c r="I77" s="134" t="s">
        <v>278</v>
      </c>
    </row>
    <row r="78" spans="2:9">
      <c r="B78" s="134" t="s">
        <v>349</v>
      </c>
      <c r="C78" s="134" t="s">
        <v>357</v>
      </c>
      <c r="D78" s="134" t="s">
        <v>292</v>
      </c>
      <c r="E78" s="134" t="s">
        <v>137</v>
      </c>
      <c r="F78" s="134" t="s">
        <v>277</v>
      </c>
      <c r="G78" s="134" t="s">
        <v>229</v>
      </c>
      <c r="H78" s="134"/>
      <c r="I78" s="134" t="s">
        <v>278</v>
      </c>
    </row>
    <row r="79" spans="2:9">
      <c r="B79" s="134" t="s">
        <v>349</v>
      </c>
      <c r="C79" s="134" t="s">
        <v>371</v>
      </c>
      <c r="D79" s="134" t="s">
        <v>662</v>
      </c>
      <c r="E79" s="134" t="s">
        <v>137</v>
      </c>
      <c r="F79" s="134" t="s">
        <v>277</v>
      </c>
      <c r="G79" s="134" t="s">
        <v>229</v>
      </c>
      <c r="H79" s="134"/>
      <c r="I79" s="134" t="s">
        <v>278</v>
      </c>
    </row>
    <row r="80" spans="2:9">
      <c r="B80" s="134" t="s">
        <v>349</v>
      </c>
      <c r="C80" s="134" t="s">
        <v>356</v>
      </c>
      <c r="D80" s="134" t="s">
        <v>293</v>
      </c>
      <c r="E80" s="134" t="s">
        <v>137</v>
      </c>
      <c r="F80" s="134" t="s">
        <v>277</v>
      </c>
      <c r="G80" s="134" t="s">
        <v>229</v>
      </c>
      <c r="H80" s="134"/>
      <c r="I80" s="134" t="s">
        <v>278</v>
      </c>
    </row>
    <row r="81" spans="2:9">
      <c r="B81" s="134" t="s">
        <v>349</v>
      </c>
      <c r="C81" s="134" t="s">
        <v>355</v>
      </c>
      <c r="D81" s="134" t="s">
        <v>294</v>
      </c>
      <c r="E81" s="134" t="s">
        <v>137</v>
      </c>
      <c r="F81" s="134" t="s">
        <v>277</v>
      </c>
      <c r="G81" s="134" t="s">
        <v>229</v>
      </c>
      <c r="H81" s="134"/>
      <c r="I81" s="134" t="s">
        <v>278</v>
      </c>
    </row>
    <row r="82" spans="2:9">
      <c r="B82" s="134" t="s">
        <v>349</v>
      </c>
      <c r="C82" s="134" t="s">
        <v>649</v>
      </c>
      <c r="D82" s="134" t="s">
        <v>663</v>
      </c>
      <c r="E82" s="134" t="s">
        <v>137</v>
      </c>
      <c r="F82" s="134" t="s">
        <v>277</v>
      </c>
      <c r="G82" s="134" t="s">
        <v>423</v>
      </c>
      <c r="H82" s="134"/>
      <c r="I82" s="134" t="s">
        <v>278</v>
      </c>
    </row>
    <row r="83" spans="2:9">
      <c r="B83" s="134" t="s">
        <v>349</v>
      </c>
      <c r="C83" s="134" t="s">
        <v>362</v>
      </c>
      <c r="D83" s="134" t="s">
        <v>290</v>
      </c>
      <c r="E83" s="134" t="s">
        <v>137</v>
      </c>
      <c r="F83" s="134" t="s">
        <v>277</v>
      </c>
      <c r="G83" s="134" t="s">
        <v>229</v>
      </c>
      <c r="H83" s="134"/>
      <c r="I83" s="134" t="s">
        <v>278</v>
      </c>
    </row>
    <row r="84" spans="2:9">
      <c r="B84" s="134" t="s">
        <v>349</v>
      </c>
      <c r="C84" s="134" t="s">
        <v>361</v>
      </c>
      <c r="D84" s="134" t="s">
        <v>292</v>
      </c>
      <c r="E84" s="134" t="s">
        <v>137</v>
      </c>
      <c r="F84" s="134" t="s">
        <v>277</v>
      </c>
      <c r="G84" s="134" t="s">
        <v>229</v>
      </c>
      <c r="H84" s="134"/>
      <c r="I84" s="134" t="s">
        <v>278</v>
      </c>
    </row>
    <row r="85" spans="2:9">
      <c r="B85" s="134" t="s">
        <v>349</v>
      </c>
      <c r="C85" s="134" t="s">
        <v>374</v>
      </c>
      <c r="D85" s="134" t="s">
        <v>662</v>
      </c>
      <c r="E85" s="134" t="s">
        <v>137</v>
      </c>
      <c r="F85" s="134" t="s">
        <v>277</v>
      </c>
      <c r="G85" s="134" t="s">
        <v>229</v>
      </c>
      <c r="H85" s="134"/>
      <c r="I85" s="134" t="s">
        <v>278</v>
      </c>
    </row>
    <row r="86" spans="2:9">
      <c r="B86" s="134" t="s">
        <v>349</v>
      </c>
      <c r="C86" s="134" t="s">
        <v>360</v>
      </c>
      <c r="D86" s="134" t="s">
        <v>293</v>
      </c>
      <c r="E86" s="134" t="s">
        <v>137</v>
      </c>
      <c r="F86" s="134" t="s">
        <v>277</v>
      </c>
      <c r="G86" s="134" t="s">
        <v>229</v>
      </c>
      <c r="H86" s="134"/>
      <c r="I86" s="134" t="s">
        <v>278</v>
      </c>
    </row>
    <row r="87" spans="2:9">
      <c r="B87" s="134" t="s">
        <v>349</v>
      </c>
      <c r="C87" s="134" t="s">
        <v>359</v>
      </c>
      <c r="D87" s="134" t="s">
        <v>294</v>
      </c>
      <c r="E87" s="134" t="s">
        <v>137</v>
      </c>
      <c r="F87" s="134" t="s">
        <v>277</v>
      </c>
      <c r="G87" s="134" t="s">
        <v>229</v>
      </c>
      <c r="H87" s="134"/>
      <c r="I87" s="134" t="s">
        <v>278</v>
      </c>
    </row>
    <row r="88" spans="2:9">
      <c r="B88" s="134" t="s">
        <v>349</v>
      </c>
      <c r="C88" s="134" t="s">
        <v>650</v>
      </c>
      <c r="D88" s="134" t="s">
        <v>663</v>
      </c>
      <c r="E88" s="134" t="s">
        <v>137</v>
      </c>
      <c r="F88" s="134" t="s">
        <v>277</v>
      </c>
      <c r="G88" s="134" t="s">
        <v>423</v>
      </c>
      <c r="H88" s="134"/>
      <c r="I88" s="134" t="s">
        <v>278</v>
      </c>
    </row>
    <row r="89" spans="2:9">
      <c r="B89" s="134" t="s">
        <v>349</v>
      </c>
      <c r="C89" s="134" t="s">
        <v>366</v>
      </c>
      <c r="D89" s="134" t="s">
        <v>290</v>
      </c>
      <c r="E89" s="134" t="s">
        <v>137</v>
      </c>
      <c r="F89" s="134" t="s">
        <v>277</v>
      </c>
      <c r="G89" s="134" t="s">
        <v>229</v>
      </c>
      <c r="H89" s="134"/>
      <c r="I89" s="134" t="s">
        <v>278</v>
      </c>
    </row>
    <row r="90" spans="2:9">
      <c r="B90" s="134" t="s">
        <v>349</v>
      </c>
      <c r="C90" s="134" t="s">
        <v>365</v>
      </c>
      <c r="D90" s="134" t="s">
        <v>292</v>
      </c>
      <c r="E90" s="134" t="s">
        <v>137</v>
      </c>
      <c r="F90" s="134" t="s">
        <v>277</v>
      </c>
      <c r="G90" s="134" t="s">
        <v>229</v>
      </c>
      <c r="H90" s="134"/>
      <c r="I90" s="134" t="s">
        <v>278</v>
      </c>
    </row>
    <row r="91" spans="2:9">
      <c r="B91" s="134" t="s">
        <v>349</v>
      </c>
      <c r="C91" s="134" t="s">
        <v>373</v>
      </c>
      <c r="D91" s="134" t="s">
        <v>662</v>
      </c>
      <c r="E91" s="134" t="s">
        <v>137</v>
      </c>
      <c r="F91" s="134" t="s">
        <v>277</v>
      </c>
      <c r="G91" s="134" t="s">
        <v>229</v>
      </c>
      <c r="H91" s="134"/>
      <c r="I91" s="134" t="s">
        <v>278</v>
      </c>
    </row>
    <row r="92" spans="2:9">
      <c r="B92" s="134" t="s">
        <v>349</v>
      </c>
      <c r="C92" s="134" t="s">
        <v>364</v>
      </c>
      <c r="D92" s="134" t="s">
        <v>293</v>
      </c>
      <c r="E92" s="134" t="s">
        <v>137</v>
      </c>
      <c r="F92" s="134" t="s">
        <v>277</v>
      </c>
      <c r="G92" s="134" t="s">
        <v>229</v>
      </c>
      <c r="H92" s="134"/>
      <c r="I92" s="134" t="s">
        <v>278</v>
      </c>
    </row>
    <row r="93" spans="2:9">
      <c r="B93" s="134" t="s">
        <v>349</v>
      </c>
      <c r="C93" s="134" t="s">
        <v>363</v>
      </c>
      <c r="D93" s="134" t="s">
        <v>294</v>
      </c>
      <c r="E93" s="134" t="s">
        <v>137</v>
      </c>
      <c r="F93" s="134" t="s">
        <v>277</v>
      </c>
      <c r="G93" s="134" t="s">
        <v>229</v>
      </c>
      <c r="H93" s="134"/>
      <c r="I93" s="134" t="s">
        <v>278</v>
      </c>
    </row>
    <row r="94" spans="2:9">
      <c r="B94" s="134" t="s">
        <v>349</v>
      </c>
      <c r="C94" s="134" t="s">
        <v>652</v>
      </c>
      <c r="D94" s="134" t="s">
        <v>663</v>
      </c>
      <c r="E94" s="134" t="s">
        <v>137</v>
      </c>
      <c r="F94" s="134" t="s">
        <v>277</v>
      </c>
      <c r="G94" s="134" t="s">
        <v>423</v>
      </c>
      <c r="H94" s="134"/>
      <c r="I94" s="134" t="s">
        <v>278</v>
      </c>
    </row>
    <row r="95" spans="2:9">
      <c r="B95" s="134" t="s">
        <v>349</v>
      </c>
      <c r="C95" s="134" t="s">
        <v>370</v>
      </c>
      <c r="D95" s="134" t="s">
        <v>290</v>
      </c>
      <c r="E95" s="134" t="s">
        <v>137</v>
      </c>
      <c r="F95" s="134" t="s">
        <v>277</v>
      </c>
      <c r="G95" s="134" t="s">
        <v>229</v>
      </c>
      <c r="H95" s="134"/>
      <c r="I95" s="134" t="s">
        <v>278</v>
      </c>
    </row>
    <row r="96" spans="2:9">
      <c r="B96" s="134" t="s">
        <v>349</v>
      </c>
      <c r="C96" s="134" t="s">
        <v>369</v>
      </c>
      <c r="D96" s="134" t="s">
        <v>292</v>
      </c>
      <c r="E96" s="134" t="s">
        <v>137</v>
      </c>
      <c r="F96" s="134" t="s">
        <v>277</v>
      </c>
      <c r="G96" s="134" t="s">
        <v>229</v>
      </c>
      <c r="H96" s="134"/>
      <c r="I96" s="134" t="s">
        <v>278</v>
      </c>
    </row>
    <row r="97" spans="2:9">
      <c r="B97" s="134" t="s">
        <v>349</v>
      </c>
      <c r="C97" s="134" t="s">
        <v>372</v>
      </c>
      <c r="D97" s="134" t="s">
        <v>662</v>
      </c>
      <c r="E97" s="134" t="s">
        <v>137</v>
      </c>
      <c r="F97" s="134" t="s">
        <v>277</v>
      </c>
      <c r="G97" s="134" t="s">
        <v>229</v>
      </c>
      <c r="H97" s="134"/>
      <c r="I97" s="134" t="s">
        <v>278</v>
      </c>
    </row>
    <row r="98" spans="2:9">
      <c r="B98" s="134" t="s">
        <v>349</v>
      </c>
      <c r="C98" s="134" t="s">
        <v>368</v>
      </c>
      <c r="D98" s="134" t="s">
        <v>293</v>
      </c>
      <c r="E98" s="134" t="s">
        <v>137</v>
      </c>
      <c r="F98" s="134" t="s">
        <v>277</v>
      </c>
      <c r="G98" s="134" t="s">
        <v>229</v>
      </c>
      <c r="H98" s="134"/>
      <c r="I98" s="134" t="s">
        <v>278</v>
      </c>
    </row>
    <row r="99" spans="2:9">
      <c r="B99" s="134" t="s">
        <v>349</v>
      </c>
      <c r="C99" s="134" t="s">
        <v>367</v>
      </c>
      <c r="D99" s="134" t="s">
        <v>294</v>
      </c>
      <c r="E99" s="134" t="s">
        <v>137</v>
      </c>
      <c r="F99" s="134" t="s">
        <v>277</v>
      </c>
      <c r="G99" s="134" t="s">
        <v>229</v>
      </c>
      <c r="H99" s="134"/>
      <c r="I99" s="134" t="s">
        <v>278</v>
      </c>
    </row>
    <row r="100" spans="2:9">
      <c r="B100" s="134" t="s">
        <v>349</v>
      </c>
      <c r="C100" s="134" t="s">
        <v>651</v>
      </c>
      <c r="D100" s="134" t="s">
        <v>663</v>
      </c>
      <c r="E100" s="134" t="s">
        <v>137</v>
      </c>
      <c r="F100" s="134" t="s">
        <v>277</v>
      </c>
      <c r="G100" s="134" t="s">
        <v>423</v>
      </c>
      <c r="H100" s="134"/>
      <c r="I100" s="134" t="s">
        <v>278</v>
      </c>
    </row>
    <row r="101" spans="2:9">
      <c r="B101" s="134" t="s">
        <v>349</v>
      </c>
      <c r="C101" s="134" t="s">
        <v>665</v>
      </c>
      <c r="D101" s="134" t="s">
        <v>551</v>
      </c>
      <c r="E101" s="134" t="s">
        <v>137</v>
      </c>
      <c r="F101" s="134" t="s">
        <v>277</v>
      </c>
      <c r="G101" s="134" t="s">
        <v>423</v>
      </c>
      <c r="H101" s="134"/>
      <c r="I101" s="134" t="s">
        <v>278</v>
      </c>
    </row>
    <row r="102" spans="2:9">
      <c r="B102" s="134" t="s">
        <v>349</v>
      </c>
      <c r="C102" s="134" t="s">
        <v>668</v>
      </c>
      <c r="D102" s="134" t="s">
        <v>551</v>
      </c>
      <c r="E102" s="134" t="s">
        <v>137</v>
      </c>
      <c r="F102" s="134" t="s">
        <v>277</v>
      </c>
      <c r="G102" s="134" t="s">
        <v>423</v>
      </c>
      <c r="H102" s="134"/>
      <c r="I102" s="134" t="s">
        <v>278</v>
      </c>
    </row>
    <row r="103" spans="2:9">
      <c r="B103" s="134" t="s">
        <v>349</v>
      </c>
      <c r="C103" s="134" t="s">
        <v>667</v>
      </c>
      <c r="D103" s="134" t="s">
        <v>551</v>
      </c>
      <c r="E103" s="134" t="s">
        <v>137</v>
      </c>
      <c r="F103" s="134" t="s">
        <v>277</v>
      </c>
      <c r="G103" s="134" t="s">
        <v>423</v>
      </c>
      <c r="H103" s="134"/>
      <c r="I103" s="134" t="s">
        <v>278</v>
      </c>
    </row>
    <row r="104" spans="2:9">
      <c r="B104" s="134" t="s">
        <v>349</v>
      </c>
      <c r="C104" s="134" t="s">
        <v>666</v>
      </c>
      <c r="D104" s="134" t="s">
        <v>551</v>
      </c>
      <c r="E104" s="134" t="s">
        <v>137</v>
      </c>
      <c r="F104" s="134" t="s">
        <v>277</v>
      </c>
      <c r="G104" s="134" t="s">
        <v>423</v>
      </c>
      <c r="H104" s="134"/>
      <c r="I104" s="134" t="s">
        <v>278</v>
      </c>
    </row>
    <row r="105" spans="2:9">
      <c r="B105" s="134" t="s">
        <v>349</v>
      </c>
      <c r="C105" s="134" t="s">
        <v>593</v>
      </c>
      <c r="D105" s="134" t="s">
        <v>595</v>
      </c>
      <c r="E105" s="134" t="s">
        <v>137</v>
      </c>
      <c r="F105" s="134" t="s">
        <v>291</v>
      </c>
      <c r="G105" s="134" t="s">
        <v>229</v>
      </c>
      <c r="H105" s="134" t="s">
        <v>53</v>
      </c>
      <c r="I105" s="134" t="s">
        <v>278</v>
      </c>
    </row>
    <row r="106" spans="2:9">
      <c r="B106" s="134" t="s">
        <v>604</v>
      </c>
      <c r="C106" s="134" t="s">
        <v>520</v>
      </c>
      <c r="D106" s="134" t="s">
        <v>535</v>
      </c>
      <c r="E106" s="134" t="s">
        <v>137</v>
      </c>
      <c r="F106" s="134" t="s">
        <v>283</v>
      </c>
      <c r="G106" s="134"/>
      <c r="H106" s="134"/>
      <c r="I106" s="134" t="s">
        <v>278</v>
      </c>
    </row>
    <row r="107" spans="2:9">
      <c r="B107" s="134" t="s">
        <v>604</v>
      </c>
      <c r="C107" s="134" t="s">
        <v>521</v>
      </c>
      <c r="D107" s="134" t="s">
        <v>536</v>
      </c>
      <c r="E107" s="134" t="s">
        <v>137</v>
      </c>
      <c r="F107" s="134" t="s">
        <v>283</v>
      </c>
      <c r="G107" s="134"/>
      <c r="H107" s="134"/>
      <c r="I107" s="134" t="s">
        <v>278</v>
      </c>
    </row>
    <row r="108" spans="2:9">
      <c r="B108" s="134" t="s">
        <v>604</v>
      </c>
      <c r="C108" s="134" t="s">
        <v>522</v>
      </c>
      <c r="D108" s="134" t="s">
        <v>537</v>
      </c>
      <c r="E108" s="134" t="s">
        <v>137</v>
      </c>
      <c r="F108" s="134" t="s">
        <v>283</v>
      </c>
      <c r="G108" s="134"/>
      <c r="H108" s="134"/>
      <c r="I108" s="134" t="s">
        <v>278</v>
      </c>
    </row>
    <row r="109" spans="2:9">
      <c r="B109" s="134" t="s">
        <v>604</v>
      </c>
      <c r="C109" s="134" t="s">
        <v>700</v>
      </c>
      <c r="D109" s="134" t="s">
        <v>701</v>
      </c>
      <c r="E109" s="134" t="s">
        <v>137</v>
      </c>
      <c r="F109" s="134" t="s">
        <v>283</v>
      </c>
      <c r="G109" s="134"/>
      <c r="H109" s="134" t="s">
        <v>523</v>
      </c>
      <c r="I109" s="134" t="s">
        <v>278</v>
      </c>
    </row>
    <row r="110" spans="2:9">
      <c r="B110" s="134" t="s">
        <v>604</v>
      </c>
      <c r="C110" s="134" t="s">
        <v>675</v>
      </c>
      <c r="D110" s="134" t="s">
        <v>646</v>
      </c>
      <c r="E110" s="134" t="s">
        <v>137</v>
      </c>
      <c r="F110" s="134" t="s">
        <v>283</v>
      </c>
      <c r="G110" s="134"/>
      <c r="H110" s="134"/>
      <c r="I110" s="134" t="s">
        <v>278</v>
      </c>
    </row>
    <row r="111" spans="2:9">
      <c r="B111" s="134" t="s">
        <v>447</v>
      </c>
      <c r="C111" s="134" t="s">
        <v>426</v>
      </c>
      <c r="D111" s="134" t="s">
        <v>427</v>
      </c>
      <c r="E111" s="134" t="s">
        <v>137</v>
      </c>
      <c r="F111" s="134" t="s">
        <v>283</v>
      </c>
      <c r="G111" s="134" t="s">
        <v>231</v>
      </c>
      <c r="H111" s="134"/>
      <c r="I111" s="134" t="s">
        <v>278</v>
      </c>
    </row>
    <row r="112" spans="2:9">
      <c r="B112" s="134" t="s">
        <v>447</v>
      </c>
      <c r="C112" s="134" t="s">
        <v>428</v>
      </c>
      <c r="D112" s="134" t="s">
        <v>429</v>
      </c>
      <c r="E112" s="134" t="s">
        <v>137</v>
      </c>
      <c r="F112" s="134" t="s">
        <v>283</v>
      </c>
      <c r="G112" s="134" t="s">
        <v>423</v>
      </c>
      <c r="H112" s="134"/>
      <c r="I112" s="134" t="s">
        <v>278</v>
      </c>
    </row>
    <row r="113" spans="2:9">
      <c r="B113" s="134" t="s">
        <v>447</v>
      </c>
      <c r="C113" s="134" t="s">
        <v>431</v>
      </c>
      <c r="D113" s="134" t="s">
        <v>430</v>
      </c>
      <c r="E113" s="134" t="s">
        <v>137</v>
      </c>
      <c r="F113" s="134" t="s">
        <v>283</v>
      </c>
      <c r="G113" s="134" t="s">
        <v>229</v>
      </c>
      <c r="H113" s="134"/>
      <c r="I113" s="134" t="s">
        <v>278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B1:AD123"/>
  <sheetViews>
    <sheetView topLeftCell="A74" zoomScale="80" workbookViewId="0">
      <selection activeCell="D25" sqref="D25"/>
    </sheetView>
  </sheetViews>
  <sheetFormatPr defaultColWidth="9.140625" defaultRowHeight="12.75"/>
  <cols>
    <col min="1" max="1" width="9.140625" customWidth="1"/>
    <col min="2" max="2" width="13.7109375" customWidth="1"/>
    <col min="3" max="3" width="23.5703125" customWidth="1"/>
    <col min="4" max="4" width="9.140625" customWidth="1"/>
    <col min="5" max="5" width="12.140625" customWidth="1"/>
    <col min="6" max="6" width="16.140625" customWidth="1"/>
    <col min="7" max="10" width="9.140625" customWidth="1"/>
    <col min="11" max="11" width="11.42578125" customWidth="1"/>
    <col min="12" max="255" width="9.140625" customWidth="1"/>
  </cols>
  <sheetData>
    <row r="1" spans="2:30">
      <c r="D1" s="11"/>
      <c r="G1" s="4"/>
      <c r="H1" s="4"/>
      <c r="I1" s="4"/>
      <c r="J1" s="4"/>
      <c r="K1" s="4"/>
      <c r="L1" s="4"/>
      <c r="M1" s="99"/>
      <c r="N1" s="4"/>
      <c r="O1" s="4"/>
      <c r="P1" s="4"/>
      <c r="Q1" s="4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>
      <c r="B2" s="4"/>
      <c r="C2" s="16"/>
      <c r="D2" s="3"/>
      <c r="F2" s="98"/>
      <c r="G2" s="164"/>
      <c r="M2" s="4"/>
      <c r="N2" s="4"/>
      <c r="O2" s="4"/>
      <c r="P2" s="4"/>
      <c r="X2" s="3"/>
      <c r="Y2" s="3"/>
      <c r="Z2" s="3"/>
      <c r="AA2" s="3"/>
      <c r="AB2" s="2"/>
      <c r="AC2" s="3"/>
      <c r="AD2" s="3"/>
    </row>
    <row r="3" spans="2:30">
      <c r="F3" s="98"/>
      <c r="I3" s="72"/>
      <c r="J3" s="72"/>
      <c r="M3" s="5"/>
      <c r="N3" s="2"/>
      <c r="O3" s="2"/>
      <c r="P3" s="2"/>
      <c r="X3" s="5"/>
      <c r="Y3" s="5"/>
      <c r="Z3" s="5"/>
      <c r="AA3" s="5"/>
      <c r="AB3" s="5"/>
      <c r="AC3" s="5"/>
      <c r="AD3" s="5"/>
    </row>
    <row r="4" spans="2:30" ht="18">
      <c r="B4" s="32" t="s">
        <v>206</v>
      </c>
      <c r="C4" s="33"/>
      <c r="D4" s="61"/>
      <c r="E4" s="61"/>
      <c r="F4" s="164" t="str">
        <f>"~FI_T: "&amp;Region&amp;"~EUR10"</f>
        <v>~FI_T: FIN~EUR10</v>
      </c>
      <c r="X4" s="8"/>
      <c r="Y4" s="8"/>
      <c r="Z4" s="8"/>
      <c r="AA4" s="8"/>
      <c r="AB4" s="8"/>
    </row>
    <row r="5" spans="2:30" ht="23.25" thickBot="1">
      <c r="B5" s="100" t="s">
        <v>212</v>
      </c>
      <c r="C5" s="100" t="s">
        <v>213</v>
      </c>
      <c r="D5" s="100" t="s">
        <v>214</v>
      </c>
      <c r="E5" s="100" t="s">
        <v>215</v>
      </c>
      <c r="F5" s="100" t="s">
        <v>219</v>
      </c>
      <c r="G5" s="101" t="s">
        <v>462</v>
      </c>
      <c r="H5" s="103" t="str">
        <f ca="1">"Share~UP~"&amp;AuxYear</f>
        <v>Share~UP~2017</v>
      </c>
      <c r="I5" s="103" t="str">
        <f ca="1">"Share~UP~"&amp;BaseYear+25</f>
        <v>Share~UP~2035</v>
      </c>
      <c r="J5" s="101" t="s">
        <v>224</v>
      </c>
      <c r="K5" s="101" t="s">
        <v>33</v>
      </c>
      <c r="L5" s="223" t="s">
        <v>63</v>
      </c>
      <c r="M5" s="102" t="s">
        <v>343</v>
      </c>
      <c r="N5" s="102" t="str">
        <f ca="1">"RESID~"&amp;AuxYear</f>
        <v>RESID~2017</v>
      </c>
      <c r="O5" s="102" t="s">
        <v>460</v>
      </c>
      <c r="P5" s="102" t="s">
        <v>461</v>
      </c>
      <c r="Q5" s="102" t="s">
        <v>547</v>
      </c>
      <c r="R5" s="102" t="str">
        <f ca="1">"ACT_BND~UP~"&amp;AuxYear</f>
        <v>ACT_BND~UP~2017</v>
      </c>
      <c r="S5" s="103" t="s">
        <v>259</v>
      </c>
    </row>
    <row r="6" spans="2:30">
      <c r="B6" s="6" t="str">
        <f>CONCATENATE("FT-",E10,"0")</f>
        <v>FT-ELCNGA0</v>
      </c>
      <c r="C6" s="50" t="s">
        <v>107</v>
      </c>
      <c r="D6" s="23" t="str">
        <f ca="1">IEAData!A19</f>
        <v>GASGWG</v>
      </c>
      <c r="E6" s="51"/>
      <c r="F6" s="23"/>
      <c r="G6" s="266">
        <f ca="1">IF(IEAData!$Q$26=0,0,IEAData!$Q19/IEAData!$Q$26)</f>
        <v>0</v>
      </c>
      <c r="H6" s="266">
        <f ca="1">IF(IEAData!$Q$26=0,0,IEAData!R19/IEAData!$Q$26)</f>
        <v>0</v>
      </c>
      <c r="I6" s="266"/>
      <c r="J6" s="267"/>
      <c r="K6" s="268">
        <v>1</v>
      </c>
      <c r="L6" s="269"/>
      <c r="M6" s="269"/>
      <c r="N6" s="270">
        <f ca="1">MAX(IEAData!$M$102,AuxData!$M$102)/$S6</f>
        <v>66.414608497419977</v>
      </c>
      <c r="O6" s="270">
        <f>N6</f>
        <v>66.414608497419977</v>
      </c>
      <c r="P6" s="270">
        <f>O6*0.5</f>
        <v>33.207304248709988</v>
      </c>
      <c r="Q6" s="270"/>
      <c r="R6" s="270"/>
      <c r="S6" s="265">
        <v>0.45</v>
      </c>
    </row>
    <row r="7" spans="2:30">
      <c r="B7" s="19"/>
      <c r="C7" s="50"/>
      <c r="D7" s="23" t="str">
        <f ca="1">IEAData!A23</f>
        <v>GASNGA</v>
      </c>
      <c r="E7" s="51"/>
      <c r="F7" s="23"/>
      <c r="G7" s="266">
        <f ca="1">IF(IEAData!$Q$26=0,1,IEAData!$Q23/IEAData!$Q$26)+0.001</f>
        <v>1.0009999999999999</v>
      </c>
      <c r="H7" s="266">
        <f ca="1">IF(IEAData!$Q$26=0,1,IEAData!R23/IEAData!$Q$26)+0.001</f>
        <v>1.0009999999999999</v>
      </c>
      <c r="I7" s="266">
        <v>1</v>
      </c>
      <c r="J7" s="267"/>
      <c r="K7" s="268"/>
      <c r="L7" s="271"/>
      <c r="M7" s="271"/>
      <c r="N7" s="271"/>
      <c r="O7" s="271"/>
      <c r="P7" s="271"/>
      <c r="Q7" s="271"/>
      <c r="R7" s="271"/>
      <c r="S7" s="7"/>
    </row>
    <row r="8" spans="2:30">
      <c r="B8" s="19"/>
      <c r="C8" s="50"/>
      <c r="D8" s="23" t="s">
        <v>532</v>
      </c>
      <c r="E8" s="51"/>
      <c r="F8" s="23"/>
      <c r="G8" s="266">
        <v>0.01</v>
      </c>
      <c r="H8" s="266">
        <v>0.1</v>
      </c>
      <c r="I8" s="266">
        <v>1</v>
      </c>
      <c r="J8" s="267"/>
      <c r="K8" s="268"/>
      <c r="L8" s="271"/>
      <c r="M8" s="271"/>
      <c r="N8" s="271"/>
      <c r="O8" s="271"/>
      <c r="P8" s="271"/>
      <c r="Q8" s="271"/>
      <c r="R8" s="271"/>
      <c r="S8" s="7"/>
    </row>
    <row r="9" spans="2:30">
      <c r="B9" s="19"/>
      <c r="C9" s="50"/>
      <c r="D9" s="23" t="s">
        <v>687</v>
      </c>
      <c r="E9" s="51"/>
      <c r="F9" s="23"/>
      <c r="G9" s="266">
        <v>0.01</v>
      </c>
      <c r="H9" s="266">
        <v>0.02</v>
      </c>
      <c r="I9" s="266">
        <v>0.15</v>
      </c>
      <c r="J9" s="267"/>
      <c r="K9" s="268"/>
      <c r="L9" s="271"/>
      <c r="M9" s="271"/>
      <c r="N9" s="271"/>
      <c r="O9" s="271"/>
      <c r="P9" s="271"/>
      <c r="Q9" s="271"/>
      <c r="R9" s="271"/>
      <c r="S9" s="7"/>
    </row>
    <row r="10" spans="2:30">
      <c r="B10" s="73"/>
      <c r="C10" s="201"/>
      <c r="D10" s="74"/>
      <c r="E10" s="97" t="s">
        <v>151</v>
      </c>
      <c r="F10" s="75" t="s">
        <v>87</v>
      </c>
      <c r="G10" s="272"/>
      <c r="H10" s="272"/>
      <c r="I10" s="272"/>
      <c r="J10" s="273">
        <v>1</v>
      </c>
      <c r="K10" s="274"/>
      <c r="L10" s="275"/>
      <c r="M10" s="275"/>
      <c r="N10" s="275"/>
      <c r="O10" s="275"/>
      <c r="P10" s="275"/>
      <c r="Q10" s="275"/>
      <c r="R10" s="275"/>
      <c r="S10" s="77"/>
    </row>
    <row r="11" spans="2:30">
      <c r="B11" s="6" t="str">
        <f>CONCATENATE("FT-",E21,"0")</f>
        <v>FT-ELCOIL0</v>
      </c>
      <c r="C11" s="50" t="s">
        <v>108</v>
      </c>
      <c r="D11" s="23" t="str">
        <f ca="1">IEAData!A27</f>
        <v>OILCRD</v>
      </c>
      <c r="E11" s="51"/>
      <c r="F11" s="23"/>
      <c r="G11" s="266">
        <f ca="1">IF(IEAData!$Q$36=0,0,(IEAData!$Q27+IEAData!$Q32)/(+IEAData!$Q$36))</f>
        <v>0</v>
      </c>
      <c r="H11" s="266">
        <f ca="1">IF(AuxData!$Q$36=0,0,(AuxData!$Q27+AuxData!$Q32)/(+AuxData!$Q$36))</f>
        <v>0</v>
      </c>
      <c r="I11" s="266"/>
      <c r="J11" s="267"/>
      <c r="K11" s="268">
        <v>1</v>
      </c>
      <c r="L11" s="269"/>
      <c r="M11" s="269"/>
      <c r="N11" s="269"/>
      <c r="O11" s="269"/>
      <c r="P11" s="269"/>
      <c r="Q11" s="269"/>
      <c r="R11" s="269"/>
      <c r="S11" s="18"/>
    </row>
    <row r="12" spans="2:30">
      <c r="B12" s="19"/>
      <c r="C12" s="50"/>
      <c r="D12" s="23" t="str">
        <f ca="1">IEAData!A28</f>
        <v>OILDST</v>
      </c>
      <c r="E12" s="51"/>
      <c r="F12" s="23"/>
      <c r="G12" s="266">
        <f ca="1">IF(IEAData!$Q$36=0,0,IEAData!$Q28/(+IEAData!$Q$36))</f>
        <v>5.9495204509780013E-2</v>
      </c>
      <c r="H12" s="266">
        <f ca="1">IF(AuxData!$Q$36=0,0,AuxData!$Q28/(+AuxData!$Q$36))</f>
        <v>0.30459091744409589</v>
      </c>
      <c r="I12" s="266"/>
      <c r="J12" s="267"/>
      <c r="K12" s="268"/>
      <c r="L12" s="271"/>
      <c r="M12" s="271"/>
      <c r="N12" s="271"/>
      <c r="O12" s="271"/>
      <c r="P12" s="271"/>
      <c r="Q12" s="271"/>
      <c r="R12" s="271"/>
      <c r="S12" s="7"/>
    </row>
    <row r="13" spans="2:30">
      <c r="B13" s="19"/>
      <c r="C13" s="50"/>
      <c r="D13" s="23" t="str">
        <f ca="1">IEAData!A29</f>
        <v>OILGSL</v>
      </c>
      <c r="E13" s="51"/>
      <c r="F13" s="23"/>
      <c r="G13" s="266">
        <f ca="1">IF(IEAData!$Q$36=0,0,IEAData!$Q29/(+IEAData!$Q$36))</f>
        <v>0</v>
      </c>
      <c r="H13" s="266">
        <f ca="1">IF(AuxData!$Q$36=0,0,AuxData!$Q29/(+AuxData!$Q$36))</f>
        <v>0</v>
      </c>
      <c r="I13" s="266"/>
      <c r="J13" s="267"/>
      <c r="K13" s="268"/>
      <c r="L13" s="271"/>
      <c r="M13" s="271"/>
      <c r="N13" s="271"/>
      <c r="O13" s="271"/>
      <c r="P13" s="271"/>
      <c r="Q13" s="271"/>
      <c r="R13" s="271"/>
      <c r="S13" s="7"/>
    </row>
    <row r="14" spans="2:30">
      <c r="B14" s="19"/>
      <c r="C14" s="50"/>
      <c r="D14" s="23" t="str">
        <f ca="1">IEAData!A30</f>
        <v>OILNAP</v>
      </c>
      <c r="E14" s="51"/>
      <c r="F14" s="23"/>
      <c r="G14" s="266">
        <f ca="1">IF(IEAData!$Q$36=0,0,IEAData!$Q30/(+IEAData!$Q$36))</f>
        <v>0</v>
      </c>
      <c r="H14" s="266">
        <f ca="1">IF(AuxData!$Q$36=0,0,AuxData!$Q30/(+AuxData!$Q$36))</f>
        <v>0</v>
      </c>
      <c r="I14" s="266"/>
      <c r="J14" s="267"/>
      <c r="K14" s="268"/>
      <c r="L14" s="271"/>
      <c r="M14" s="271"/>
      <c r="N14" s="271"/>
      <c r="O14" s="271"/>
      <c r="P14" s="271"/>
      <c r="Q14" s="271"/>
      <c r="R14" s="271"/>
      <c r="S14" s="7"/>
    </row>
    <row r="15" spans="2:30">
      <c r="B15" s="19"/>
      <c r="C15" s="50"/>
      <c r="D15" s="23" t="str">
        <f ca="1">IEAData!A31</f>
        <v>OILNGL</v>
      </c>
      <c r="E15" s="51"/>
      <c r="F15" s="23"/>
      <c r="G15" s="266">
        <f ca="1">IF(IEAData!$Q$36=0,0,IEAData!$Q31/(+IEAData!$Q$36))</f>
        <v>0</v>
      </c>
      <c r="H15" s="266">
        <f ca="1">IF(AuxData!$Q$36=0,0,AuxData!$Q31/(+AuxData!$Q$36))</f>
        <v>0</v>
      </c>
      <c r="I15" s="266"/>
      <c r="J15" s="267"/>
      <c r="K15" s="268"/>
      <c r="L15" s="271"/>
      <c r="M15" s="271"/>
      <c r="N15" s="271"/>
      <c r="O15" s="271"/>
      <c r="P15" s="271"/>
      <c r="Q15" s="271"/>
      <c r="R15" s="271"/>
      <c r="S15" s="7"/>
    </row>
    <row r="16" spans="2:30">
      <c r="B16" s="19"/>
      <c r="C16" s="50"/>
      <c r="D16" s="23" t="str">
        <f ca="1">IEAData!A34</f>
        <v>OILKER</v>
      </c>
      <c r="E16" s="51"/>
      <c r="F16" s="23"/>
      <c r="G16" s="266">
        <f ca="1">IF(IEAData!$Q$36=0,0,IEAData!$Q34/(+IEAData!$Q$36))</f>
        <v>0</v>
      </c>
      <c r="H16" s="266">
        <f ca="1">IF(AuxData!$Q$36=0,0,AuxData!$Q34/(+AuxData!$Q$36))</f>
        <v>0</v>
      </c>
      <c r="I16" s="266"/>
      <c r="J16" s="267"/>
      <c r="K16" s="268"/>
      <c r="L16" s="271"/>
      <c r="M16" s="271"/>
      <c r="N16" s="271"/>
      <c r="O16" s="271"/>
      <c r="P16" s="271"/>
      <c r="Q16" s="271"/>
      <c r="R16" s="271"/>
      <c r="S16" s="7"/>
    </row>
    <row r="17" spans="2:29">
      <c r="B17" s="19"/>
      <c r="C17" s="50"/>
      <c r="D17" s="23" t="str">
        <f ca="1">IEAData!A35</f>
        <v>OILHFO</v>
      </c>
      <c r="E17" s="51"/>
      <c r="F17" s="23"/>
      <c r="G17" s="266">
        <f ca="1">IF(IEAData!$Q$36=0,0,SUM(IEAData!$Q35,IEAData!$Q33)/(+IEAData!$Q$36))+0.001</f>
        <v>0.94150479549021993</v>
      </c>
      <c r="H17" s="266">
        <f ca="1">IF(AuxData!$Q$36=0,0,SUM(AuxData!$Q35,AuxData!$Q33)/(+AuxData!$Q$36))+0.001</f>
        <v>0.55699456549065351</v>
      </c>
      <c r="I17" s="266">
        <v>1</v>
      </c>
      <c r="J17" s="267"/>
      <c r="K17" s="268"/>
      <c r="L17" s="271"/>
      <c r="M17" s="271"/>
      <c r="N17" s="271"/>
      <c r="O17" s="271"/>
      <c r="P17" s="271"/>
      <c r="Q17" s="271"/>
      <c r="R17" s="271"/>
      <c r="S17" s="7"/>
    </row>
    <row r="18" spans="2:29">
      <c r="B18" s="19"/>
      <c r="C18" s="50"/>
      <c r="D18" s="23" t="str">
        <f ca="1">IEAData!A46</f>
        <v>OILPTC</v>
      </c>
      <c r="E18" s="51"/>
      <c r="F18" s="23"/>
      <c r="G18" s="266">
        <f ca="1">IF(IEAData!$Q$46=0,0,IEAData!$Q46/(IEAData!$Q$36))</f>
        <v>0</v>
      </c>
      <c r="H18" s="266">
        <f ca="1">IF(AuxData!$Q$46=0,0,AuxData!$Q46/(AuxData!$Q$36))</f>
        <v>0</v>
      </c>
      <c r="I18" s="266"/>
      <c r="J18" s="267"/>
      <c r="K18" s="268"/>
      <c r="L18" s="271"/>
      <c r="M18" s="271"/>
      <c r="N18" s="271"/>
      <c r="O18" s="271"/>
      <c r="P18" s="271"/>
      <c r="Q18" s="271"/>
      <c r="R18" s="271"/>
      <c r="S18" s="7"/>
    </row>
    <row r="19" spans="2:29">
      <c r="B19" s="19"/>
      <c r="C19" s="50"/>
      <c r="D19" s="23" t="str">
        <f ca="1">IEAData!A25</f>
        <v>OILLPG</v>
      </c>
      <c r="E19" s="51"/>
      <c r="F19" s="23"/>
      <c r="G19" s="266">
        <f ca="1">IF(IEAData!$Q$36=0,0,IEAData!$Q25/(+IEAData!$Q$36))</f>
        <v>0</v>
      </c>
      <c r="H19" s="266">
        <f ca="1">IF(AuxData!$Q$36=0,0,AuxData!$Q25/(+AuxData!$Q$36))</f>
        <v>2.0996991748449111E-2</v>
      </c>
      <c r="I19" s="266"/>
      <c r="J19" s="267"/>
      <c r="K19" s="268"/>
      <c r="L19" s="271"/>
      <c r="M19" s="271"/>
      <c r="N19" s="271"/>
      <c r="O19" s="271"/>
      <c r="P19" s="271"/>
      <c r="Q19" s="271"/>
      <c r="R19" s="271"/>
      <c r="S19" s="7"/>
    </row>
    <row r="20" spans="2:29">
      <c r="B20" s="19"/>
      <c r="C20" s="50"/>
      <c r="D20" s="23" t="str">
        <f ca="1">IEAData!A24</f>
        <v>GASRFG</v>
      </c>
      <c r="E20" s="51"/>
      <c r="F20" s="23"/>
      <c r="G20" s="266">
        <f ca="1">IF(IEAData!$Q$36=0,0,IEAData!$Q24/IEAData!$Q$36)</f>
        <v>0</v>
      </c>
      <c r="H20" s="266">
        <f ca="1">IF(AuxData!$Q$36=0,0,AuxData!$Q24/AuxData!$Q$36)</f>
        <v>0.11841752531680144</v>
      </c>
      <c r="I20" s="266"/>
      <c r="J20" s="267"/>
      <c r="K20" s="268"/>
      <c r="L20" s="271"/>
      <c r="M20" s="271"/>
      <c r="N20" s="271"/>
      <c r="O20" s="271"/>
      <c r="P20" s="271"/>
      <c r="Q20" s="271"/>
      <c r="R20" s="271"/>
      <c r="S20" s="7"/>
    </row>
    <row r="21" spans="2:29">
      <c r="B21" s="93"/>
      <c r="C21" s="201"/>
      <c r="D21" s="74"/>
      <c r="E21" s="97" t="s">
        <v>56</v>
      </c>
      <c r="F21" s="75" t="s">
        <v>88</v>
      </c>
      <c r="G21" s="272"/>
      <c r="H21" s="301"/>
      <c r="I21" s="272"/>
      <c r="J21" s="273">
        <v>1</v>
      </c>
      <c r="K21" s="274"/>
      <c r="L21" s="275"/>
      <c r="M21" s="275"/>
      <c r="N21" s="275"/>
      <c r="O21" s="275"/>
      <c r="P21" s="275"/>
      <c r="Q21" s="275"/>
      <c r="R21" s="275"/>
      <c r="S21" s="77"/>
    </row>
    <row r="22" spans="2:29">
      <c r="B22" s="6" t="str">
        <f>CONCATENATE("FT-",E27,"0")</f>
        <v>FT-ELCCOA0</v>
      </c>
      <c r="C22" s="50" t="s">
        <v>109</v>
      </c>
      <c r="D22" s="23" t="str">
        <f ca="1">IEAData!A44</f>
        <v>COAHCO</v>
      </c>
      <c r="E22" s="51"/>
      <c r="F22" s="23"/>
      <c r="G22" s="266">
        <f ca="1">IF($Q22=0,1,IEAData!$Q44/$Q22)+0.0011</f>
        <v>0.99695230708349114</v>
      </c>
      <c r="H22" s="266">
        <f ca="1">IF($R22=0,1,AuxData!$Q44/$R22)+0.01</f>
        <v>0.80955811625720775</v>
      </c>
      <c r="I22" s="266">
        <v>1</v>
      </c>
      <c r="J22" s="267"/>
      <c r="K22" s="268">
        <v>1</v>
      </c>
      <c r="L22" s="269"/>
      <c r="M22" s="269"/>
      <c r="N22" s="269"/>
      <c r="O22" s="269"/>
      <c r="P22" s="269"/>
      <c r="Q22" s="276">
        <f ca="1">(IEAData!$Q$47-IEAData!$Q$43)*1.001</f>
        <v>109.19988540287574</v>
      </c>
      <c r="R22" s="276">
        <f ca="1">(AuxData!$Q$47-AuxData!$Q$43)*1.005</f>
        <v>34.366471935349061</v>
      </c>
      <c r="S22" s="31"/>
    </row>
    <row r="23" spans="2:29">
      <c r="B23" s="19"/>
      <c r="C23" s="50"/>
      <c r="D23" s="23" t="str">
        <f ca="1">IEAData!A45</f>
        <v>COAOVC</v>
      </c>
      <c r="E23" s="51"/>
      <c r="F23" s="23"/>
      <c r="G23" s="266">
        <f ca="1">IF(IEAData!$Q$47=0,0,IEAData!$Q45/(IEAData!$Q$47-IEAData!$Q$43))</f>
        <v>5.4897409791417441E-4</v>
      </c>
      <c r="H23" s="266">
        <f ca="1">IF(AuxData!$Q$47=0,0,AuxData!$Q45/(AuxData!$Q$47-AuxData!$Q$43))</f>
        <v>0</v>
      </c>
      <c r="I23" s="266"/>
      <c r="J23" s="267"/>
      <c r="K23" s="268"/>
      <c r="L23" s="271"/>
      <c r="M23" s="271"/>
      <c r="N23" s="271"/>
      <c r="O23" s="271"/>
      <c r="P23" s="271"/>
      <c r="Q23" s="271"/>
      <c r="R23" s="271"/>
      <c r="S23" s="7"/>
    </row>
    <row r="24" spans="2:29">
      <c r="B24" s="19"/>
      <c r="C24" s="50"/>
      <c r="D24" s="23" t="str">
        <f ca="1">IEAData!A20</f>
        <v>GASBFG</v>
      </c>
      <c r="E24" s="51"/>
      <c r="F24" s="23"/>
      <c r="G24" s="266">
        <f ca="1">IF(IEAData!$Q$47=0,0,IEAData!$Q20/(IEAData!$Q$47-IEAData!$Q$43))</f>
        <v>2.6028665115111448E-3</v>
      </c>
      <c r="H24" s="266">
        <f ca="1">IF(AuxData!$Q$47=0,0,AuxData!$Q20/(AuxData!$Q$47-AuxData!$Q$43))</f>
        <v>0.16569436087918174</v>
      </c>
      <c r="I24" s="266"/>
      <c r="J24" s="267"/>
      <c r="K24" s="268"/>
      <c r="L24" s="271"/>
      <c r="M24" s="271"/>
      <c r="N24" s="271"/>
      <c r="O24" s="271"/>
      <c r="P24" s="271"/>
      <c r="Q24" s="271"/>
      <c r="R24" s="271"/>
      <c r="S24" s="7"/>
    </row>
    <row r="25" spans="2:29">
      <c r="B25" s="19"/>
      <c r="C25" s="50"/>
      <c r="D25" s="23" t="str">
        <f ca="1">IEAData!A21</f>
        <v>GASCOG</v>
      </c>
      <c r="E25" s="51"/>
      <c r="F25" s="23"/>
      <c r="G25" s="266">
        <f ca="1">IF(IEAData!$Q$47=0,0,IEAData!$Q21/(IEAData!$Q$47-IEAData!$Q$43))</f>
        <v>0</v>
      </c>
      <c r="H25" s="266">
        <f ca="1">IF(AuxData!$Q$47=0,0,AuxData!$Q21/(AuxData!$Q$47-AuxData!$Q$43))</f>
        <v>1.7502396423803589E-2</v>
      </c>
      <c r="I25" s="266"/>
      <c r="J25" s="267"/>
      <c r="K25" s="268"/>
      <c r="L25" s="271"/>
      <c r="M25" s="271"/>
      <c r="N25" s="271"/>
      <c r="O25" s="271"/>
      <c r="P25" s="271"/>
      <c r="Q25" s="271"/>
      <c r="R25" s="271"/>
      <c r="S25" s="7"/>
    </row>
    <row r="26" spans="2:29">
      <c r="B26" s="19"/>
      <c r="C26" s="50"/>
      <c r="D26" s="23" t="str">
        <f ca="1">IEAData!A22</f>
        <v>GASOXY</v>
      </c>
      <c r="E26" s="51"/>
      <c r="F26" s="23"/>
      <c r="G26" s="266">
        <f ca="1">IF(IEAData!$Q$47=0,0,IEAData!$Q22/(IEAData!$Q$47-IEAData!$Q$43))</f>
        <v>0</v>
      </c>
      <c r="H26" s="266">
        <f ca="1">IF(AuxData!$Q$47=0,0,AuxData!$Q22/(AuxData!$Q$47-AuxData!$Q$43))</f>
        <v>1.3247335858520849E-2</v>
      </c>
      <c r="I26" s="266"/>
      <c r="J26" s="267"/>
      <c r="K26" s="268"/>
      <c r="L26" s="271"/>
      <c r="M26" s="271"/>
      <c r="N26" s="271"/>
      <c r="O26" s="271"/>
      <c r="P26" s="271"/>
      <c r="Q26" s="271"/>
      <c r="R26" s="271"/>
      <c r="S26" s="7"/>
    </row>
    <row r="27" spans="2:29">
      <c r="B27" s="93"/>
      <c r="C27" s="201"/>
      <c r="D27" s="74"/>
      <c r="E27" s="97" t="s">
        <v>169</v>
      </c>
      <c r="F27" s="75" t="s">
        <v>89</v>
      </c>
      <c r="G27" s="272"/>
      <c r="H27" s="301"/>
      <c r="I27" s="272"/>
      <c r="J27" s="273">
        <v>1</v>
      </c>
      <c r="K27" s="274"/>
      <c r="L27" s="275"/>
      <c r="M27" s="275"/>
      <c r="N27" s="275"/>
      <c r="O27" s="275"/>
      <c r="P27" s="275"/>
      <c r="Q27" s="275"/>
      <c r="R27" s="275"/>
      <c r="S27" s="77"/>
    </row>
    <row r="28" spans="2:29">
      <c r="B28" s="6" t="str">
        <f>CONCATENATE("FT-",E31,"0")</f>
        <v>FT-ELCBIO0</v>
      </c>
      <c r="C28" s="50" t="s">
        <v>110</v>
      </c>
      <c r="D28" s="23" t="str">
        <f ca="1">IEAData!A37</f>
        <v>BIOGLQ</v>
      </c>
      <c r="E28" s="51"/>
      <c r="F28" s="24"/>
      <c r="G28" s="266">
        <f ca="1">IF(IEAData!$Q$37&lt;=0,0,1/(1+IEAData!$Q40/IEAData!$Q37))</f>
        <v>8.5314938428171453E-3</v>
      </c>
      <c r="H28" s="266">
        <f ca="1">IF(AuxData!$Q$37&lt;=0,0,1/(1+AuxData!$Q40/AuxData!$Q37))</f>
        <v>3.8997043143043114E-2</v>
      </c>
      <c r="I28" s="267">
        <f>G28^0.4</f>
        <v>0.14873392287966683</v>
      </c>
      <c r="J28" s="266"/>
      <c r="K28" s="268">
        <v>1</v>
      </c>
      <c r="L28" s="269"/>
      <c r="M28" s="269"/>
      <c r="N28" s="270"/>
      <c r="O28" s="270"/>
      <c r="P28" s="270"/>
      <c r="Q28" s="270">
        <f ca="1">IEAData!$M105/0.99+1</f>
        <v>56.34693715366182</v>
      </c>
      <c r="R28" s="270">
        <f ca="1">AuxData!$M105/0.99+1</f>
        <v>81.585280454839946</v>
      </c>
      <c r="S28" s="122"/>
    </row>
    <row r="29" spans="2:29">
      <c r="B29" s="19"/>
      <c r="C29" s="50"/>
      <c r="D29" s="23" t="s">
        <v>539</v>
      </c>
      <c r="E29" s="51"/>
      <c r="F29" s="24"/>
      <c r="G29" s="266"/>
      <c r="H29" s="266"/>
      <c r="I29" s="266"/>
      <c r="J29" s="266"/>
      <c r="K29" s="268"/>
      <c r="L29" s="271"/>
      <c r="M29" s="271"/>
      <c r="N29" s="271"/>
      <c r="O29" s="271"/>
      <c r="P29" s="271"/>
      <c r="Q29" s="271"/>
      <c r="R29" s="271"/>
      <c r="S29" s="7"/>
    </row>
    <row r="30" spans="2:29">
      <c r="B30" s="19"/>
      <c r="C30" s="50"/>
      <c r="D30" s="23" t="s">
        <v>538</v>
      </c>
      <c r="E30" s="51"/>
      <c r="F30" s="24"/>
      <c r="G30" s="266"/>
      <c r="H30" s="266"/>
      <c r="I30" s="266"/>
      <c r="J30" s="266"/>
      <c r="K30" s="268"/>
      <c r="L30" s="271"/>
      <c r="M30" s="271"/>
      <c r="N30" s="271"/>
      <c r="O30" s="271"/>
      <c r="P30" s="271"/>
      <c r="Q30" s="271"/>
      <c r="R30" s="271"/>
      <c r="S30" s="7"/>
    </row>
    <row r="31" spans="2:29">
      <c r="B31" s="93"/>
      <c r="C31" s="304"/>
      <c r="D31" s="74"/>
      <c r="E31" s="97" t="s">
        <v>152</v>
      </c>
      <c r="F31" s="74" t="s">
        <v>103</v>
      </c>
      <c r="G31" s="272"/>
      <c r="H31" s="272"/>
      <c r="I31" s="272"/>
      <c r="J31" s="273">
        <v>1</v>
      </c>
      <c r="K31" s="274"/>
      <c r="L31" s="275"/>
      <c r="M31" s="275"/>
      <c r="N31" s="275"/>
      <c r="O31" s="275"/>
      <c r="P31" s="275"/>
      <c r="Q31" s="275"/>
      <c r="R31" s="275"/>
      <c r="S31" s="77"/>
    </row>
    <row r="32" spans="2:29">
      <c r="B32" s="6" t="str">
        <f>CONCATENATE("FT-",E34,"0")</f>
        <v>FT-ELCBMU0</v>
      </c>
      <c r="C32" s="50" t="s">
        <v>554</v>
      </c>
      <c r="D32" s="23" t="str">
        <f ca="1">IEAData!A38</f>
        <v>BIOBIN</v>
      </c>
      <c r="E32" s="51"/>
      <c r="F32" s="24"/>
      <c r="G32" s="266">
        <f ca="1">IF(IEAData!$Q$38&lt;=0,0,1/(1+IEAData!$Q39/IEAData!$Q38))</f>
        <v>5.4181168018357026E-2</v>
      </c>
      <c r="H32" s="266">
        <f ca="1">IF(AuxData!$Q$38&lt;=0,0,1/(1+AuxData!$Q39/AuxData!$Q38))</f>
        <v>4.0603755213640177E-3</v>
      </c>
      <c r="I32" s="266">
        <f>MAX(G32:H32)</f>
        <v>5.4181168018357026E-2</v>
      </c>
      <c r="J32" s="266"/>
      <c r="K32" s="268"/>
      <c r="L32" s="271"/>
      <c r="M32" s="271"/>
      <c r="N32" s="271"/>
      <c r="O32" s="271"/>
      <c r="P32" s="271"/>
      <c r="Q32" s="271"/>
      <c r="R32" s="271"/>
      <c r="S32" s="7"/>
      <c r="X32" s="8"/>
      <c r="Y32" s="8"/>
      <c r="Z32" s="8"/>
      <c r="AA32" s="8"/>
      <c r="AB32" s="8"/>
      <c r="AC32" s="8"/>
    </row>
    <row r="33" spans="2:29">
      <c r="B33" s="19"/>
      <c r="C33" s="50"/>
      <c r="D33" s="23" t="str">
        <f ca="1">IEAData!A39</f>
        <v>BIOBMU</v>
      </c>
      <c r="E33" s="51"/>
      <c r="F33" s="24"/>
      <c r="G33" s="266"/>
      <c r="H33" s="266"/>
      <c r="I33" s="266"/>
      <c r="J33" s="266"/>
      <c r="K33" s="268"/>
      <c r="L33" s="271"/>
      <c r="M33" s="271"/>
      <c r="N33" s="271"/>
      <c r="O33" s="271"/>
      <c r="P33" s="271"/>
      <c r="Q33" s="271"/>
      <c r="R33" s="271"/>
      <c r="S33" s="7"/>
      <c r="X33" s="8"/>
      <c r="Y33" s="8"/>
      <c r="Z33" s="8"/>
      <c r="AA33" s="8"/>
      <c r="AB33" s="8"/>
      <c r="AC33" s="8"/>
    </row>
    <row r="34" spans="2:29">
      <c r="B34" s="104"/>
      <c r="C34" s="305"/>
      <c r="D34" s="23"/>
      <c r="E34" s="97" t="s">
        <v>134</v>
      </c>
      <c r="F34" s="30" t="s">
        <v>135</v>
      </c>
      <c r="G34" s="277"/>
      <c r="H34" s="277"/>
      <c r="I34" s="277"/>
      <c r="J34" s="266">
        <v>1</v>
      </c>
      <c r="K34" s="268"/>
      <c r="L34" s="271"/>
      <c r="M34" s="271"/>
      <c r="N34" s="271"/>
      <c r="O34" s="271"/>
      <c r="P34" s="271"/>
      <c r="Q34" s="271"/>
      <c r="R34" s="271"/>
      <c r="S34" s="7"/>
      <c r="X34" s="8"/>
      <c r="Y34" s="8"/>
      <c r="Z34" s="8"/>
      <c r="AA34" s="8"/>
      <c r="AB34" s="8"/>
      <c r="AC34" s="8"/>
    </row>
    <row r="35" spans="2:29">
      <c r="B35" s="6" t="str">
        <f>CONCATENATE("FT-",E36,"0")</f>
        <v>FT-ELCNUC0</v>
      </c>
      <c r="C35" s="50" t="s">
        <v>92</v>
      </c>
      <c r="D35" s="35" t="s">
        <v>334</v>
      </c>
      <c r="E35" s="51"/>
      <c r="F35" s="23"/>
      <c r="G35" s="266"/>
      <c r="H35" s="266"/>
      <c r="I35" s="266"/>
      <c r="J35" s="267"/>
      <c r="K35" s="268">
        <v>1</v>
      </c>
      <c r="L35" s="271"/>
      <c r="M35" s="362">
        <v>0.3</v>
      </c>
      <c r="N35" s="266"/>
      <c r="O35" s="266"/>
      <c r="P35" s="266"/>
      <c r="Q35" s="266"/>
      <c r="R35" s="266"/>
      <c r="S35" s="20"/>
      <c r="X35" s="8"/>
      <c r="Y35" s="8"/>
      <c r="Z35" s="8"/>
      <c r="AA35" s="8"/>
      <c r="AB35" s="8"/>
      <c r="AC35" s="8"/>
    </row>
    <row r="36" spans="2:29">
      <c r="B36" s="93"/>
      <c r="C36" s="201"/>
      <c r="D36" s="74"/>
      <c r="E36" s="97" t="s">
        <v>338</v>
      </c>
      <c r="F36" s="115" t="s">
        <v>93</v>
      </c>
      <c r="G36" s="272"/>
      <c r="H36" s="272"/>
      <c r="I36" s="272"/>
      <c r="J36" s="273">
        <v>1</v>
      </c>
      <c r="K36" s="274"/>
      <c r="L36" s="275"/>
      <c r="M36" s="272"/>
      <c r="N36" s="272"/>
      <c r="O36" s="272"/>
      <c r="P36" s="272"/>
      <c r="Q36" s="272"/>
      <c r="R36" s="272"/>
      <c r="S36" s="76"/>
      <c r="X36" s="8"/>
      <c r="Y36" s="8"/>
      <c r="Z36" s="8"/>
      <c r="AA36" s="8"/>
      <c r="AB36" s="8"/>
      <c r="AC36" s="8"/>
    </row>
    <row r="37" spans="2:29">
      <c r="B37" s="6" t="str">
        <f>CONCATENATE("FT-",E38,"0")</f>
        <v>FT-ELCLIT0</v>
      </c>
      <c r="C37" s="50" t="s">
        <v>339</v>
      </c>
      <c r="D37" s="35" t="s">
        <v>340</v>
      </c>
      <c r="E37" s="51"/>
      <c r="F37" s="23"/>
      <c r="G37" s="266"/>
      <c r="H37" s="266"/>
      <c r="I37" s="266"/>
      <c r="J37" s="267"/>
      <c r="K37" s="268">
        <v>1</v>
      </c>
      <c r="L37" s="271"/>
      <c r="M37" s="266">
        <v>3.0000000000000001E-3</v>
      </c>
      <c r="N37" s="266"/>
      <c r="O37" s="266"/>
      <c r="P37" s="266"/>
      <c r="Q37" s="266"/>
      <c r="R37" s="266"/>
      <c r="S37" s="20"/>
      <c r="X37" s="8"/>
      <c r="Y37" s="8"/>
      <c r="Z37" s="8"/>
      <c r="AA37" s="8"/>
      <c r="AB37" s="8"/>
      <c r="AC37" s="8"/>
    </row>
    <row r="38" spans="2:29">
      <c r="B38" s="93"/>
      <c r="C38" s="201"/>
      <c r="D38" s="74"/>
      <c r="E38" s="97" t="s">
        <v>341</v>
      </c>
      <c r="F38" s="115" t="s">
        <v>342</v>
      </c>
      <c r="G38" s="272"/>
      <c r="H38" s="272"/>
      <c r="I38" s="272"/>
      <c r="J38" s="273">
        <v>1</v>
      </c>
      <c r="K38" s="274"/>
      <c r="L38" s="275"/>
      <c r="M38" s="272"/>
      <c r="N38" s="272"/>
      <c r="O38" s="272"/>
      <c r="P38" s="272"/>
      <c r="Q38" s="272"/>
      <c r="R38" s="272"/>
      <c r="S38" s="76"/>
      <c r="X38" s="8"/>
      <c r="Y38" s="8"/>
      <c r="Z38" s="8"/>
      <c r="AA38" s="8"/>
      <c r="AB38" s="8"/>
      <c r="AC38" s="8"/>
    </row>
    <row r="39" spans="2:29">
      <c r="F39" s="94"/>
      <c r="R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2:29">
      <c r="F40" s="94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2:29">
      <c r="C41" s="15"/>
      <c r="D41" s="9"/>
      <c r="E41" s="9"/>
      <c r="F41" s="164" t="str">
        <f>"~FI_T: "&amp;Region</f>
        <v>~FI_T: FIN</v>
      </c>
      <c r="G41" s="10"/>
      <c r="H41" s="10"/>
      <c r="I41" s="10"/>
      <c r="J41" s="15"/>
      <c r="K41" s="15"/>
      <c r="L41" s="15"/>
      <c r="M41" s="15"/>
      <c r="N41" s="15"/>
      <c r="O41" s="15"/>
      <c r="P41" s="15"/>
      <c r="Q41" s="15"/>
      <c r="R41" s="8"/>
      <c r="S41" s="8"/>
      <c r="T41" s="8"/>
      <c r="U41" s="8"/>
      <c r="V41" s="8"/>
      <c r="W41" s="8"/>
    </row>
    <row r="42" spans="2:29" ht="13.5" thickBot="1">
      <c r="B42" s="263" t="s">
        <v>212</v>
      </c>
      <c r="C42" s="263" t="s">
        <v>213</v>
      </c>
      <c r="D42" s="263" t="s">
        <v>214</v>
      </c>
      <c r="E42" s="263" t="s">
        <v>215</v>
      </c>
      <c r="F42" s="263" t="s">
        <v>219</v>
      </c>
      <c r="G42" s="264" t="s">
        <v>223</v>
      </c>
      <c r="H42" s="264" t="str">
        <f ca="1">"Share~FX~"&amp;AuxYear</f>
        <v>Share~FX~2017</v>
      </c>
      <c r="I42" s="223" t="s">
        <v>157</v>
      </c>
      <c r="J42" s="223" t="s">
        <v>33</v>
      </c>
      <c r="K42" s="223" t="s">
        <v>63</v>
      </c>
      <c r="L42" s="223" t="s">
        <v>43</v>
      </c>
      <c r="M42" s="8"/>
      <c r="N42" s="8"/>
      <c r="O42" s="8"/>
      <c r="P42" s="8"/>
    </row>
    <row r="43" spans="2:29">
      <c r="B43" s="6" t="str">
        <f>CONCATENATE("FT-",E43,"0")</f>
        <v>FT-ELCHYD0</v>
      </c>
      <c r="C43" s="201" t="s">
        <v>90</v>
      </c>
      <c r="D43" s="35" t="s">
        <v>58</v>
      </c>
      <c r="E43" s="97" t="s">
        <v>57</v>
      </c>
      <c r="F43" s="23" t="s">
        <v>91</v>
      </c>
      <c r="G43" s="20"/>
      <c r="H43" s="20"/>
      <c r="I43" s="345">
        <f ca="1">1/OtherData!C24</f>
        <v>1.0092323137742127</v>
      </c>
      <c r="J43" s="229">
        <v>1</v>
      </c>
      <c r="K43" s="45"/>
      <c r="L43" s="45">
        <v>60</v>
      </c>
      <c r="M43" s="8"/>
      <c r="N43" s="8"/>
      <c r="O43" s="8"/>
      <c r="P43" s="8"/>
    </row>
    <row r="44" spans="2:29">
      <c r="B44" s="200"/>
      <c r="C44" s="21"/>
      <c r="D44" s="23"/>
      <c r="E44" s="97" t="s">
        <v>424</v>
      </c>
      <c r="F44" s="23" t="s">
        <v>438</v>
      </c>
      <c r="G44" s="25">
        <f ca="1">OtherData!$S$6</f>
        <v>0.4</v>
      </c>
      <c r="H44" s="25">
        <f ca="1">OtherData!$T$6</f>
        <v>0.4</v>
      </c>
      <c r="I44" s="346"/>
      <c r="J44" s="229"/>
      <c r="K44" s="281"/>
      <c r="L44" s="281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2:29">
      <c r="B45" s="6" t="str">
        <f>CONCATENATE("FT-",E45,"0")</f>
        <v>FT-ELCHYM0</v>
      </c>
      <c r="C45" s="201" t="s">
        <v>636</v>
      </c>
      <c r="D45" s="35" t="s">
        <v>58</v>
      </c>
      <c r="E45" s="97" t="s">
        <v>439</v>
      </c>
      <c r="F45" s="23" t="s">
        <v>440</v>
      </c>
      <c r="G45" s="76"/>
      <c r="H45" s="76"/>
      <c r="I45" s="347">
        <f>I43</f>
        <v>1.0092323137742127</v>
      </c>
      <c r="J45" s="230">
        <v>1</v>
      </c>
      <c r="K45" s="287"/>
      <c r="L45" s="287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2:29">
      <c r="B46" s="6" t="str">
        <f>CONCATENATE("FT-",E46,"0")</f>
        <v>FT-ELCGEO0</v>
      </c>
      <c r="C46" s="21" t="s">
        <v>94</v>
      </c>
      <c r="D46" s="35" t="s">
        <v>194</v>
      </c>
      <c r="E46" s="97" t="s">
        <v>170</v>
      </c>
      <c r="F46" s="75" t="s">
        <v>95</v>
      </c>
      <c r="G46" s="20"/>
      <c r="H46" s="20"/>
      <c r="I46" s="345">
        <v>1</v>
      </c>
      <c r="J46" s="229">
        <v>1</v>
      </c>
      <c r="K46" s="45"/>
      <c r="L46" s="45">
        <v>60</v>
      </c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2:29">
      <c r="B47" s="6" t="str">
        <f>CONCATENATE("FT-",E47,"0")</f>
        <v>FT-ELCSOL0</v>
      </c>
      <c r="C47" s="21" t="s">
        <v>96</v>
      </c>
      <c r="D47" s="35" t="s">
        <v>195</v>
      </c>
      <c r="E47" s="97" t="s">
        <v>171</v>
      </c>
      <c r="F47" s="75" t="s">
        <v>97</v>
      </c>
      <c r="G47" s="20"/>
      <c r="H47" s="20"/>
      <c r="I47" s="345">
        <v>1</v>
      </c>
      <c r="J47" s="229">
        <v>1</v>
      </c>
      <c r="K47" s="45"/>
      <c r="L47" s="45">
        <v>60</v>
      </c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2:29">
      <c r="B48" s="6" t="str">
        <f>CONCATENATE("FT-",E48,"0")</f>
        <v>FT-ELCTDL0</v>
      </c>
      <c r="C48" s="21" t="s">
        <v>98</v>
      </c>
      <c r="D48" s="35" t="s">
        <v>196</v>
      </c>
      <c r="E48" s="97" t="s">
        <v>168</v>
      </c>
      <c r="F48" s="75" t="s">
        <v>99</v>
      </c>
      <c r="G48" s="20"/>
      <c r="H48" s="20"/>
      <c r="I48" s="345">
        <v>1</v>
      </c>
      <c r="J48" s="229">
        <v>1</v>
      </c>
      <c r="K48" s="45"/>
      <c r="L48" s="45">
        <v>60</v>
      </c>
      <c r="M48" s="78"/>
      <c r="N48" s="78"/>
      <c r="O48" s="78"/>
      <c r="P48" s="78"/>
      <c r="Q48" s="78"/>
      <c r="R48" s="78"/>
      <c r="S48" s="78"/>
      <c r="T48" s="78"/>
      <c r="U48" s="78"/>
      <c r="V48" s="78"/>
    </row>
    <row r="49" spans="2:29">
      <c r="B49" s="6" t="str">
        <f>CONCATENATE("FT-",E49,"0")</f>
        <v>FT-ELCWIN0</v>
      </c>
      <c r="C49" s="21" t="s">
        <v>100</v>
      </c>
      <c r="D49" s="35" t="s">
        <v>197</v>
      </c>
      <c r="E49" s="97" t="s">
        <v>172</v>
      </c>
      <c r="F49" s="75" t="s">
        <v>101</v>
      </c>
      <c r="G49" s="20"/>
      <c r="H49" s="20"/>
      <c r="I49" s="345">
        <f ca="1">1/OtherData!C27</f>
        <v>1.0092323147058957</v>
      </c>
      <c r="J49" s="229">
        <v>1</v>
      </c>
      <c r="K49" s="45"/>
      <c r="L49" s="45">
        <v>60</v>
      </c>
      <c r="M49" s="78"/>
      <c r="N49" s="78"/>
      <c r="O49" s="78"/>
      <c r="P49" s="78"/>
      <c r="Q49" s="78"/>
      <c r="R49" s="78"/>
      <c r="S49" s="78"/>
      <c r="T49" s="78"/>
      <c r="U49" s="78"/>
      <c r="V49" s="78"/>
    </row>
    <row r="50" spans="2:29">
      <c r="B50" s="205" t="s">
        <v>426</v>
      </c>
      <c r="C50" s="310" t="s">
        <v>427</v>
      </c>
      <c r="D50" s="311" t="str">
        <f>E$43</f>
        <v>ELCHYD</v>
      </c>
      <c r="E50" s="311" t="str">
        <f>D50</f>
        <v>ELCHYD</v>
      </c>
      <c r="F50" s="311" t="s">
        <v>91</v>
      </c>
      <c r="G50" s="312"/>
      <c r="H50" s="312"/>
      <c r="I50" s="296"/>
      <c r="J50" s="313">
        <v>1</v>
      </c>
      <c r="K50" s="314"/>
      <c r="L50" s="314"/>
      <c r="M50" s="78"/>
      <c r="N50" s="78"/>
      <c r="O50" s="78"/>
      <c r="P50" s="78"/>
      <c r="Q50" s="78"/>
      <c r="R50" s="78"/>
      <c r="S50" s="78"/>
      <c r="T50" s="78"/>
      <c r="U50" s="78"/>
      <c r="V50" s="78"/>
    </row>
    <row r="51" spans="2:29">
      <c r="B51" s="205" t="s">
        <v>428</v>
      </c>
      <c r="C51" s="310" t="s">
        <v>429</v>
      </c>
      <c r="D51" s="311" t="str">
        <f>E$43</f>
        <v>ELCHYD</v>
      </c>
      <c r="E51" s="315" t="str">
        <f>D51</f>
        <v>ELCHYD</v>
      </c>
      <c r="F51" s="311" t="s">
        <v>91</v>
      </c>
      <c r="G51" s="312"/>
      <c r="H51" s="312"/>
      <c r="I51" s="296"/>
      <c r="J51" s="313">
        <v>1</v>
      </c>
      <c r="K51" s="314"/>
      <c r="L51" s="314"/>
      <c r="M51" s="8"/>
      <c r="N51" s="8"/>
      <c r="O51" s="8"/>
      <c r="P51" s="8"/>
    </row>
    <row r="52" spans="2:29">
      <c r="B52" s="309" t="s">
        <v>431</v>
      </c>
      <c r="C52" s="316" t="s">
        <v>430</v>
      </c>
      <c r="D52" s="316" t="str">
        <f>E$43</f>
        <v>ELCHYD</v>
      </c>
      <c r="E52" s="316" t="str">
        <f>D52</f>
        <v>ELCHYD</v>
      </c>
      <c r="F52" s="316" t="s">
        <v>91</v>
      </c>
      <c r="G52" s="316"/>
      <c r="H52" s="316"/>
      <c r="I52" s="317"/>
      <c r="J52" s="317">
        <v>1</v>
      </c>
      <c r="K52" s="316"/>
      <c r="L52" s="316"/>
      <c r="M52" s="78"/>
      <c r="N52" s="78"/>
      <c r="O52" s="78"/>
      <c r="P52" s="78"/>
      <c r="Q52" s="78"/>
      <c r="R52" s="78"/>
      <c r="S52" s="78"/>
      <c r="T52" s="78"/>
      <c r="U52" s="78"/>
      <c r="V52" s="78"/>
    </row>
    <row r="53" spans="2:29">
      <c r="B53" s="205" t="str">
        <f>CONCATENATE("",E53,"000")</f>
        <v>ELCWOF000</v>
      </c>
      <c r="C53" s="343" t="s">
        <v>646</v>
      </c>
      <c r="D53" s="343" t="s">
        <v>172</v>
      </c>
      <c r="E53" s="343" t="s">
        <v>645</v>
      </c>
      <c r="F53" s="343" t="s">
        <v>647</v>
      </c>
      <c r="G53" s="343"/>
      <c r="H53" s="343"/>
      <c r="I53" s="344">
        <v>1</v>
      </c>
      <c r="J53" s="344">
        <v>1</v>
      </c>
      <c r="K53" s="343"/>
      <c r="L53" s="343"/>
      <c r="M53" s="8"/>
      <c r="N53" s="8"/>
      <c r="O53" s="8"/>
      <c r="P53" s="8"/>
    </row>
    <row r="54" spans="2:29">
      <c r="M54" s="8"/>
      <c r="N54" s="8"/>
      <c r="O54" s="8"/>
      <c r="P54" s="8"/>
    </row>
    <row r="55" spans="2:29">
      <c r="M55" s="8"/>
      <c r="N55" s="8"/>
      <c r="O55" s="8"/>
      <c r="P55" s="8"/>
    </row>
    <row r="56" spans="2:29">
      <c r="F56" s="95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2:29">
      <c r="D57" s="9"/>
      <c r="E57" s="9"/>
      <c r="F57" s="164" t="str">
        <f>"~FI_T: "&amp;Region</f>
        <v>~FI_T: FIN</v>
      </c>
      <c r="G57" s="10"/>
      <c r="H57" s="10"/>
      <c r="I57" s="10"/>
      <c r="J57" s="15"/>
      <c r="K57" s="15"/>
      <c r="L57" s="15"/>
      <c r="M57" s="15"/>
      <c r="N57" s="15"/>
      <c r="O57" s="15"/>
      <c r="P57" s="15"/>
      <c r="Q57" s="15"/>
      <c r="R57" s="8"/>
      <c r="S57" s="8"/>
      <c r="T57" s="8"/>
      <c r="U57" s="8"/>
      <c r="V57" s="8"/>
      <c r="W57" s="8"/>
    </row>
    <row r="58" spans="2:29" ht="24.75" thickBot="1">
      <c r="B58" s="288" t="s">
        <v>212</v>
      </c>
      <c r="C58" s="288" t="s">
        <v>213</v>
      </c>
      <c r="D58" s="288" t="s">
        <v>214</v>
      </c>
      <c r="E58" s="288" t="s">
        <v>215</v>
      </c>
      <c r="F58" s="288" t="s">
        <v>219</v>
      </c>
      <c r="G58" s="278" t="s">
        <v>157</v>
      </c>
      <c r="H58" s="278" t="str">
        <f ca="1">"Input~"&amp;AuxYear</f>
        <v>Input~2017</v>
      </c>
      <c r="I58" s="231" t="s">
        <v>224</v>
      </c>
      <c r="J58" s="231" t="s">
        <v>590</v>
      </c>
      <c r="K58" s="278" t="s">
        <v>33</v>
      </c>
      <c r="L58" s="289" t="s">
        <v>61</v>
      </c>
      <c r="M58" s="289" t="s">
        <v>63</v>
      </c>
      <c r="N58" s="278" t="str">
        <f ca="1">"Share~UP~"&amp;AuxYear</f>
        <v>Share~UP~2017</v>
      </c>
      <c r="O58" s="278" t="s">
        <v>491</v>
      </c>
      <c r="P58" s="278" t="s">
        <v>492</v>
      </c>
      <c r="Q58" s="231" t="s">
        <v>566</v>
      </c>
      <c r="R58" s="231" t="s">
        <v>567</v>
      </c>
      <c r="S58" s="232" t="s">
        <v>43</v>
      </c>
    </row>
    <row r="59" spans="2:29">
      <c r="B59" s="6" t="str">
        <f>CONCATENATE("ELCELC","000")</f>
        <v>ELCELC000</v>
      </c>
      <c r="C59" s="235" t="s">
        <v>609</v>
      </c>
      <c r="D59" s="236" t="s">
        <v>198</v>
      </c>
      <c r="E59" s="237"/>
      <c r="F59" s="238"/>
      <c r="G59" s="266"/>
      <c r="H59" s="266">
        <v>1</v>
      </c>
      <c r="I59" s="267"/>
      <c r="J59" s="267"/>
      <c r="K59" s="290">
        <v>1</v>
      </c>
      <c r="L59" s="290"/>
      <c r="M59" s="269"/>
      <c r="N59" s="291"/>
      <c r="O59" s="291"/>
      <c r="P59" s="291"/>
      <c r="Q59" s="291"/>
      <c r="R59" s="291"/>
      <c r="S59" s="269">
        <v>60</v>
      </c>
    </row>
    <row r="60" spans="2:29">
      <c r="B60" s="6"/>
      <c r="C60" s="235"/>
      <c r="D60" s="236"/>
      <c r="E60" s="239" t="s">
        <v>396</v>
      </c>
      <c r="F60" s="240" t="s">
        <v>407</v>
      </c>
      <c r="G60" s="266"/>
      <c r="H60" s="266"/>
      <c r="I60" s="267"/>
      <c r="J60" s="267"/>
      <c r="K60" s="290"/>
      <c r="L60" s="290"/>
      <c r="M60" s="292"/>
      <c r="N60" s="291"/>
      <c r="O60" s="291"/>
      <c r="P60" s="291"/>
      <c r="Q60" s="291"/>
      <c r="R60" s="291"/>
      <c r="S60" s="269"/>
    </row>
    <row r="61" spans="2:29">
      <c r="B61" s="93"/>
      <c r="C61" s="241"/>
      <c r="D61" s="240"/>
      <c r="E61" s="239" t="s">
        <v>417</v>
      </c>
      <c r="F61" s="240" t="s">
        <v>105</v>
      </c>
      <c r="G61" s="272"/>
      <c r="H61" s="272"/>
      <c r="I61" s="293"/>
      <c r="J61" s="293"/>
      <c r="K61" s="294"/>
      <c r="L61" s="294"/>
      <c r="M61" s="269"/>
      <c r="N61" s="291"/>
      <c r="O61" s="291"/>
      <c r="P61" s="291"/>
      <c r="Q61" s="291"/>
      <c r="R61" s="291"/>
      <c r="S61" s="269"/>
      <c r="T61" s="78"/>
    </row>
    <row r="62" spans="2:29">
      <c r="B62" s="6" t="str">
        <f>CONCATENATE("ELCELC","100")</f>
        <v>ELCELC100</v>
      </c>
      <c r="C62" s="235" t="s">
        <v>609</v>
      </c>
      <c r="D62" s="236" t="s">
        <v>396</v>
      </c>
      <c r="E62" s="237"/>
      <c r="F62" s="238"/>
      <c r="G62" s="266"/>
      <c r="H62" s="266">
        <v>1</v>
      </c>
      <c r="I62" s="267"/>
      <c r="J62" s="267"/>
      <c r="K62" s="290">
        <v>1</v>
      </c>
      <c r="L62" s="290"/>
      <c r="M62" s="269"/>
      <c r="N62" s="291"/>
      <c r="O62" s="291"/>
      <c r="P62" s="291"/>
      <c r="Q62" s="291"/>
      <c r="R62" s="291"/>
      <c r="S62" s="269">
        <v>60</v>
      </c>
      <c r="T62" s="8"/>
      <c r="X62" s="8"/>
      <c r="Y62" s="8"/>
      <c r="Z62" s="8"/>
      <c r="AA62" s="8"/>
      <c r="AB62" s="8"/>
    </row>
    <row r="63" spans="2:29">
      <c r="B63" s="6"/>
      <c r="C63" s="235"/>
      <c r="D63" s="236"/>
      <c r="E63" s="239" t="s">
        <v>199</v>
      </c>
      <c r="F63" s="240" t="s">
        <v>201</v>
      </c>
      <c r="G63" s="266"/>
      <c r="H63" s="266"/>
      <c r="I63" s="267"/>
      <c r="J63" s="267"/>
      <c r="K63" s="290"/>
      <c r="L63" s="290"/>
      <c r="M63" s="292"/>
      <c r="N63" s="291"/>
      <c r="O63" s="291"/>
      <c r="P63" s="291"/>
      <c r="Q63" s="291"/>
      <c r="R63" s="291"/>
      <c r="S63" s="269"/>
      <c r="T63" s="8"/>
      <c r="U63" s="234" t="s">
        <v>573</v>
      </c>
      <c r="V63" s="234" t="s">
        <v>573</v>
      </c>
      <c r="W63" s="8"/>
      <c r="X63" s="8"/>
      <c r="Y63" s="8"/>
      <c r="Z63" s="8"/>
      <c r="AA63" s="8"/>
      <c r="AB63" s="8"/>
    </row>
    <row r="64" spans="2:29" ht="17.25" customHeight="1">
      <c r="B64" s="6" t="str">
        <f>CONCATENATE("ELCHET","000")</f>
        <v>ELCHET000</v>
      </c>
      <c r="C64" s="262" t="s">
        <v>569</v>
      </c>
      <c r="D64" s="236" t="s">
        <v>409</v>
      </c>
      <c r="E64" s="237"/>
      <c r="F64" s="238"/>
      <c r="G64" s="267">
        <f ca="1">(U64+0)/SUM(U64,U66)</f>
        <v>0.45012043478666963</v>
      </c>
      <c r="H64" s="267">
        <f ca="1">(V64+0)/SUM(V64,V66)</f>
        <v>0.48566200542983251</v>
      </c>
      <c r="I64" s="267"/>
      <c r="J64" s="267"/>
      <c r="K64" s="290"/>
      <c r="L64" s="290"/>
      <c r="M64" s="269"/>
      <c r="N64" s="295"/>
      <c r="O64" s="295"/>
      <c r="P64" s="295"/>
      <c r="Q64" s="295">
        <f ca="1">($V64+0.015)/SUM($V64,$V66,0.01)</f>
        <v>0.5055732571925754</v>
      </c>
      <c r="R64" s="295">
        <f ca="1">($V64+0.025)/SUM($V64,$V66,0.015)</f>
        <v>0.5200983438097786</v>
      </c>
      <c r="S64" s="269">
        <v>60</v>
      </c>
      <c r="T64" s="8"/>
      <c r="U64" s="233">
        <f t="array" aca="1" ref="U64:U66" ca="1">TRANSPOSE(OtherData!$P70:$S70)/OtherData!$T70</f>
        <v>0.24446169808250334</v>
      </c>
      <c r="V64" s="233">
        <f t="array" aca="1" ref="V64:V66" ca="1">TRANSPOSE(OtherData!$P100:$S100)/OtherData!$T100</f>
        <v>0.24255395487921824</v>
      </c>
      <c r="W64" s="8"/>
      <c r="X64" s="8"/>
      <c r="Y64" s="8"/>
      <c r="Z64" s="8"/>
      <c r="AA64" s="8"/>
      <c r="AB64" s="8"/>
    </row>
    <row r="65" spans="2:28">
      <c r="B65" s="6"/>
      <c r="C65" s="262"/>
      <c r="D65" s="236" t="s">
        <v>411</v>
      </c>
      <c r="E65" s="237"/>
      <c r="F65" s="238"/>
      <c r="G65" s="267">
        <f ca="1">MAX(0,1-G64)</f>
        <v>0.54987956521333037</v>
      </c>
      <c r="H65" s="267">
        <f ca="1">MAX(0,1-H64)</f>
        <v>0.51433799457016749</v>
      </c>
      <c r="I65" s="267"/>
      <c r="J65" s="267"/>
      <c r="K65" s="290"/>
      <c r="L65" s="290"/>
      <c r="M65" s="269"/>
      <c r="N65" s="295"/>
      <c r="O65" s="295"/>
      <c r="P65" s="295"/>
      <c r="Q65" s="295">
        <f ca="1">MAX(0,1-Q64)</f>
        <v>0.4944267428074246</v>
      </c>
      <c r="R65" s="295">
        <f ca="1">MAX(0,1-R64)</f>
        <v>0.4799016561902214</v>
      </c>
      <c r="S65" s="269"/>
      <c r="T65" s="8"/>
      <c r="U65" s="233">
        <f ca="1"/>
        <v>0.18169529764036935</v>
      </c>
      <c r="V65" s="233">
        <f ca="1"/>
        <v>0.15612736118394427</v>
      </c>
      <c r="W65" s="8"/>
      <c r="X65" s="8"/>
      <c r="Y65" s="8"/>
      <c r="Z65" s="8"/>
      <c r="AA65" s="8"/>
      <c r="AB65" s="8"/>
    </row>
    <row r="66" spans="2:28">
      <c r="B66" s="6"/>
      <c r="C66" s="262"/>
      <c r="D66" s="236" t="s">
        <v>570</v>
      </c>
      <c r="E66" s="242" t="s">
        <v>53</v>
      </c>
      <c r="F66" s="238" t="s">
        <v>575</v>
      </c>
      <c r="G66" s="357">
        <f ca="1">IF(SUM(U64,U66)&lt;0.99,1,0)</f>
        <v>1</v>
      </c>
      <c r="H66" s="357">
        <f ca="1">IF(SUM(V64,V66)&lt;0.99,1,0)</f>
        <v>1</v>
      </c>
      <c r="I66" s="267"/>
      <c r="J66" s="267"/>
      <c r="K66" s="290">
        <v>1</v>
      </c>
      <c r="L66" s="290"/>
      <c r="M66" s="297"/>
      <c r="N66" s="291"/>
      <c r="O66" s="291"/>
      <c r="P66" s="291"/>
      <c r="Q66" s="291"/>
      <c r="R66" s="291"/>
      <c r="S66" s="269"/>
      <c r="T66" s="8"/>
      <c r="U66" s="233">
        <f ca="1"/>
        <v>0.29864116770576887</v>
      </c>
      <c r="V66" s="233">
        <f ca="1"/>
        <v>0.25687559111655545</v>
      </c>
      <c r="W66" s="8"/>
      <c r="X66" s="8"/>
      <c r="Y66" s="8"/>
      <c r="Z66" s="8"/>
      <c r="AA66" s="8"/>
      <c r="AB66" s="8"/>
    </row>
    <row r="67" spans="2:28" ht="17.25" customHeight="1">
      <c r="B67" s="6" t="str">
        <f>CONCATENATE("ELCHET","100")</f>
        <v>ELCHET100</v>
      </c>
      <c r="C67" s="262" t="s">
        <v>568</v>
      </c>
      <c r="D67" s="236" t="s">
        <v>410</v>
      </c>
      <c r="E67" s="242"/>
      <c r="F67" s="238"/>
      <c r="G67" s="266"/>
      <c r="H67" s="266"/>
      <c r="I67" s="298">
        <v>1</v>
      </c>
      <c r="J67" s="298"/>
      <c r="K67" s="290"/>
      <c r="L67" s="290">
        <v>2010</v>
      </c>
      <c r="M67" s="297"/>
      <c r="N67" s="295">
        <f ca="1">IF(V65&gt;0,V65/(1-SUM(V64,V66)),0)</f>
        <v>0.31189887444420777</v>
      </c>
      <c r="O67" s="299"/>
      <c r="P67" s="299"/>
      <c r="Q67" s="291"/>
      <c r="R67" s="291"/>
      <c r="S67" s="269">
        <v>60</v>
      </c>
      <c r="T67" s="8"/>
      <c r="U67" s="8"/>
      <c r="V67" s="8"/>
      <c r="W67" s="8"/>
      <c r="X67" s="8"/>
      <c r="Y67" s="8"/>
      <c r="Z67" s="8"/>
      <c r="AA67" s="8"/>
      <c r="AB67" s="8"/>
    </row>
    <row r="68" spans="2:28">
      <c r="B68" s="6"/>
      <c r="C68" s="235"/>
      <c r="D68" s="236" t="s">
        <v>412</v>
      </c>
      <c r="E68" s="242"/>
      <c r="F68" s="238"/>
      <c r="G68" s="266"/>
      <c r="H68" s="266"/>
      <c r="I68" s="267"/>
      <c r="J68" s="267"/>
      <c r="K68" s="290"/>
      <c r="L68" s="290"/>
      <c r="M68" s="297"/>
      <c r="N68" s="295">
        <f ca="1">1-N67+0.01</f>
        <v>0.69810112555579229</v>
      </c>
      <c r="O68" s="295">
        <f ca="1">N68+0.06</f>
        <v>0.75810112555579234</v>
      </c>
      <c r="P68" s="295">
        <f ca="1">O68+0.08</f>
        <v>0.8381011255557923</v>
      </c>
      <c r="Q68" s="291"/>
      <c r="R68" s="291"/>
      <c r="S68" s="269"/>
      <c r="T68" s="8"/>
      <c r="U68" s="8"/>
      <c r="V68" s="8"/>
      <c r="W68" s="8"/>
      <c r="X68" s="8"/>
      <c r="Y68" s="8"/>
      <c r="Z68" s="8"/>
      <c r="AA68" s="8"/>
      <c r="AB68" s="8"/>
    </row>
    <row r="69" spans="2:28">
      <c r="B69" s="6"/>
      <c r="C69" s="235"/>
      <c r="D69" s="236"/>
      <c r="E69" s="242" t="s">
        <v>53</v>
      </c>
      <c r="F69" s="238" t="s">
        <v>575</v>
      </c>
      <c r="G69" s="266"/>
      <c r="H69" s="266"/>
      <c r="I69" s="267"/>
      <c r="J69" s="267"/>
      <c r="K69" s="290"/>
      <c r="L69" s="290"/>
      <c r="M69" s="297"/>
      <c r="N69" s="291"/>
      <c r="O69" s="291"/>
      <c r="P69" s="291"/>
      <c r="Q69" s="291"/>
      <c r="R69" s="291"/>
      <c r="S69" s="269"/>
      <c r="T69" s="8"/>
      <c r="U69" s="8"/>
      <c r="V69" s="8"/>
      <c r="W69" s="8"/>
      <c r="X69" s="8"/>
      <c r="Y69" s="8"/>
      <c r="Z69" s="8"/>
      <c r="AA69" s="8"/>
      <c r="AB69" s="8"/>
    </row>
    <row r="70" spans="2:28">
      <c r="B70" s="6" t="s">
        <v>577</v>
      </c>
      <c r="C70" s="235" t="s">
        <v>576</v>
      </c>
      <c r="D70" s="236" t="s">
        <v>580</v>
      </c>
      <c r="E70" s="236" t="s">
        <v>409</v>
      </c>
      <c r="F70" s="238" t="s">
        <v>575</v>
      </c>
      <c r="G70" s="266"/>
      <c r="H70" s="266">
        <v>1</v>
      </c>
      <c r="I70" s="267"/>
      <c r="J70" s="267"/>
      <c r="K70" s="290"/>
      <c r="L70" s="290"/>
      <c r="M70" s="297"/>
      <c r="N70" s="291"/>
      <c r="O70" s="291"/>
      <c r="P70" s="291"/>
      <c r="Q70" s="291"/>
      <c r="R70" s="291"/>
      <c r="S70" s="269"/>
      <c r="T70" s="8"/>
      <c r="U70" s="8"/>
      <c r="V70" s="8"/>
      <c r="W70" s="8"/>
      <c r="X70" s="8"/>
      <c r="Y70" s="8"/>
      <c r="Z70" s="8"/>
      <c r="AA70" s="8"/>
      <c r="AB70" s="8"/>
    </row>
    <row r="71" spans="2:28">
      <c r="B71" s="6" t="s">
        <v>578</v>
      </c>
      <c r="C71" s="235" t="s">
        <v>579</v>
      </c>
      <c r="D71" s="236" t="s">
        <v>581</v>
      </c>
      <c r="E71" s="236" t="s">
        <v>411</v>
      </c>
      <c r="F71" s="238" t="s">
        <v>575</v>
      </c>
      <c r="G71" s="266"/>
      <c r="H71" s="266">
        <v>1</v>
      </c>
      <c r="I71" s="267"/>
      <c r="J71" s="267"/>
      <c r="K71" s="290"/>
      <c r="L71" s="290">
        <v>2010</v>
      </c>
      <c r="M71" s="297"/>
      <c r="N71" s="291"/>
      <c r="O71" s="291"/>
      <c r="P71" s="291"/>
      <c r="Q71" s="291"/>
      <c r="R71" s="291"/>
      <c r="S71" s="269"/>
      <c r="T71" s="8"/>
      <c r="U71" s="8"/>
      <c r="V71" s="8"/>
      <c r="W71" s="8"/>
      <c r="X71" s="8"/>
      <c r="Y71" s="8"/>
      <c r="Z71" s="8"/>
      <c r="AA71" s="8"/>
      <c r="AB71" s="8"/>
    </row>
    <row r="72" spans="2:28">
      <c r="B72" s="6" t="s">
        <v>583</v>
      </c>
      <c r="C72" s="235" t="s">
        <v>582</v>
      </c>
      <c r="D72" s="236" t="s">
        <v>580</v>
      </c>
      <c r="E72" s="236" t="s">
        <v>584</v>
      </c>
      <c r="F72" s="238" t="s">
        <v>586</v>
      </c>
      <c r="G72" s="266"/>
      <c r="H72" s="266"/>
      <c r="I72" s="298">
        <v>1</v>
      </c>
      <c r="J72" s="267"/>
      <c r="K72" s="290"/>
      <c r="L72" s="290"/>
      <c r="M72" s="297"/>
      <c r="N72" s="291"/>
      <c r="O72" s="291"/>
      <c r="P72" s="291"/>
      <c r="Q72" s="291"/>
      <c r="R72" s="291"/>
      <c r="S72" s="269"/>
      <c r="T72" s="8"/>
      <c r="U72" s="8"/>
      <c r="V72" s="8"/>
      <c r="W72" s="8"/>
      <c r="X72" s="8"/>
      <c r="Y72" s="8"/>
      <c r="Z72" s="8"/>
      <c r="AA72" s="8"/>
      <c r="AB72" s="8"/>
    </row>
    <row r="73" spans="2:28">
      <c r="B73" s="6"/>
      <c r="C73" s="235"/>
      <c r="D73" s="236" t="s">
        <v>409</v>
      </c>
      <c r="E73" s="236"/>
      <c r="F73" s="238"/>
      <c r="G73" s="266"/>
      <c r="H73" s="266"/>
      <c r="I73" s="298"/>
      <c r="J73" s="300">
        <v>0.84</v>
      </c>
      <c r="K73" s="290"/>
      <c r="L73" s="290"/>
      <c r="M73" s="297"/>
      <c r="N73" s="291"/>
      <c r="O73" s="291"/>
      <c r="P73" s="291"/>
      <c r="Q73" s="291"/>
      <c r="R73" s="291"/>
      <c r="S73" s="269"/>
      <c r="T73" s="8"/>
      <c r="U73" s="8"/>
      <c r="V73" s="8"/>
      <c r="W73" s="8"/>
      <c r="X73" s="8"/>
      <c r="Y73" s="8"/>
      <c r="Z73" s="8"/>
      <c r="AA73" s="8"/>
      <c r="AB73" s="8"/>
    </row>
    <row r="74" spans="2:28">
      <c r="B74" s="6" t="s">
        <v>585</v>
      </c>
      <c r="C74" s="235" t="s">
        <v>582</v>
      </c>
      <c r="D74" s="236" t="s">
        <v>581</v>
      </c>
      <c r="E74" s="236" t="s">
        <v>584</v>
      </c>
      <c r="F74" s="238" t="s">
        <v>586</v>
      </c>
      <c r="G74" s="266"/>
      <c r="H74" s="266"/>
      <c r="I74" s="298">
        <v>1</v>
      </c>
      <c r="J74" s="300"/>
      <c r="K74" s="290"/>
      <c r="L74" s="290">
        <v>2010</v>
      </c>
      <c r="M74" s="297"/>
      <c r="N74" s="291"/>
      <c r="O74" s="291"/>
      <c r="P74" s="291"/>
      <c r="Q74" s="291"/>
      <c r="R74" s="291"/>
      <c r="S74" s="269"/>
      <c r="T74" s="8"/>
      <c r="U74" s="8"/>
      <c r="V74" s="8"/>
      <c r="W74" s="8"/>
      <c r="X74" s="8"/>
      <c r="Y74" s="8"/>
      <c r="Z74" s="8"/>
      <c r="AA74" s="8"/>
      <c r="AB74" s="8"/>
    </row>
    <row r="75" spans="2:28">
      <c r="B75" s="6"/>
      <c r="C75" s="235"/>
      <c r="D75" s="236" t="s">
        <v>411</v>
      </c>
      <c r="E75" s="236"/>
      <c r="F75" s="238"/>
      <c r="G75" s="266"/>
      <c r="H75" s="266"/>
      <c r="I75" s="267"/>
      <c r="J75" s="300">
        <v>0.84</v>
      </c>
      <c r="K75" s="290"/>
      <c r="L75" s="290"/>
      <c r="M75" s="297"/>
      <c r="N75" s="291"/>
      <c r="O75" s="291"/>
      <c r="P75" s="291"/>
      <c r="Q75" s="291"/>
      <c r="R75" s="291"/>
      <c r="S75" s="269"/>
      <c r="T75" s="8"/>
      <c r="U75" s="8"/>
      <c r="V75" s="8"/>
      <c r="W75" s="8"/>
      <c r="X75" s="8"/>
      <c r="Y75" s="8"/>
      <c r="Z75" s="8"/>
      <c r="AA75" s="8"/>
      <c r="AB75" s="8"/>
    </row>
    <row r="76" spans="2:28"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2:28">
      <c r="D77" s="8"/>
      <c r="E77" s="8"/>
      <c r="F77" s="94"/>
      <c r="G77" s="8"/>
      <c r="H77" s="8"/>
      <c r="I77" s="79"/>
      <c r="J77" s="80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2:28">
      <c r="D78" s="22"/>
      <c r="E78" s="15"/>
      <c r="F78" s="94"/>
      <c r="G78" s="22"/>
      <c r="H78" s="22"/>
      <c r="I78" s="81"/>
      <c r="J78" s="22"/>
      <c r="K78" s="22"/>
      <c r="L78" s="22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2:28" ht="18">
      <c r="B79" s="32" t="s">
        <v>207</v>
      </c>
      <c r="C79" s="33"/>
      <c r="D79" s="61"/>
      <c r="E79" s="61"/>
      <c r="G79" s="164" t="str">
        <f>"~FI_T: "&amp;Region&amp;"~EUR10"</f>
        <v>~FI_T: FIN~EUR10</v>
      </c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2:28" ht="13.5" thickBot="1">
      <c r="B80" s="100" t="s">
        <v>212</v>
      </c>
      <c r="C80" s="100" t="s">
        <v>213</v>
      </c>
      <c r="D80" s="100" t="s">
        <v>214</v>
      </c>
      <c r="E80" s="100" t="s">
        <v>215</v>
      </c>
      <c r="F80" s="103" t="s">
        <v>219</v>
      </c>
      <c r="G80" s="103" t="s">
        <v>312</v>
      </c>
      <c r="H80" s="101" t="s">
        <v>157</v>
      </c>
      <c r="I80" s="101" t="s">
        <v>699</v>
      </c>
      <c r="J80" s="101" t="s">
        <v>462</v>
      </c>
      <c r="K80" s="103" t="s">
        <v>33</v>
      </c>
      <c r="L80" s="103" t="s">
        <v>61</v>
      </c>
      <c r="M80" s="223" t="s">
        <v>63</v>
      </c>
      <c r="N80" s="223" t="s">
        <v>43</v>
      </c>
      <c r="O80" s="223" t="s">
        <v>463</v>
      </c>
      <c r="P80" s="223" t="s">
        <v>343</v>
      </c>
    </row>
    <row r="81" spans="2:16">
      <c r="B81" s="92" t="s">
        <v>610</v>
      </c>
      <c r="C81" s="50" t="s">
        <v>466</v>
      </c>
      <c r="D81" s="23" t="s">
        <v>25</v>
      </c>
      <c r="E81" s="19"/>
      <c r="F81" s="19"/>
      <c r="G81" s="345" t="s">
        <v>382</v>
      </c>
      <c r="H81" s="83"/>
      <c r="I81" s="83">
        <v>1</v>
      </c>
      <c r="J81" s="83"/>
      <c r="K81" s="229">
        <v>1</v>
      </c>
      <c r="L81" s="281">
        <f>L$91</f>
        <v>2010</v>
      </c>
      <c r="M81" s="45"/>
      <c r="N81" s="45">
        <v>10</v>
      </c>
      <c r="O81" s="45"/>
      <c r="P81" s="45"/>
    </row>
    <row r="82" spans="2:16">
      <c r="B82" s="92"/>
      <c r="C82" s="50"/>
      <c r="D82" s="23" t="s">
        <v>464</v>
      </c>
      <c r="E82" s="19"/>
      <c r="F82" s="19"/>
      <c r="G82" s="345"/>
      <c r="H82" s="83"/>
      <c r="I82" s="83"/>
      <c r="J82" s="83"/>
      <c r="K82" s="229"/>
      <c r="L82" s="284"/>
      <c r="M82" s="45"/>
      <c r="N82" s="45"/>
      <c r="O82" s="45"/>
      <c r="P82" s="45"/>
    </row>
    <row r="83" spans="2:16">
      <c r="B83" s="92"/>
      <c r="C83" s="50"/>
      <c r="D83" s="23" t="str">
        <f ca="1">IEAData!$A$35</f>
        <v>OILHFO</v>
      </c>
      <c r="E83" s="19"/>
      <c r="F83" s="19"/>
      <c r="G83" s="345"/>
      <c r="H83" s="83"/>
      <c r="I83" s="83"/>
      <c r="J83" s="83">
        <v>0.9</v>
      </c>
      <c r="K83" s="229"/>
      <c r="L83" s="284"/>
      <c r="M83" s="45"/>
      <c r="N83" s="45"/>
      <c r="O83" s="45"/>
      <c r="P83" s="45"/>
    </row>
    <row r="84" spans="2:16">
      <c r="B84" s="30"/>
      <c r="C84" s="30"/>
      <c r="D84" s="23"/>
      <c r="E84" s="96" t="s">
        <v>62</v>
      </c>
      <c r="F84" s="30" t="s">
        <v>454</v>
      </c>
      <c r="G84" s="609"/>
      <c r="H84" s="85"/>
      <c r="I84" s="85"/>
      <c r="J84" s="85"/>
      <c r="K84" s="279"/>
      <c r="L84" s="285"/>
      <c r="M84" s="279"/>
      <c r="N84" s="279"/>
      <c r="O84" s="279"/>
      <c r="P84" s="279"/>
    </row>
    <row r="85" spans="2:16">
      <c r="B85" s="92" t="s">
        <v>611</v>
      </c>
      <c r="C85" s="50" t="s">
        <v>467</v>
      </c>
      <c r="D85" s="23" t="s">
        <v>481</v>
      </c>
      <c r="E85" s="36"/>
      <c r="F85" s="82"/>
      <c r="G85" s="345" t="s">
        <v>382</v>
      </c>
      <c r="H85" s="83"/>
      <c r="I85" s="83">
        <v>1</v>
      </c>
      <c r="J85" s="83"/>
      <c r="K85" s="229"/>
      <c r="L85" s="281">
        <f>L$91</f>
        <v>2010</v>
      </c>
      <c r="M85" s="280"/>
      <c r="N85" s="45">
        <v>10</v>
      </c>
      <c r="O85" s="45"/>
      <c r="P85" s="45"/>
    </row>
    <row r="86" spans="2:16">
      <c r="B86" s="92"/>
      <c r="C86" s="50"/>
      <c r="D86" s="23" t="s">
        <v>464</v>
      </c>
      <c r="E86" s="36"/>
      <c r="F86" s="82"/>
      <c r="G86" s="345"/>
      <c r="H86" s="83"/>
      <c r="I86" s="83"/>
      <c r="J86" s="83"/>
      <c r="K86" s="229"/>
      <c r="L86" s="284"/>
      <c r="M86" s="281"/>
      <c r="N86" s="281"/>
      <c r="O86" s="281"/>
      <c r="P86" s="281"/>
    </row>
    <row r="87" spans="2:16">
      <c r="B87" s="30"/>
      <c r="C87" s="30"/>
      <c r="D87" s="23"/>
      <c r="E87" s="96" t="s">
        <v>458</v>
      </c>
      <c r="F87" s="30" t="s">
        <v>470</v>
      </c>
      <c r="G87" s="609"/>
      <c r="H87" s="85"/>
      <c r="I87" s="85"/>
      <c r="J87" s="85"/>
      <c r="K87" s="279"/>
      <c r="L87" s="285"/>
      <c r="M87" s="279"/>
      <c r="N87" s="279"/>
      <c r="O87" s="279"/>
      <c r="P87" s="279"/>
    </row>
    <row r="88" spans="2:16">
      <c r="B88" s="91" t="s">
        <v>612</v>
      </c>
      <c r="C88" s="26" t="s">
        <v>465</v>
      </c>
      <c r="D88" s="23" t="s">
        <v>464</v>
      </c>
      <c r="E88" s="26"/>
      <c r="F88" s="26"/>
      <c r="G88" s="345" t="s">
        <v>382</v>
      </c>
      <c r="H88" s="28"/>
      <c r="I88" s="28">
        <v>1</v>
      </c>
      <c r="J88" s="28"/>
      <c r="K88" s="286">
        <v>1</v>
      </c>
      <c r="L88" s="281">
        <f>L$91</f>
        <v>2010</v>
      </c>
      <c r="M88" s="280"/>
      <c r="N88" s="45">
        <v>10</v>
      </c>
      <c r="O88" s="45"/>
      <c r="P88" s="45"/>
    </row>
    <row r="89" spans="2:16">
      <c r="B89" s="92"/>
      <c r="C89" s="50"/>
      <c r="D89" s="23" t="s">
        <v>25</v>
      </c>
      <c r="E89" s="19"/>
      <c r="F89" s="19"/>
      <c r="G89" s="345"/>
      <c r="H89" s="83"/>
      <c r="I89" s="83"/>
      <c r="J89" s="83"/>
      <c r="K89" s="229"/>
      <c r="L89" s="284"/>
      <c r="M89" s="45"/>
      <c r="N89" s="45"/>
      <c r="O89" s="45"/>
      <c r="P89" s="45"/>
    </row>
    <row r="90" spans="2:16">
      <c r="B90" s="30"/>
      <c r="C90" s="30"/>
      <c r="D90" s="23"/>
      <c r="E90" s="96" t="s">
        <v>468</v>
      </c>
      <c r="F90" s="30" t="s">
        <v>469</v>
      </c>
      <c r="G90" s="609"/>
      <c r="H90" s="85"/>
      <c r="I90" s="85"/>
      <c r="J90" s="85"/>
      <c r="K90" s="279"/>
      <c r="L90" s="285"/>
      <c r="M90" s="279"/>
      <c r="N90" s="279"/>
      <c r="O90" s="279"/>
      <c r="P90" s="279"/>
    </row>
    <row r="91" spans="2:16">
      <c r="B91" s="91" t="s">
        <v>613</v>
      </c>
      <c r="C91" s="26" t="s">
        <v>86</v>
      </c>
      <c r="D91" s="23" t="str">
        <f ca="1">IEAData!$A$23</f>
        <v>GASNGA</v>
      </c>
      <c r="E91" s="26"/>
      <c r="F91" s="26"/>
      <c r="G91" s="345" t="s">
        <v>382</v>
      </c>
      <c r="H91" s="28"/>
      <c r="I91" s="28">
        <v>1</v>
      </c>
      <c r="J91" s="28"/>
      <c r="K91" s="286">
        <v>1</v>
      </c>
      <c r="L91" s="281">
        <f ca="1">BaseYear</f>
        <v>2010</v>
      </c>
      <c r="M91" s="280"/>
      <c r="N91" s="45">
        <v>60</v>
      </c>
      <c r="O91" s="363">
        <v>13.5</v>
      </c>
      <c r="P91" s="45"/>
    </row>
    <row r="92" spans="2:16">
      <c r="B92" s="91"/>
      <c r="C92" s="26"/>
      <c r="D92" s="90" t="s">
        <v>532</v>
      </c>
      <c r="E92" s="26"/>
      <c r="F92" s="26"/>
      <c r="G92" s="610"/>
      <c r="H92" s="28"/>
      <c r="I92" s="28"/>
      <c r="J92" s="28"/>
      <c r="K92" s="286"/>
      <c r="L92" s="281"/>
      <c r="M92" s="280"/>
      <c r="N92" s="45"/>
      <c r="O92" s="45"/>
      <c r="P92" s="45"/>
    </row>
    <row r="93" spans="2:16">
      <c r="B93" s="91"/>
      <c r="C93" s="26"/>
      <c r="D93" s="90" t="s">
        <v>687</v>
      </c>
      <c r="E93" s="26"/>
      <c r="F93" s="26"/>
      <c r="G93" s="28"/>
      <c r="H93" s="28"/>
      <c r="I93" s="28"/>
      <c r="J93" s="28">
        <v>0.15</v>
      </c>
      <c r="K93" s="286"/>
      <c r="L93" s="281"/>
      <c r="M93" s="280"/>
      <c r="N93" s="45"/>
      <c r="O93" s="45"/>
      <c r="P93" s="45"/>
    </row>
    <row r="94" spans="2:16">
      <c r="B94" s="84"/>
      <c r="C94" s="30"/>
      <c r="D94" s="30"/>
      <c r="E94" s="30" t="str">
        <f>E10</f>
        <v>ELCNGA</v>
      </c>
      <c r="F94" s="30" t="s">
        <v>697</v>
      </c>
      <c r="G94" s="85"/>
      <c r="H94" s="85"/>
      <c r="I94" s="85"/>
      <c r="J94" s="85"/>
      <c r="K94" s="279"/>
      <c r="L94" s="285"/>
      <c r="M94" s="279"/>
      <c r="N94" s="279"/>
      <c r="O94" s="279"/>
      <c r="P94" s="279"/>
    </row>
    <row r="95" spans="2:16">
      <c r="B95" s="91" t="s">
        <v>614</v>
      </c>
      <c r="C95" s="26" t="s">
        <v>114</v>
      </c>
      <c r="D95" s="23" t="str">
        <f ca="1">IEAData!$A$35</f>
        <v>OILHFO</v>
      </c>
      <c r="E95" s="26"/>
      <c r="F95" s="26"/>
      <c r="G95" s="28"/>
      <c r="H95" s="28">
        <v>1</v>
      </c>
      <c r="I95" s="28"/>
      <c r="J95" s="28"/>
      <c r="K95" s="286"/>
      <c r="L95" s="281">
        <f>L$91</f>
        <v>2010</v>
      </c>
      <c r="M95" s="280"/>
      <c r="N95" s="45">
        <v>10</v>
      </c>
      <c r="O95" s="45"/>
      <c r="P95" s="45"/>
    </row>
    <row r="96" spans="2:16">
      <c r="B96" s="84"/>
      <c r="C96" s="30"/>
      <c r="D96" s="30"/>
      <c r="E96" s="30" t="str">
        <f>E21</f>
        <v>ELCOIL</v>
      </c>
      <c r="F96" s="30"/>
      <c r="G96" s="85"/>
      <c r="H96" s="85"/>
      <c r="I96" s="85"/>
      <c r="J96" s="85"/>
      <c r="K96" s="279"/>
      <c r="L96" s="285"/>
      <c r="M96" s="279"/>
      <c r="N96" s="279"/>
      <c r="O96" s="279"/>
      <c r="P96" s="279"/>
    </row>
    <row r="97" spans="2:16">
      <c r="B97" s="91" t="s">
        <v>619</v>
      </c>
      <c r="C97" s="26" t="s">
        <v>472</v>
      </c>
      <c r="D97" s="90" t="s">
        <v>455</v>
      </c>
      <c r="E97" s="26"/>
      <c r="F97" s="26"/>
      <c r="G97" s="28"/>
      <c r="H97" s="28">
        <v>1</v>
      </c>
      <c r="I97" s="28"/>
      <c r="J97" s="28"/>
      <c r="K97" s="286"/>
      <c r="L97" s="281">
        <f>L$91</f>
        <v>2010</v>
      </c>
      <c r="M97" s="280"/>
      <c r="N97" s="45">
        <v>10</v>
      </c>
      <c r="O97" s="45"/>
      <c r="P97" s="45"/>
    </row>
    <row r="98" spans="2:16">
      <c r="B98" s="30"/>
      <c r="C98" s="30"/>
      <c r="D98" s="30"/>
      <c r="E98" s="96" t="s">
        <v>456</v>
      </c>
      <c r="F98" s="30" t="s">
        <v>457</v>
      </c>
      <c r="G98" s="85"/>
      <c r="H98" s="85"/>
      <c r="I98" s="85"/>
      <c r="J98" s="85"/>
      <c r="K98" s="279"/>
      <c r="L98" s="285"/>
      <c r="M98" s="279"/>
      <c r="N98" s="279"/>
      <c r="O98" s="279"/>
      <c r="P98" s="279"/>
    </row>
    <row r="99" spans="2:16">
      <c r="B99" s="91" t="s">
        <v>620</v>
      </c>
      <c r="C99" s="303" t="s">
        <v>115</v>
      </c>
      <c r="D99" s="23" t="str">
        <f ca="1">IEAData!$A$44</f>
        <v>COAHCO</v>
      </c>
      <c r="E99" s="26"/>
      <c r="F99" s="26"/>
      <c r="G99" s="28"/>
      <c r="H99" s="28">
        <v>1</v>
      </c>
      <c r="I99" s="28"/>
      <c r="J99" s="28"/>
      <c r="K99" s="286"/>
      <c r="L99" s="281">
        <f>L$91</f>
        <v>2010</v>
      </c>
      <c r="M99" s="282">
        <f>1.5/3.6</f>
        <v>0.41666666666666663</v>
      </c>
      <c r="N99" s="45">
        <v>10</v>
      </c>
      <c r="O99" s="45"/>
      <c r="P99" s="45"/>
    </row>
    <row r="100" spans="2:16">
      <c r="B100" s="30"/>
      <c r="C100" s="30"/>
      <c r="D100" s="30"/>
      <c r="E100" s="30" t="str">
        <f>E27</f>
        <v>ELCCOA</v>
      </c>
      <c r="F100" s="75" t="s">
        <v>89</v>
      </c>
      <c r="G100" s="85"/>
      <c r="H100" s="85"/>
      <c r="I100" s="85"/>
      <c r="J100" s="85"/>
      <c r="K100" s="279"/>
      <c r="L100" s="285"/>
      <c r="M100" s="279"/>
      <c r="N100" s="279"/>
      <c r="O100" s="279"/>
      <c r="P100" s="279"/>
    </row>
    <row r="101" spans="2:16">
      <c r="B101" s="91" t="s">
        <v>621</v>
      </c>
      <c r="C101" s="303" t="s">
        <v>116</v>
      </c>
      <c r="D101" s="23" t="str">
        <f ca="1">IEAData!$A$43</f>
        <v>COABCO</v>
      </c>
      <c r="E101" s="26"/>
      <c r="F101" s="26"/>
      <c r="G101" s="28"/>
      <c r="H101" s="28">
        <v>1</v>
      </c>
      <c r="I101" s="28"/>
      <c r="J101" s="28"/>
      <c r="K101" s="286"/>
      <c r="L101" s="281">
        <f ca="1">BaseYear</f>
        <v>2010</v>
      </c>
      <c r="M101" s="280"/>
      <c r="N101" s="45">
        <v>10</v>
      </c>
      <c r="O101" s="45"/>
      <c r="P101" s="45"/>
    </row>
    <row r="102" spans="2:16">
      <c r="B102" s="30"/>
      <c r="C102" s="30"/>
      <c r="D102" s="30"/>
      <c r="E102" s="30" t="s">
        <v>354</v>
      </c>
      <c r="F102" s="30" t="s">
        <v>698</v>
      </c>
      <c r="G102" s="85"/>
      <c r="H102" s="85"/>
      <c r="I102" s="85"/>
      <c r="J102" s="85"/>
      <c r="K102" s="279"/>
      <c r="L102" s="285"/>
      <c r="M102" s="279"/>
      <c r="N102" s="279"/>
      <c r="O102" s="279"/>
      <c r="P102" s="279"/>
    </row>
    <row r="103" spans="2:16">
      <c r="B103" s="91" t="s">
        <v>618</v>
      </c>
      <c r="C103" s="26" t="s">
        <v>131</v>
      </c>
      <c r="D103" s="90" t="s">
        <v>129</v>
      </c>
      <c r="E103" s="26"/>
      <c r="F103" s="26"/>
      <c r="G103" s="28"/>
      <c r="H103" s="28">
        <v>1</v>
      </c>
      <c r="I103" s="28"/>
      <c r="J103" s="28"/>
      <c r="K103" s="286"/>
      <c r="L103" s="281">
        <f>L$91</f>
        <v>2010</v>
      </c>
      <c r="M103" s="280"/>
      <c r="N103" s="45">
        <v>10</v>
      </c>
      <c r="O103" s="45"/>
      <c r="P103" s="45"/>
    </row>
    <row r="104" spans="2:16">
      <c r="B104" s="30"/>
      <c r="C104" s="30"/>
      <c r="D104" s="30"/>
      <c r="E104" s="96" t="s">
        <v>132</v>
      </c>
      <c r="F104" s="30" t="s">
        <v>133</v>
      </c>
      <c r="G104" s="85"/>
      <c r="H104" s="85"/>
      <c r="I104" s="85"/>
      <c r="J104" s="85"/>
      <c r="K104" s="279"/>
      <c r="L104" s="285"/>
      <c r="M104" s="279"/>
      <c r="N104" s="279"/>
      <c r="O104" s="279"/>
      <c r="P104" s="279"/>
    </row>
    <row r="105" spans="2:16">
      <c r="B105" s="91" t="s">
        <v>617</v>
      </c>
      <c r="C105" s="303" t="s">
        <v>102</v>
      </c>
      <c r="D105" s="23" t="s">
        <v>8</v>
      </c>
      <c r="E105" s="26"/>
      <c r="F105" s="26"/>
      <c r="G105" s="28"/>
      <c r="H105" s="28">
        <v>1</v>
      </c>
      <c r="I105" s="28"/>
      <c r="J105" s="28"/>
      <c r="K105" s="286"/>
      <c r="L105" s="281">
        <v>2015</v>
      </c>
      <c r="M105" s="282">
        <f>1.18</f>
        <v>1.18</v>
      </c>
      <c r="N105" s="45"/>
      <c r="O105" s="45"/>
      <c r="P105" s="45"/>
    </row>
    <row r="106" spans="2:16">
      <c r="B106" s="30"/>
      <c r="C106" s="30"/>
      <c r="D106" s="30"/>
      <c r="E106" s="30" t="s">
        <v>516</v>
      </c>
      <c r="F106" s="30"/>
      <c r="G106" s="85"/>
      <c r="H106" s="85"/>
      <c r="I106" s="85"/>
      <c r="J106" s="85"/>
      <c r="K106" s="279"/>
      <c r="L106" s="285"/>
      <c r="M106" s="279"/>
      <c r="N106" s="279"/>
      <c r="O106" s="279"/>
      <c r="P106" s="279"/>
    </row>
    <row r="107" spans="2:16">
      <c r="B107" s="91" t="s">
        <v>615</v>
      </c>
      <c r="C107" s="26" t="s">
        <v>541</v>
      </c>
      <c r="D107" s="29" t="s">
        <v>538</v>
      </c>
      <c r="E107" s="26"/>
      <c r="F107" s="26"/>
      <c r="G107" s="28"/>
      <c r="H107" s="28">
        <v>1</v>
      </c>
      <c r="I107" s="28"/>
      <c r="J107" s="28"/>
      <c r="K107" s="286"/>
      <c r="L107" s="281">
        <f>L$91+1</f>
        <v>2011</v>
      </c>
      <c r="M107" s="280"/>
      <c r="N107" s="45">
        <v>10</v>
      </c>
      <c r="O107" s="45"/>
      <c r="P107" s="199">
        <v>0.24</v>
      </c>
    </row>
    <row r="108" spans="2:16">
      <c r="B108" s="30"/>
      <c r="C108" s="30"/>
      <c r="D108" s="84"/>
      <c r="E108" s="30" t="str">
        <f>E31</f>
        <v>ELCBIO</v>
      </c>
      <c r="F108" s="30" t="s">
        <v>136</v>
      </c>
      <c r="G108" s="85"/>
      <c r="H108" s="85"/>
      <c r="I108" s="85"/>
      <c r="J108" s="85"/>
      <c r="K108" s="279"/>
      <c r="L108" s="285"/>
      <c r="M108" s="279"/>
      <c r="N108" s="279"/>
      <c r="O108" s="279"/>
      <c r="P108" s="279"/>
    </row>
    <row r="109" spans="2:16">
      <c r="B109" s="91" t="s">
        <v>616</v>
      </c>
      <c r="C109" s="26" t="s">
        <v>542</v>
      </c>
      <c r="D109" s="29" t="s">
        <v>543</v>
      </c>
      <c r="E109" s="26"/>
      <c r="F109" s="26"/>
      <c r="G109" s="28"/>
      <c r="H109" s="28">
        <v>1</v>
      </c>
      <c r="I109" s="28"/>
      <c r="J109" s="28"/>
      <c r="K109" s="286"/>
      <c r="L109" s="281">
        <f>L$91+1</f>
        <v>2011</v>
      </c>
      <c r="M109" s="280"/>
      <c r="N109" s="45">
        <v>10</v>
      </c>
      <c r="O109" s="45"/>
      <c r="P109" s="199">
        <v>0.24</v>
      </c>
    </row>
    <row r="110" spans="2:16">
      <c r="B110" s="30"/>
      <c r="C110" s="30"/>
      <c r="D110" s="30"/>
      <c r="E110" s="30" t="str">
        <f>E$108</f>
        <v>ELCBIO</v>
      </c>
      <c r="F110" s="30" t="s">
        <v>136</v>
      </c>
      <c r="G110" s="85"/>
      <c r="H110" s="85"/>
      <c r="I110" s="85"/>
      <c r="J110" s="85"/>
      <c r="K110" s="279"/>
      <c r="L110" s="285"/>
      <c r="M110" s="279"/>
      <c r="N110" s="279"/>
      <c r="O110" s="279"/>
      <c r="P110" s="279"/>
    </row>
    <row r="111" spans="2:16">
      <c r="B111" s="91" t="s">
        <v>622</v>
      </c>
      <c r="C111" s="303" t="s">
        <v>530</v>
      </c>
      <c r="D111" s="29" t="s">
        <v>531</v>
      </c>
      <c r="E111" s="26"/>
      <c r="F111" s="26"/>
      <c r="G111" s="28"/>
      <c r="H111" s="28">
        <v>1</v>
      </c>
      <c r="I111" s="28"/>
      <c r="J111" s="28"/>
      <c r="K111" s="286"/>
      <c r="L111" s="281">
        <v>2015</v>
      </c>
      <c r="M111" s="282"/>
      <c r="N111" s="45"/>
      <c r="O111" s="45"/>
      <c r="P111" s="282">
        <v>0.35</v>
      </c>
    </row>
    <row r="112" spans="2:16">
      <c r="B112" s="30"/>
      <c r="C112" s="30"/>
      <c r="D112" s="30"/>
      <c r="E112" s="30" t="s">
        <v>523</v>
      </c>
      <c r="F112" s="30" t="s">
        <v>136</v>
      </c>
      <c r="G112" s="85"/>
      <c r="H112" s="85"/>
      <c r="I112" s="85"/>
      <c r="J112" s="85"/>
      <c r="K112" s="279"/>
      <c r="L112" s="285"/>
      <c r="M112" s="279"/>
      <c r="N112" s="279"/>
      <c r="O112" s="279"/>
      <c r="P112" s="279"/>
    </row>
    <row r="113" spans="2:18">
      <c r="B113" s="91" t="s">
        <v>520</v>
      </c>
      <c r="C113" s="303" t="s">
        <v>535</v>
      </c>
      <c r="D113" s="29" t="str">
        <f>$E$108</f>
        <v>ELCBIO</v>
      </c>
      <c r="E113" s="26"/>
      <c r="F113" s="26"/>
      <c r="G113" s="28"/>
      <c r="H113" s="28">
        <v>1</v>
      </c>
      <c r="I113" s="28"/>
      <c r="J113" s="28"/>
      <c r="K113" s="286"/>
      <c r="L113" s="281">
        <v>2010</v>
      </c>
      <c r="M113" s="282"/>
      <c r="N113" s="45"/>
      <c r="O113" s="45"/>
      <c r="P113" s="283">
        <f>R113-P$107</f>
        <v>0.45999999999999996</v>
      </c>
      <c r="R113" s="224">
        <v>0.7</v>
      </c>
    </row>
    <row r="114" spans="2:18">
      <c r="B114" s="30"/>
      <c r="C114" s="30"/>
      <c r="D114" s="30"/>
      <c r="E114" s="30" t="s">
        <v>523</v>
      </c>
      <c r="F114" s="30" t="s">
        <v>136</v>
      </c>
      <c r="G114" s="85"/>
      <c r="H114" s="85"/>
      <c r="I114" s="85"/>
      <c r="J114" s="85"/>
      <c r="K114" s="279"/>
      <c r="L114" s="285"/>
      <c r="M114" s="279"/>
      <c r="N114" s="279"/>
      <c r="O114" s="279"/>
      <c r="P114" s="279"/>
      <c r="R114" s="30"/>
    </row>
    <row r="115" spans="2:18">
      <c r="B115" s="91" t="s">
        <v>521</v>
      </c>
      <c r="C115" s="303" t="s">
        <v>536</v>
      </c>
      <c r="D115" s="29" t="str">
        <f>$E$108</f>
        <v>ELCBIO</v>
      </c>
      <c r="E115" s="26"/>
      <c r="F115" s="26"/>
      <c r="G115" s="28"/>
      <c r="H115" s="28">
        <v>1</v>
      </c>
      <c r="I115" s="28"/>
      <c r="J115" s="28"/>
      <c r="K115" s="286"/>
      <c r="L115" s="281">
        <v>2010</v>
      </c>
      <c r="M115" s="282"/>
      <c r="N115" s="45"/>
      <c r="O115" s="45"/>
      <c r="P115" s="283">
        <f>R115-P$107</f>
        <v>0.10999999999999999</v>
      </c>
      <c r="R115" s="224">
        <v>0.35</v>
      </c>
    </row>
    <row r="116" spans="2:18">
      <c r="B116" s="30"/>
      <c r="C116" s="30"/>
      <c r="D116" s="30"/>
      <c r="E116" s="30" t="s">
        <v>524</v>
      </c>
      <c r="F116" s="30" t="s">
        <v>136</v>
      </c>
      <c r="G116" s="85"/>
      <c r="H116" s="85"/>
      <c r="I116" s="85"/>
      <c r="J116" s="85"/>
      <c r="K116" s="279"/>
      <c r="L116" s="285"/>
      <c r="M116" s="279"/>
      <c r="N116" s="279"/>
      <c r="O116" s="279"/>
      <c r="P116" s="279"/>
      <c r="R116" s="30"/>
    </row>
    <row r="117" spans="2:18">
      <c r="B117" s="91" t="s">
        <v>522</v>
      </c>
      <c r="C117" s="303" t="s">
        <v>537</v>
      </c>
      <c r="D117" s="29" t="str">
        <f>$E$108</f>
        <v>ELCBIO</v>
      </c>
      <c r="E117" s="26"/>
      <c r="F117" s="26"/>
      <c r="G117" s="28"/>
      <c r="H117" s="28">
        <v>1</v>
      </c>
      <c r="I117" s="28"/>
      <c r="J117" s="28"/>
      <c r="K117" s="286"/>
      <c r="L117" s="281">
        <v>2010</v>
      </c>
      <c r="M117" s="282"/>
      <c r="N117" s="45"/>
      <c r="O117" s="45"/>
      <c r="P117" s="283">
        <f>R117-P$107</f>
        <v>0.18</v>
      </c>
      <c r="R117" s="224">
        <v>0.42</v>
      </c>
    </row>
    <row r="118" spans="2:18">
      <c r="B118" s="30"/>
      <c r="C118" s="30"/>
      <c r="D118" s="30"/>
      <c r="E118" s="30" t="s">
        <v>525</v>
      </c>
      <c r="F118" s="30" t="s">
        <v>136</v>
      </c>
      <c r="G118" s="85"/>
      <c r="H118" s="85"/>
      <c r="I118" s="85"/>
      <c r="J118" s="85"/>
      <c r="K118" s="279"/>
      <c r="L118" s="285"/>
      <c r="M118" s="279"/>
      <c r="N118" s="279"/>
      <c r="O118" s="279"/>
      <c r="P118" s="279"/>
    </row>
    <row r="119" spans="2:18">
      <c r="B119" s="91" t="s">
        <v>700</v>
      </c>
      <c r="C119" s="303" t="s">
        <v>701</v>
      </c>
      <c r="D119" s="29" t="str">
        <f>$E$108</f>
        <v>ELCBIO</v>
      </c>
      <c r="E119" s="30"/>
      <c r="F119" s="30"/>
      <c r="G119" s="610"/>
      <c r="H119" s="28">
        <v>1</v>
      </c>
      <c r="I119" s="28"/>
      <c r="J119" s="28"/>
      <c r="K119" s="286"/>
      <c r="L119" s="281">
        <v>2150</v>
      </c>
      <c r="M119" s="282"/>
      <c r="N119" s="45"/>
      <c r="O119" s="45"/>
      <c r="P119" s="283">
        <v>0.1</v>
      </c>
    </row>
    <row r="120" spans="2:18">
      <c r="B120" s="30"/>
      <c r="C120" s="30"/>
      <c r="D120" s="30" t="s">
        <v>689</v>
      </c>
      <c r="E120" s="30" t="s">
        <v>523</v>
      </c>
      <c r="F120" s="30" t="s">
        <v>136</v>
      </c>
      <c r="G120" s="610" t="s">
        <v>345</v>
      </c>
      <c r="H120" s="28"/>
      <c r="I120" s="28">
        <v>1</v>
      </c>
      <c r="J120" s="85"/>
      <c r="K120" s="279"/>
      <c r="L120" s="285"/>
      <c r="M120" s="611">
        <v>0</v>
      </c>
      <c r="N120" s="279"/>
      <c r="O120" s="279"/>
      <c r="P120" s="279"/>
    </row>
    <row r="121" spans="2:18">
      <c r="B121" s="26"/>
      <c r="C121" s="26"/>
      <c r="D121" s="30" t="s">
        <v>691</v>
      </c>
      <c r="E121" s="30"/>
      <c r="F121" s="26"/>
      <c r="G121" s="28"/>
      <c r="H121" s="28"/>
      <c r="I121" s="28"/>
      <c r="J121" s="28"/>
      <c r="K121" s="286"/>
      <c r="L121" s="284"/>
      <c r="M121" s="611">
        <v>0.59195608067788452</v>
      </c>
      <c r="N121" s="286"/>
      <c r="O121" s="286"/>
      <c r="P121" s="286"/>
    </row>
    <row r="122" spans="2:18">
      <c r="B122" s="26"/>
      <c r="C122" s="26"/>
      <c r="D122" s="30" t="s">
        <v>694</v>
      </c>
      <c r="E122" s="30"/>
      <c r="F122" s="26"/>
      <c r="G122" s="28"/>
      <c r="H122" s="28"/>
      <c r="I122" s="28"/>
      <c r="J122" s="28"/>
      <c r="K122" s="286"/>
      <c r="L122" s="284"/>
      <c r="M122" s="611">
        <v>0.90437734548010273</v>
      </c>
      <c r="N122" s="286"/>
      <c r="O122" s="286"/>
      <c r="P122" s="286"/>
    </row>
    <row r="123" spans="2:18">
      <c r="B123" s="26"/>
      <c r="C123" s="26"/>
      <c r="D123" s="30" t="s">
        <v>693</v>
      </c>
      <c r="E123" s="30"/>
      <c r="F123" s="26"/>
      <c r="G123" s="28"/>
      <c r="H123" s="28"/>
      <c r="I123" s="28"/>
      <c r="J123" s="28"/>
      <c r="K123" s="286"/>
      <c r="L123" s="284"/>
      <c r="M123" s="611">
        <v>1.3730092426834275</v>
      </c>
      <c r="N123" s="286"/>
      <c r="O123" s="286"/>
      <c r="P123" s="286"/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B1:AI157"/>
  <sheetViews>
    <sheetView zoomScale="85" workbookViewId="0">
      <pane xSplit="5" ySplit="4" topLeftCell="F101" activePane="bottomRight" state="frozen"/>
      <selection activeCell="D25" sqref="D25"/>
      <selection pane="topRight" activeCell="D25" sqref="D25"/>
      <selection pane="bottomLeft" activeCell="D25" sqref="D25"/>
      <selection pane="bottomRight" activeCell="D25" sqref="D25"/>
    </sheetView>
  </sheetViews>
  <sheetFormatPr defaultColWidth="9.140625" defaultRowHeight="12.75"/>
  <cols>
    <col min="1" max="1" width="6.140625" customWidth="1"/>
    <col min="2" max="2" width="11.85546875" customWidth="1"/>
    <col min="3" max="3" width="30" customWidth="1"/>
    <col min="4" max="4" width="9.140625" customWidth="1"/>
    <col min="5" max="5" width="10.42578125" customWidth="1"/>
    <col min="6" max="24" width="9.140625" customWidth="1"/>
    <col min="28" max="248" width="9.140625" customWidth="1"/>
  </cols>
  <sheetData>
    <row r="1" spans="2:35">
      <c r="C1" s="105"/>
      <c r="K1" s="8"/>
      <c r="L1" s="342">
        <f ca="1">OtherData!N18</f>
        <v>2010</v>
      </c>
      <c r="M1" s="342">
        <v>2017</v>
      </c>
      <c r="N1" s="342">
        <f ca="1">OtherData!O18</f>
        <v>2015</v>
      </c>
      <c r="O1" s="342">
        <f ca="1">OtherData!P18</f>
        <v>2020</v>
      </c>
      <c r="P1" s="342">
        <f ca="1">OtherData!Q18</f>
        <v>2025</v>
      </c>
      <c r="Q1" s="342">
        <f ca="1">OtherData!R18</f>
        <v>2030</v>
      </c>
      <c r="R1" s="342">
        <f ca="1">OtherData!S18</f>
        <v>2040</v>
      </c>
      <c r="S1" s="342">
        <f ca="1">OtherData!T18</f>
        <v>2050</v>
      </c>
      <c r="T1" s="342">
        <f ca="1">OtherData!U18</f>
        <v>2070</v>
      </c>
      <c r="U1" s="342">
        <f ca="1">OtherData!V18</f>
        <v>2100</v>
      </c>
      <c r="V1" s="342">
        <f>10^-3</f>
        <v>1E-3</v>
      </c>
      <c r="W1" s="8"/>
      <c r="AC1" s="338" t="s">
        <v>643</v>
      </c>
      <c r="AD1" s="338">
        <v>1</v>
      </c>
      <c r="AG1" s="206">
        <v>0.1</v>
      </c>
      <c r="AI1" s="8"/>
    </row>
    <row r="2" spans="2:35">
      <c r="C2" s="105"/>
      <c r="K2" s="8"/>
      <c r="L2" s="8"/>
      <c r="N2" s="8"/>
      <c r="O2" s="8"/>
      <c r="P2" s="8"/>
      <c r="Q2" s="8"/>
      <c r="R2" s="8"/>
      <c r="S2" s="8"/>
      <c r="T2" s="8"/>
      <c r="U2" s="8"/>
      <c r="V2" s="8"/>
      <c r="W2" s="8"/>
      <c r="AG2" s="206"/>
      <c r="AI2" s="8"/>
    </row>
    <row r="3" spans="2:35" ht="15">
      <c r="C3" s="105"/>
      <c r="E3" s="308" t="str">
        <f>"~FI_T: "&amp;Region</f>
        <v>~FI_T: FIN</v>
      </c>
    </row>
    <row r="4" spans="2:35" ht="36.75" thickBot="1">
      <c r="B4" s="174" t="s">
        <v>212</v>
      </c>
      <c r="C4" s="174" t="s">
        <v>213</v>
      </c>
      <c r="D4" s="174" t="s">
        <v>214</v>
      </c>
      <c r="E4" s="174" t="s">
        <v>215</v>
      </c>
      <c r="F4" s="183" t="s">
        <v>33</v>
      </c>
      <c r="G4" s="183" t="s">
        <v>224</v>
      </c>
      <c r="H4" s="183" t="str">
        <f ca="1">"EFF~"&amp;AuxYear</f>
        <v>EFF~2017</v>
      </c>
      <c r="I4" s="183" t="s">
        <v>259</v>
      </c>
      <c r="J4" s="174" t="str">
        <f ca="1">"AFA~"&amp;CEILING(AuxYear,1)</f>
        <v>AFA~2017</v>
      </c>
      <c r="K4" s="174" t="str">
        <f ca="1">"AFA~"&amp;CEILING(AuxYear+2,5)</f>
        <v>AFA~2020</v>
      </c>
      <c r="L4" s="174" t="str">
        <f>"RESID~"&amp;L1</f>
        <v>RESID~2010</v>
      </c>
      <c r="M4" s="174" t="str">
        <f>"RESID~"&amp;M1</f>
        <v>RESID~2017</v>
      </c>
      <c r="N4" s="174" t="str">
        <f>"\I: RESID~"&amp;N1</f>
        <v>\I: RESID~2015</v>
      </c>
      <c r="O4" s="174" t="str">
        <f t="shared" ref="O4:U4" si="0">"RESID~"&amp;O1</f>
        <v>RESID~2020</v>
      </c>
      <c r="P4" s="174" t="str">
        <f t="shared" si="0"/>
        <v>RESID~2025</v>
      </c>
      <c r="Q4" s="174" t="str">
        <f t="shared" si="0"/>
        <v>RESID~2030</v>
      </c>
      <c r="R4" s="174" t="str">
        <f t="shared" si="0"/>
        <v>RESID~2040</v>
      </c>
      <c r="S4" s="174" t="str">
        <f t="shared" si="0"/>
        <v>RESID~2050</v>
      </c>
      <c r="T4" s="174" t="str">
        <f t="shared" si="0"/>
        <v>RESID~2070</v>
      </c>
      <c r="U4" s="174" t="str">
        <f t="shared" si="0"/>
        <v>RESID~2100</v>
      </c>
      <c r="V4" s="174" t="s">
        <v>267</v>
      </c>
      <c r="W4" s="174" t="s">
        <v>443</v>
      </c>
      <c r="X4" s="174" t="str">
        <f>"CEH"</f>
        <v>CEH</v>
      </c>
      <c r="Y4" s="174" t="str">
        <f ca="1">"CEH~"&amp;AuxYear</f>
        <v>CEH~2017</v>
      </c>
      <c r="Z4" s="183" t="str">
        <f ca="1">"AFAC~"&amp;CEILING(AuxYear+2,5)</f>
        <v>AFAC~2020</v>
      </c>
      <c r="AA4" s="183" t="str">
        <f>"AFAC~0"</f>
        <v>AFAC~0</v>
      </c>
      <c r="AC4" s="174" t="s">
        <v>602</v>
      </c>
      <c r="AD4" s="174" t="s">
        <v>448</v>
      </c>
      <c r="AE4" s="174" t="s">
        <v>448</v>
      </c>
      <c r="AF4" s="174" t="s">
        <v>449</v>
      </c>
      <c r="AG4" s="174" t="s">
        <v>449</v>
      </c>
      <c r="AH4" s="174" t="s">
        <v>450</v>
      </c>
      <c r="AI4" s="174" t="s">
        <v>451</v>
      </c>
    </row>
    <row r="5" spans="2:35" ht="12.95" customHeight="1">
      <c r="B5" s="6" t="s">
        <v>260</v>
      </c>
      <c r="C5" s="6" t="str">
        <f t="shared" ref="C5:C16" si="1">"EPLT: Existing " &amp;MID(B5,2,3)&amp; "-based capacity"</f>
        <v>EPLT: Existing OIL-based capacity</v>
      </c>
      <c r="D5" s="6" t="s">
        <v>56</v>
      </c>
      <c r="E5" s="6" t="s">
        <v>198</v>
      </c>
      <c r="F5" s="260">
        <v>0.95</v>
      </c>
      <c r="G5" s="216">
        <f ca="1">OtherData!C19</f>
        <v>0.38752099817108676</v>
      </c>
      <c r="H5" s="216">
        <f ca="1">OtherData!D19</f>
        <v>0.33002883884650686</v>
      </c>
      <c r="I5" s="254">
        <f ca="1">OtherData!G19*1.02</f>
        <v>7.2478193295340502E-3</v>
      </c>
      <c r="J5" s="254">
        <f ca="1">OtherData!H19*1.02</f>
        <v>1.5995944790817413E-2</v>
      </c>
      <c r="K5" s="254">
        <f ca="1">OtherData!I19</f>
        <v>0.2</v>
      </c>
      <c r="L5" s="189">
        <f ca="1">OtherData!E19*1000/SCAP</f>
        <v>977.45648159063217</v>
      </c>
      <c r="M5" s="189">
        <f ca="1">OtherData!F19*1000/SCAP</f>
        <v>325.52249597233674</v>
      </c>
      <c r="N5" s="188">
        <f ca="1">IF(OtherData!O19&lt;&gt;"",IF(OR(OtherData!O19&gt;0,SUM(L5)&gt;0),OtherData!O19/SCAP,""),"")</f>
        <v>389.68878934339261</v>
      </c>
      <c r="O5" s="189">
        <f ca="1">IF(OtherData!P19&lt;&gt;"",IF(OR(OtherData!P19&gt;0,SUM(M5)&gt;0),OtherData!P19/SCAP,""),"")</f>
        <v>229.27305591575302</v>
      </c>
      <c r="P5" s="189">
        <f ca="1">IF(OtherData!Q19&lt;&gt;"",IF(OR(OtherData!Q19&gt;0,SUM(O5)&gt;0),OtherData!Q19/SCAP,""),"")</f>
        <v>201.55153444143184</v>
      </c>
      <c r="Q5" s="189">
        <f ca="1">IF(OtherData!R19&lt;&gt;"",IF(OR(OtherData!R19&gt;0,SUM(P5)&gt;0),OtherData!R19/SCAP,""),"")</f>
        <v>173.83001296711069</v>
      </c>
      <c r="R5" s="189">
        <f ca="1">IF(OtherData!S19&lt;&gt;"",IF(OR(OtherData!S19&gt;0,SUM(Q5)&gt;0),OtherData!S19/SCAP,""),"")</f>
        <v>150.81142677511886</v>
      </c>
      <c r="S5" s="189">
        <f ca="1">IF(OtherData!T19&lt;&gt;"",IF(OR(OtherData!T19&gt;0,SUM(R5)&gt;0),OtherData!T19/SCAP,""),"")</f>
        <v>0</v>
      </c>
      <c r="T5" s="189" t="str">
        <f ca="1">IF(OtherData!U19&lt;&gt;"",IF(OR(OtherData!U19&gt;0,SUM(S5)&gt;0),OtherData!U19/SCAP,""),"")</f>
        <v/>
      </c>
      <c r="U5" s="189" t="str">
        <f ca="1">IF(OtherData!V19&lt;&gt;"",IF(OR(OtherData!V19&gt;0,SUM(T5)&gt;0),OtherData!V19/SCAP,""),"")</f>
        <v/>
      </c>
      <c r="V5" s="335">
        <f t="shared" ref="V5:V17" si="2">3.6*8.76*V$1</f>
        <v>3.1536000000000002E-2</v>
      </c>
      <c r="W5" s="162">
        <v>1</v>
      </c>
      <c r="X5" s="6"/>
      <c r="Y5" s="6"/>
      <c r="Z5" s="6"/>
      <c r="AA5" s="6"/>
      <c r="AC5" s="257"/>
      <c r="AD5" s="257"/>
      <c r="AE5" s="257"/>
      <c r="AF5" s="257"/>
      <c r="AG5" s="257"/>
      <c r="AH5" s="257"/>
      <c r="AI5" s="257"/>
    </row>
    <row r="6" spans="2:35" ht="12.95" customHeight="1">
      <c r="B6" s="6" t="s">
        <v>261</v>
      </c>
      <c r="C6" s="6" t="str">
        <f t="shared" si="1"/>
        <v>EPLT: Existing GAS-based capacity</v>
      </c>
      <c r="D6" s="6" t="s">
        <v>151</v>
      </c>
      <c r="E6" s="6" t="s">
        <v>198</v>
      </c>
      <c r="F6" s="260">
        <v>0.95</v>
      </c>
      <c r="G6" s="216">
        <f ca="1">OtherData!C20</f>
        <v>0.43200000000000005</v>
      </c>
      <c r="H6" s="216">
        <f ca="1">OtherData!D20</f>
        <v>0.43200000000000005</v>
      </c>
      <c r="I6" s="254">
        <f ca="1">OtherData!G20*1.02</f>
        <v>6.1039937515304857E-2</v>
      </c>
      <c r="J6" s="254">
        <f ca="1">OtherData!H20*1.02</f>
        <v>2.4149553006981525E-3</v>
      </c>
      <c r="K6" s="254">
        <f ca="1">OtherData!I20</f>
        <v>0.7</v>
      </c>
      <c r="L6" s="189">
        <f ca="1">OtherData!E20*1000/SCAP</f>
        <v>350</v>
      </c>
      <c r="M6" s="189">
        <f ca="1">OtherData!F20*1000/SCAP</f>
        <v>321.13082039911308</v>
      </c>
      <c r="N6" s="188">
        <f ca="1">IF(OtherData!O20&lt;&gt;"",IF(OR(OtherData!O20&gt;0,SUM(L6)&gt;0),OtherData!O20/SCAP,""),"")</f>
        <v>331.37472283813747</v>
      </c>
      <c r="O6" s="189">
        <f ca="1">IF(OtherData!P20&lt;&gt;"",IF(OR(OtherData!P20&gt;0,SUM(M6)&gt;0),OtherData!P20/SCAP,""),"")</f>
        <v>305.76496674057648</v>
      </c>
      <c r="P6" s="189">
        <f ca="1">IF(OtherData!Q20&lt;&gt;"",IF(OR(OtherData!Q20&gt;0,SUM(O6)&gt;0),OtherData!Q20/SCAP,""),"")</f>
        <v>185.47671840354766</v>
      </c>
      <c r="Q6" s="189">
        <f ca="1">IF(OtherData!R20&lt;&gt;"",IF(OR(OtherData!R20&gt;0,SUM(P6)&gt;0),OtherData!R20/SCAP,""),"")</f>
        <v>65.188470066518846</v>
      </c>
      <c r="R6" s="189">
        <f ca="1">IF(OtherData!S20&lt;&gt;"",IF(OR(OtherData!S20&gt;0,SUM(Q6)&gt;0),OtherData!S20/SCAP,""),"")</f>
        <v>0</v>
      </c>
      <c r="S6" s="189" t="str">
        <f ca="1">IF(OtherData!T20&lt;&gt;"",IF(OR(OtherData!T20&gt;0,SUM(R6)&gt;0),OtherData!T20/SCAP,""),"")</f>
        <v/>
      </c>
      <c r="T6" s="189" t="str">
        <f ca="1">IF(OtherData!U20&lt;&gt;"",IF(OR(OtherData!U20&gt;0,SUM(S6)&gt;0),OtherData!U20/SCAP,""),"")</f>
        <v/>
      </c>
      <c r="U6" s="189" t="str">
        <f ca="1">IF(OtherData!V20&lt;&gt;"",IF(OR(OtherData!V20&gt;0,SUM(T6)&gt;0),OtherData!V20/SCAP,""),"")</f>
        <v/>
      </c>
      <c r="V6" s="335">
        <f t="shared" si="2"/>
        <v>3.1536000000000002E-2</v>
      </c>
      <c r="W6" s="162">
        <v>1</v>
      </c>
      <c r="X6" s="6"/>
      <c r="Y6" s="6"/>
      <c r="Z6" s="6"/>
      <c r="AA6" s="6"/>
      <c r="AC6" s="257"/>
      <c r="AD6" s="257"/>
      <c r="AE6" s="257"/>
      <c r="AF6" s="257"/>
      <c r="AG6" s="257"/>
      <c r="AH6" s="257"/>
      <c r="AI6" s="257"/>
    </row>
    <row r="7" spans="2:35" ht="12.95" customHeight="1">
      <c r="B7" s="6" t="s">
        <v>262</v>
      </c>
      <c r="C7" s="6" t="str">
        <f t="shared" si="1"/>
        <v>EPLT: Existing COA-based capacity</v>
      </c>
      <c r="D7" s="6" t="s">
        <v>169</v>
      </c>
      <c r="E7" s="6" t="s">
        <v>198</v>
      </c>
      <c r="F7" s="260">
        <v>0.95</v>
      </c>
      <c r="G7" s="216">
        <f ca="1">OtherData!C21</f>
        <v>0.40381407628727556</v>
      </c>
      <c r="H7" s="216">
        <f ca="1">OtherData!D21</f>
        <v>0.37046137245934785</v>
      </c>
      <c r="I7" s="254">
        <f ca="1">OtherData!G21*1.01</f>
        <v>0.58771164023432165</v>
      </c>
      <c r="J7" s="254">
        <f ca="1">OtherData!H21*1.01</f>
        <v>0.14298721648039775</v>
      </c>
      <c r="K7" s="254">
        <f ca="1">OtherData!I21</f>
        <v>0.75</v>
      </c>
      <c r="L7" s="189">
        <f ca="1">OtherData!E21*1000/SCAP</f>
        <v>1879</v>
      </c>
      <c r="M7" s="189">
        <f ca="1">OtherData!F21*1000/SCAP</f>
        <v>1399.4</v>
      </c>
      <c r="N7" s="188">
        <f ca="1">IF(OtherData!O21&lt;&gt;"",IF(OR(OtherData!O21&gt;0,SUM(L7)&gt;0),OtherData!O21/SCAP,""),"")</f>
        <v>1769</v>
      </c>
      <c r="O7" s="189">
        <f ca="1">IF(OtherData!P21&lt;&gt;"",IF(OR(OtherData!P21&gt;0,SUM(M7)&gt;0),OtherData!P21/SCAP,""),"")</f>
        <v>845</v>
      </c>
      <c r="P7" s="189">
        <f ca="1">IF(OtherData!Q21&lt;&gt;"",IF(OR(OtherData!Q21&gt;0,SUM(O7)&gt;0),OtherData!Q21/SCAP,""),"")</f>
        <v>702.5</v>
      </c>
      <c r="Q7" s="189">
        <f ca="1">IF(OtherData!R21&lt;&gt;"",IF(OR(OtherData!R21&gt;0,SUM(P7)&gt;0),OtherData!R21/SCAP,""),"")</f>
        <v>560</v>
      </c>
      <c r="R7" s="189">
        <f ca="1">IF(OtherData!S21&lt;&gt;"",IF(OR(OtherData!S21&gt;0,SUM(Q7)&gt;0),OtherData!S21/SCAP,""),"")</f>
        <v>560</v>
      </c>
      <c r="S7" s="189">
        <f ca="1">IF(OtherData!T21&lt;&gt;"",IF(OR(OtherData!T21&gt;0,SUM(R7)&gt;0),OtherData!T21/SCAP,""),"")</f>
        <v>0</v>
      </c>
      <c r="T7" s="189" t="str">
        <f ca="1">IF(OtherData!U21&lt;&gt;"",IF(OR(OtherData!U21&gt;0,SUM(S7)&gt;0),OtherData!U21/SCAP,""),"")</f>
        <v/>
      </c>
      <c r="U7" s="189" t="str">
        <f ca="1">IF(OtherData!V21&lt;&gt;"",IF(OR(OtherData!V21&gt;0,SUM(T7)&gt;0),OtherData!V21/SCAP,""),"")</f>
        <v/>
      </c>
      <c r="V7" s="335">
        <f t="shared" si="2"/>
        <v>3.1536000000000002E-2</v>
      </c>
      <c r="W7" s="162">
        <v>1</v>
      </c>
      <c r="X7" s="6"/>
      <c r="Y7" s="6"/>
      <c r="Z7" s="6"/>
      <c r="AA7" s="6"/>
      <c r="AC7" s="257"/>
      <c r="AD7" s="257"/>
      <c r="AE7" s="257"/>
      <c r="AF7" s="257"/>
      <c r="AG7" s="257"/>
      <c r="AH7" s="257"/>
      <c r="AI7" s="257"/>
    </row>
    <row r="8" spans="2:35" ht="12.95" customHeight="1">
      <c r="B8" s="6" t="s">
        <v>390</v>
      </c>
      <c r="C8" s="6" t="str">
        <f t="shared" si="1"/>
        <v>EPLT: Existing BCO-based capacity</v>
      </c>
      <c r="D8" s="6" t="s">
        <v>354</v>
      </c>
      <c r="E8" s="6" t="s">
        <v>198</v>
      </c>
      <c r="F8" s="260">
        <v>0.95</v>
      </c>
      <c r="G8" s="216">
        <f ca="1">OtherData!C22</f>
        <v>0.38398374514208727</v>
      </c>
      <c r="H8" s="216">
        <f ca="1">OtherData!D22</f>
        <v>0.36458361678501888</v>
      </c>
      <c r="I8" s="254">
        <f ca="1">OtherData!G22*1.02</f>
        <v>0.79333333333333322</v>
      </c>
      <c r="J8" s="254">
        <f ca="1">OtherData!H22*1.02</f>
        <v>0.15833412550936735</v>
      </c>
      <c r="K8" s="254">
        <f ca="1">OtherData!I22</f>
        <v>0.7</v>
      </c>
      <c r="L8" s="189">
        <f ca="1">OtherData!E22*1000/SCAP</f>
        <v>367.10471411787671</v>
      </c>
      <c r="M8" s="189">
        <f ca="1">OtherData!F22*1000/SCAP</f>
        <v>297.37704918032784</v>
      </c>
      <c r="N8" s="188">
        <f ca="1">IF(OtherData!O22&lt;&gt;"",IF(OR(OtherData!O22&gt;0,SUM(L8)&gt;0),OtherData!O22/SCAP,""),"")</f>
        <v>300</v>
      </c>
      <c r="O8" s="189">
        <f ca="1">IF(OtherData!P22&lt;&gt;"",IF(OR(OtherData!P22&gt;0,SUM(M8)&gt;0),OtherData!P22/SCAP,""),"")</f>
        <v>293.44262295081967</v>
      </c>
      <c r="P8" s="189">
        <f ca="1">IF(OtherData!Q22&lt;&gt;"",IF(OR(OtherData!Q22&gt;0,SUM(O8)&gt;0),OtherData!Q22/SCAP,""),"")</f>
        <v>223.77049180327867</v>
      </c>
      <c r="Q8" s="189">
        <f ca="1">IF(OtherData!R22&lt;&gt;"",IF(OR(OtherData!R22&gt;0,SUM(P8)&gt;0),OtherData!R22/SCAP,""),"")</f>
        <v>154.09836065573771</v>
      </c>
      <c r="R8" s="189">
        <f ca="1">IF(OtherData!S22&lt;&gt;"",IF(OR(OtherData!S22&gt;0,SUM(Q8)&gt;0),OtherData!S22/SCAP,""),"")</f>
        <v>85.245901639344254</v>
      </c>
      <c r="S8" s="189">
        <f ca="1">IF(OtherData!T22&lt;&gt;"",IF(OR(OtherData!T22&gt;0,SUM(R8)&gt;0),OtherData!T22/SCAP,""),"")</f>
        <v>0</v>
      </c>
      <c r="T8" s="189" t="str">
        <f ca="1">IF(OtherData!U22&lt;&gt;"",IF(OR(OtherData!U22&gt;0,SUM(S8)&gt;0),OtherData!U22/SCAP,""),"")</f>
        <v/>
      </c>
      <c r="U8" s="189" t="str">
        <f ca="1">IF(OtherData!V22&lt;&gt;"",IF(OR(OtherData!V22&gt;0,SUM(T8)&gt;0),OtherData!V22/SCAP,""),"")</f>
        <v/>
      </c>
      <c r="V8" s="335">
        <f t="shared" si="2"/>
        <v>3.1536000000000002E-2</v>
      </c>
      <c r="W8" s="162">
        <v>1</v>
      </c>
      <c r="X8" s="6"/>
      <c r="Y8" s="6"/>
      <c r="Z8" s="6"/>
      <c r="AA8" s="6"/>
      <c r="AC8" s="257"/>
      <c r="AD8" s="257"/>
      <c r="AE8" s="257"/>
      <c r="AF8" s="257"/>
      <c r="AG8" s="257"/>
      <c r="AH8" s="257"/>
      <c r="AI8" s="257"/>
    </row>
    <row r="9" spans="2:35" ht="12.95" customHeight="1">
      <c r="B9" s="6" t="s">
        <v>263</v>
      </c>
      <c r="C9" s="6" t="str">
        <f t="shared" si="1"/>
        <v>EPLT: Existing BIO-based capacity</v>
      </c>
      <c r="D9" s="6" t="s">
        <v>152</v>
      </c>
      <c r="E9" s="6" t="s">
        <v>198</v>
      </c>
      <c r="F9" s="260">
        <v>0.95</v>
      </c>
      <c r="G9" s="216">
        <f ca="1">OtherData!C23</f>
        <v>0.35361332924042466</v>
      </c>
      <c r="H9" s="216">
        <f ca="1">OtherData!D23</f>
        <v>0.37833590831497305</v>
      </c>
      <c r="I9" s="254">
        <f ca="1">OtherData!G23*1.02</f>
        <v>0.79333333333333322</v>
      </c>
      <c r="J9" s="254">
        <f ca="1">OtherData!H23*1.02</f>
        <v>0.66010152150116619</v>
      </c>
      <c r="K9" s="254">
        <f ca="1">OtherData!I23</f>
        <v>0.7</v>
      </c>
      <c r="L9" s="189">
        <f ca="1">OtherData!E23*1000/SCAP</f>
        <v>181.94775644610837</v>
      </c>
      <c r="M9" s="189">
        <f ca="1">OtherData!F23*1000/SCAP</f>
        <v>104.72898664571878</v>
      </c>
      <c r="N9" s="188">
        <f ca="1">IF(OtherData!O23&lt;&gt;"",IF(OR(OtherData!O23&gt;0,SUM(L9)&gt;0),OtherData!O23/SCAP,""),"")</f>
        <v>114.5326001571092</v>
      </c>
      <c r="O9" s="189">
        <f ca="1">IF(OtherData!P23&lt;&gt;"",IF(OR(OtherData!P23&gt;0,SUM(M9)&gt;0),OtherData!P23/SCAP,""),"")</f>
        <v>90.023566378633163</v>
      </c>
      <c r="P9" s="189">
        <f ca="1">IF(OtherData!Q23&lt;&gt;"",IF(OR(OtherData!Q23&gt;0,SUM(O9)&gt;0),OtherData!Q23/SCAP,""),"")</f>
        <v>84.131971720345646</v>
      </c>
      <c r="Q9" s="189">
        <f ca="1">IF(OtherData!R23&lt;&gt;"",IF(OR(OtherData!R23&gt;0,SUM(P9)&gt;0),OtherData!R23/SCAP,""),"")</f>
        <v>78.24037706205813</v>
      </c>
      <c r="R9" s="189">
        <f ca="1">IF(OtherData!S23&lt;&gt;"",IF(OR(OtherData!S23&gt;0,SUM(Q9)&gt;0),OtherData!S23/SCAP,""),"")</f>
        <v>17.910447761194032</v>
      </c>
      <c r="S9" s="189">
        <f ca="1">IF(OtherData!T23&lt;&gt;"",IF(OR(OtherData!T23&gt;0,SUM(R9)&gt;0),OtherData!T23/SCAP,""),"")</f>
        <v>0</v>
      </c>
      <c r="T9" s="189" t="str">
        <f ca="1">IF(OtherData!U23&lt;&gt;"",IF(OR(OtherData!U23&gt;0,SUM(S9)&gt;0),OtherData!U23/SCAP,""),"")</f>
        <v/>
      </c>
      <c r="U9" s="189" t="str">
        <f ca="1">IF(OtherData!V23&lt;&gt;"",IF(OR(OtherData!V23&gt;0,SUM(T9)&gt;0),OtherData!V23/SCAP,""),"")</f>
        <v/>
      </c>
      <c r="V9" s="335">
        <f t="shared" si="2"/>
        <v>3.1536000000000002E-2</v>
      </c>
      <c r="W9" s="162">
        <v>1</v>
      </c>
      <c r="X9" s="6"/>
      <c r="Y9" s="6"/>
      <c r="Z9" s="6"/>
      <c r="AA9" s="6"/>
      <c r="AC9" s="257"/>
      <c r="AD9" s="257"/>
      <c r="AE9" s="257"/>
      <c r="AF9" s="257"/>
      <c r="AG9" s="257"/>
      <c r="AH9" s="257"/>
      <c r="AI9" s="257"/>
    </row>
    <row r="10" spans="2:35" ht="12.95" customHeight="1">
      <c r="B10" s="202" t="s">
        <v>437</v>
      </c>
      <c r="C10" s="202" t="str">
        <f t="shared" si="1"/>
        <v>EPLT: Existing HYD-based capacity</v>
      </c>
      <c r="D10" s="202" t="s">
        <v>424</v>
      </c>
      <c r="E10" s="202" t="s">
        <v>198</v>
      </c>
      <c r="F10" s="203">
        <v>0.9</v>
      </c>
      <c r="G10" s="204">
        <v>1</v>
      </c>
      <c r="H10" s="204">
        <v>1</v>
      </c>
      <c r="I10" s="197">
        <f ca="1">OtherData!U9</f>
        <v>0.4059503329303123</v>
      </c>
      <c r="J10" s="197">
        <f ca="1">OtherData!V9</f>
        <v>0.44963325704905527</v>
      </c>
      <c r="K10" s="197"/>
      <c r="L10" s="198">
        <f ca="1">OtherData!S9*1000/SCAP</f>
        <v>1440.4551430255224</v>
      </c>
      <c r="M10" s="198">
        <f ca="1">OtherData!T9*1000/SCAP</f>
        <v>1486.9214379618297</v>
      </c>
      <c r="N10" s="198">
        <f ca="1">IF(OtherData!O24&lt;&gt;"",IF(OR(OtherData!O24&gt;0,SUM(L10)&gt;0),$M10*OtherData!O24/OtherData!$N24,""),"")</f>
        <v>1534.8866456380176</v>
      </c>
      <c r="O10" s="198">
        <f ca="1">IF(OtherData!P24&lt;&gt;"",IF(OR(OtherData!P24&gt;0,SUM(M10)&gt;0),$M10*OtherData!P24/OtherData!$N24,""),"")</f>
        <v>1534.8866456380176</v>
      </c>
      <c r="P10" s="198">
        <f ca="1">IF(OtherData!Q24&lt;&gt;"",IF(OR(OtherData!Q24&gt;0,SUM(O10)&gt;0),$L10*OtherData!Q24/OtherData!$N24,""),"")</f>
        <v>1486.9214379618295</v>
      </c>
      <c r="Q10" s="198">
        <f ca="1">IF(OtherData!R24&lt;&gt;"",IF(OR(OtherData!R24&gt;0,SUM(P10)&gt;0),$L10*OtherData!R24/OtherData!$N24,""),"")</f>
        <v>1486.9214379618295</v>
      </c>
      <c r="R10" s="198">
        <f ca="1">IF(OtherData!S24&lt;&gt;"",IF(OR(OtherData!S24&gt;0,SUM(Q10)&gt;0),$L10*OtherData!S24/OtherData!$N24,""),"")</f>
        <v>1486.9214379618295</v>
      </c>
      <c r="S10" s="198">
        <f ca="1">IF(OtherData!T24&lt;&gt;"",IF(OR(OtherData!T24&gt;0,SUM(R10)&gt;0),$L10*OtherData!T24/OtherData!$N24,""),"")</f>
        <v>1486.9214379618295</v>
      </c>
      <c r="T10" s="198">
        <f ca="1">IF(OtherData!U24&lt;&gt;"",IF(OR(OtherData!U24&gt;0,SUM(S10)&gt;0),$L10*OtherData!U24/OtherData!$N24,""),"")</f>
        <v>1486.9214379618295</v>
      </c>
      <c r="U10" s="198">
        <f ca="1">IF(OtherData!V24&lt;&gt;"",IF(OR(OtherData!V24&gt;0,SUM(T10)&gt;0),$L10*OtherData!V24/OtherData!$N24,""),"")</f>
        <v>1486.9214379618295</v>
      </c>
      <c r="V10" s="356">
        <f t="shared" si="2"/>
        <v>3.1536000000000002E-2</v>
      </c>
      <c r="W10" s="319">
        <v>0.75</v>
      </c>
      <c r="X10" s="202"/>
      <c r="Y10" s="202"/>
      <c r="Z10" s="202"/>
      <c r="AA10" s="202"/>
      <c r="AC10" s="257"/>
      <c r="AD10" s="257"/>
      <c r="AE10" s="257"/>
      <c r="AF10" s="257"/>
      <c r="AG10" s="257"/>
      <c r="AH10" s="257"/>
      <c r="AI10" s="257"/>
    </row>
    <row r="11" spans="2:35" ht="12.95" customHeight="1">
      <c r="B11" s="202" t="s">
        <v>436</v>
      </c>
      <c r="C11" s="202" t="str">
        <f t="shared" si="1"/>
        <v>EPLT: Existing HYD-based capacity</v>
      </c>
      <c r="D11" s="202" t="s">
        <v>57</v>
      </c>
      <c r="E11" s="202" t="s">
        <v>198</v>
      </c>
      <c r="F11" s="203">
        <v>0.9</v>
      </c>
      <c r="G11" s="204">
        <v>1</v>
      </c>
      <c r="H11" s="204">
        <v>1</v>
      </c>
      <c r="I11" s="197">
        <f ca="1">OtherData!U10</f>
        <v>0.52853640179554151</v>
      </c>
      <c r="J11" s="197">
        <f ca="1">OtherData!V10</f>
        <v>0.58541039267755313</v>
      </c>
      <c r="K11" s="197"/>
      <c r="L11" s="198">
        <f ca="1">OtherData!S10*1000/SCAP</f>
        <v>1659.5448569744776</v>
      </c>
      <c r="M11" s="198">
        <f ca="1">OtherData!T10*1000/SCAP</f>
        <v>1713.0785620381705</v>
      </c>
      <c r="N11" s="198">
        <f ca="1">IF(OtherData!O24&lt;&gt;"",IF(OR(OtherData!O24&gt;0,SUM(L11)&gt;0),$M11*OtherData!O24/OtherData!$N24,""),"")</f>
        <v>1768.3391608135955</v>
      </c>
      <c r="O11" s="198">
        <f ca="1">IF(OtherData!P24&lt;&gt;"",IF(OR(OtherData!P24&gt;0,SUM(M11)&gt;0),$M11*OtherData!P24/OtherData!$N24,""),"")</f>
        <v>1768.3391608135955</v>
      </c>
      <c r="P11" s="198">
        <f ca="1">IF(OtherData!Q24&lt;&gt;"",IF(OR(OtherData!Q24&gt;0,SUM(O10)&gt;0),$L11*OtherData!Q24/OtherData!$N24,""),"")</f>
        <v>1713.0785620381705</v>
      </c>
      <c r="Q11" s="198">
        <f ca="1">IF(OtherData!R24&lt;&gt;"",IF(OR(OtherData!R24&gt;0,SUM(P10)&gt;0),$L11*OtherData!R24/OtherData!$N24,""),"")</f>
        <v>1713.0785620381705</v>
      </c>
      <c r="R11" s="198">
        <f ca="1">IF(OtherData!S24&lt;&gt;"",IF(OR(OtherData!S24&gt;0,SUM(Q10)&gt;0),$L11*OtherData!S24/OtherData!$N24,""),"")</f>
        <v>1713.0785620381705</v>
      </c>
      <c r="S11" s="198">
        <f ca="1">IF(OtherData!T24&lt;&gt;"",IF(OR(OtherData!T24&gt;0,SUM(R10)&gt;0),$L11*OtherData!T24/OtherData!$N24,""),"")</f>
        <v>1713.0785620381705</v>
      </c>
      <c r="T11" s="198">
        <f ca="1">IF(OtherData!U24&lt;&gt;"",IF(OR(OtherData!U24&gt;0,SUM(S10)&gt;0),$L11*OtherData!U24/OtherData!$N24,""),"")</f>
        <v>1713.0785620381705</v>
      </c>
      <c r="U11" s="198">
        <f ca="1">IF(OtherData!V24&lt;&gt;"",IF(OR(OtherData!V24&gt;0,SUM(T10)&gt;0),$L11*OtherData!V24/OtherData!$N24,""),"")</f>
        <v>1713.0785620381705</v>
      </c>
      <c r="V11" s="356">
        <f t="shared" si="2"/>
        <v>3.1536000000000002E-2</v>
      </c>
      <c r="W11" s="319">
        <v>0.75</v>
      </c>
      <c r="X11" s="202"/>
      <c r="Y11" s="202"/>
      <c r="Z11" s="202"/>
      <c r="AA11" s="202"/>
      <c r="AC11" s="257"/>
      <c r="AD11" s="257"/>
      <c r="AE11" s="257"/>
      <c r="AF11" s="257"/>
      <c r="AG11" s="257"/>
      <c r="AH11" s="257"/>
      <c r="AI11" s="257"/>
    </row>
    <row r="12" spans="2:35" ht="12.95" customHeight="1">
      <c r="B12" s="6" t="s">
        <v>659</v>
      </c>
      <c r="C12" s="6" t="str">
        <f t="shared" si="1"/>
        <v>EPLT: Existing NUC-based capacity</v>
      </c>
      <c r="D12" s="6" t="s">
        <v>338</v>
      </c>
      <c r="E12" s="6" t="s">
        <v>198</v>
      </c>
      <c r="F12" s="260">
        <v>1</v>
      </c>
      <c r="G12" s="216">
        <f ca="1">OtherData!C25</f>
        <v>0.31366389947806383</v>
      </c>
      <c r="H12" s="216">
        <f ca="1">OtherData!D25</f>
        <v>0.3150816665456444</v>
      </c>
      <c r="I12" s="254">
        <f ca="1">OtherData!G25</f>
        <v>0.91304083215736664</v>
      </c>
      <c r="J12" s="254">
        <f ca="1">OtherData!H25</f>
        <v>0.88570940211323235</v>
      </c>
      <c r="K12" s="254">
        <f ca="1">OtherData!I25</f>
        <v>0.92</v>
      </c>
      <c r="L12" s="189">
        <f ca="1">OtherData!E25*1000/SCAP-SUM(L13:L14)</f>
        <v>2710</v>
      </c>
      <c r="M12" s="189">
        <f ca="1">OtherData!F25*1000/SCAP-SUM(M13:M14)</f>
        <v>2766</v>
      </c>
      <c r="N12" s="188">
        <f ca="1">IF(OtherData!O25&lt;&gt;"",IF(OR(OtherData!O25&gt;0,SUM(L12)&gt;0),OtherData!O25/SCAP,""),"")</f>
        <v>2750</v>
      </c>
      <c r="O12" s="189">
        <f t="array" aca="1" ref="O12:T12" ca="1">OFFSET(CalibData!$E46:$K46,0,(CalIndex-1)*10)</f>
        <v>1010</v>
      </c>
      <c r="P12" s="189">
        <f ca="1"/>
        <v>1010</v>
      </c>
      <c r="Q12" s="189">
        <f ca="1"/>
        <v>1010</v>
      </c>
      <c r="R12" s="189">
        <f ca="1"/>
        <v>505</v>
      </c>
      <c r="S12" s="189">
        <f ca="1"/>
        <v>0</v>
      </c>
      <c r="T12" s="189">
        <f ca="1"/>
        <v>0</v>
      </c>
      <c r="U12" s="189" t="str">
        <f ca="1">IF(OtherData!V25&lt;&gt;"",IF(OR(OtherData!V25&gt;0,SUM(T12)&gt;0),OtherData!V25/SCAP,""),"")</f>
        <v/>
      </c>
      <c r="V12" s="335">
        <f t="shared" si="2"/>
        <v>3.1536000000000002E-2</v>
      </c>
      <c r="W12" s="162">
        <v>1</v>
      </c>
      <c r="X12" s="6"/>
      <c r="Y12" s="6"/>
      <c r="Z12" s="6"/>
      <c r="AA12" s="6"/>
      <c r="AC12" s="257"/>
      <c r="AD12" s="257"/>
      <c r="AE12" s="257"/>
      <c r="AF12" s="257"/>
      <c r="AG12" s="257"/>
      <c r="AH12" s="257"/>
      <c r="AI12" s="257"/>
    </row>
    <row r="13" spans="2:35" ht="12.95" customHeight="1">
      <c r="B13" s="6" t="s">
        <v>661</v>
      </c>
      <c r="C13" s="6" t="str">
        <f t="shared" si="1"/>
        <v>EPLT: Existing NUC-based capacity</v>
      </c>
      <c r="D13" s="6" t="s">
        <v>338</v>
      </c>
      <c r="E13" s="6" t="s">
        <v>198</v>
      </c>
      <c r="F13" s="260">
        <v>1</v>
      </c>
      <c r="G13" s="216">
        <f ca="1">G$12</f>
        <v>0.31366389947806383</v>
      </c>
      <c r="H13" s="216">
        <f ca="1">H$12</f>
        <v>0.3150816665456444</v>
      </c>
      <c r="I13" s="254">
        <f ca="1">I$12</f>
        <v>0.91304083215736664</v>
      </c>
      <c r="J13" s="254">
        <f ca="1">J$12</f>
        <v>0.88570940211323235</v>
      </c>
      <c r="K13" s="254">
        <f ca="1">K$12</f>
        <v>0.92</v>
      </c>
      <c r="L13" s="189">
        <f ca="1">OtherData!E26*1000/SCAP</f>
        <v>0</v>
      </c>
      <c r="M13" s="189">
        <f ca="1">OtherData!F26*1000/SCAP</f>
        <v>0</v>
      </c>
      <c r="N13" s="188">
        <v>0</v>
      </c>
      <c r="O13" s="189">
        <f t="array" aca="1" ref="O13:T13" ca="1">OFFSET(CalibData!$E47:$K47,0,(CalIndex-1)*10)</f>
        <v>1780</v>
      </c>
      <c r="P13" s="189">
        <f ca="1"/>
        <v>1780</v>
      </c>
      <c r="Q13" s="189">
        <f ca="1"/>
        <v>1780</v>
      </c>
      <c r="R13" s="189">
        <f ca="1"/>
        <v>1780</v>
      </c>
      <c r="S13" s="189">
        <f ca="1"/>
        <v>890</v>
      </c>
      <c r="T13" s="189">
        <f ca="1"/>
        <v>0</v>
      </c>
      <c r="U13" s="189"/>
      <c r="V13" s="335">
        <f t="shared" si="2"/>
        <v>3.1536000000000002E-2</v>
      </c>
      <c r="W13" s="162">
        <v>1</v>
      </c>
      <c r="X13" s="6"/>
      <c r="Y13" s="6"/>
      <c r="Z13" s="6"/>
      <c r="AA13" s="6"/>
      <c r="AC13" s="257"/>
      <c r="AD13" s="257"/>
      <c r="AE13" s="257"/>
      <c r="AF13" s="257"/>
      <c r="AG13" s="257"/>
      <c r="AH13" s="257"/>
      <c r="AI13" s="257"/>
    </row>
    <row r="14" spans="2:35" ht="12.95" customHeight="1">
      <c r="B14" s="6" t="s">
        <v>660</v>
      </c>
      <c r="C14" s="6" t="str">
        <f t="shared" si="1"/>
        <v>EPLT: Existing NUC-based capacity</v>
      </c>
      <c r="D14" s="6" t="s">
        <v>338</v>
      </c>
      <c r="E14" s="6" t="s">
        <v>198</v>
      </c>
      <c r="F14" s="260">
        <v>1</v>
      </c>
      <c r="G14" s="352">
        <v>0.36499999999999999</v>
      </c>
      <c r="H14" s="352">
        <v>0.36499999999999999</v>
      </c>
      <c r="I14" s="142">
        <v>0</v>
      </c>
      <c r="J14" s="142">
        <v>0</v>
      </c>
      <c r="K14" s="254">
        <f ca="1">K$12</f>
        <v>0.92</v>
      </c>
      <c r="L14" s="188">
        <v>0</v>
      </c>
      <c r="M14" s="188">
        <v>0</v>
      </c>
      <c r="N14" s="188">
        <v>0</v>
      </c>
      <c r="O14" s="189">
        <f t="array" aca="1" ref="O14:T14" ca="1">OFFSET(CalibData!$E41:$K41,0,(CalIndex-1)*10)-O12:T12-O13:T13</f>
        <v>610</v>
      </c>
      <c r="P14" s="189">
        <f ca="1"/>
        <v>1600</v>
      </c>
      <c r="Q14" s="189">
        <f ca="1"/>
        <v>1600</v>
      </c>
      <c r="R14" s="189">
        <f ca="1"/>
        <v>1600</v>
      </c>
      <c r="S14" s="189">
        <f ca="1"/>
        <v>1600</v>
      </c>
      <c r="T14" s="189">
        <f ca="1"/>
        <v>1600</v>
      </c>
      <c r="U14" s="189"/>
      <c r="V14" s="335">
        <f t="shared" si="2"/>
        <v>3.1536000000000002E-2</v>
      </c>
      <c r="W14" s="162">
        <v>1</v>
      </c>
      <c r="X14" s="6"/>
      <c r="Y14" s="6"/>
      <c r="Z14" s="6"/>
      <c r="AA14" s="6"/>
      <c r="AC14" s="257"/>
      <c r="AD14" s="257"/>
      <c r="AE14" s="257"/>
      <c r="AF14" s="257"/>
      <c r="AG14" s="257"/>
      <c r="AH14" s="257"/>
      <c r="AI14" s="257"/>
    </row>
    <row r="15" spans="2:35" ht="12.95" customHeight="1">
      <c r="B15" s="6" t="s">
        <v>264</v>
      </c>
      <c r="C15" s="6" t="str">
        <f t="shared" si="1"/>
        <v>EPLT: Existing GEO-based capacity</v>
      </c>
      <c r="D15" s="6" t="s">
        <v>170</v>
      </c>
      <c r="E15" s="6" t="s">
        <v>198</v>
      </c>
      <c r="F15" s="260">
        <v>0.9</v>
      </c>
      <c r="G15" s="216">
        <f ca="1">OtherData!C26</f>
        <v>0.1</v>
      </c>
      <c r="H15" s="216">
        <f ca="1">OtherData!D26</f>
        <v>0.1</v>
      </c>
      <c r="I15" s="254">
        <f ca="1">OtherData!G26</f>
        <v>0.75</v>
      </c>
      <c r="J15" s="254">
        <f ca="1">OtherData!H26</f>
        <v>0.75</v>
      </c>
      <c r="K15" s="254">
        <f ca="1">OtherData!I26</f>
        <v>0.75</v>
      </c>
      <c r="L15" s="189">
        <f ca="1">OtherData!E26*1000/SCAP</f>
        <v>0</v>
      </c>
      <c r="M15" s="189">
        <f ca="1">OtherData!F26*1000/SCAP</f>
        <v>0</v>
      </c>
      <c r="N15" s="188" t="str">
        <f ca="1">IF(OtherData!O26&lt;&gt;"",IF(OR(OtherData!O26&gt;0,SUM(L15)&gt;0),OtherData!O26/SCAP,""),"")</f>
        <v/>
      </c>
      <c r="O15" s="189" t="str">
        <f ca="1">IF(OtherData!P26&lt;&gt;"",IF(OR(OtherData!P26&gt;0,SUM(M15)&gt;0),OtherData!P26/SCAP,""),"")</f>
        <v/>
      </c>
      <c r="P15" s="189" t="str">
        <f ca="1">IF(OtherData!Q26&lt;&gt;"",IF(OR(OtherData!Q26&gt;0,SUM(O15)&gt;0),OtherData!Q26/SCAP,""),"")</f>
        <v/>
      </c>
      <c r="Q15" s="189" t="str">
        <f ca="1">IF(OtherData!R26&lt;&gt;"",IF(OR(OtherData!R26&gt;0,SUM(P15)&gt;0),OtherData!R26/SCAP,""),"")</f>
        <v/>
      </c>
      <c r="R15" s="189" t="str">
        <f ca="1">IF(OtherData!S26&lt;&gt;"",IF(OR(OtherData!S26&gt;0,SUM(Q15)&gt;0),OtherData!S26/SCAP,""),"")</f>
        <v/>
      </c>
      <c r="S15" s="189" t="str">
        <f ca="1">IF(OtherData!T26&lt;&gt;"",IF(OR(OtherData!T26&gt;0,SUM(R15)&gt;0),OtherData!T26/SCAP,""),"")</f>
        <v/>
      </c>
      <c r="T15" s="189" t="str">
        <f ca="1">IF(OtherData!U26&lt;&gt;"",IF(OR(OtherData!U26&gt;0,SUM(S15)&gt;0),OtherData!U26/SCAP,""),"")</f>
        <v/>
      </c>
      <c r="U15" s="189" t="str">
        <f ca="1">IF(OtherData!V26&lt;&gt;"",IF(OR(OtherData!V26&gt;0,SUM(T15)&gt;0),OtherData!V26/SCAP,""),"")</f>
        <v/>
      </c>
      <c r="V15" s="335">
        <f t="shared" si="2"/>
        <v>3.1536000000000002E-2</v>
      </c>
      <c r="W15" s="162">
        <v>1</v>
      </c>
      <c r="X15" s="6"/>
      <c r="Y15" s="6"/>
      <c r="Z15" s="6"/>
      <c r="AA15" s="6"/>
      <c r="AC15" s="257"/>
      <c r="AD15" s="257"/>
      <c r="AE15" s="257"/>
      <c r="AF15" s="257"/>
      <c r="AG15" s="257"/>
      <c r="AH15" s="257"/>
      <c r="AI15" s="257"/>
    </row>
    <row r="16" spans="2:35" ht="12.95" customHeight="1">
      <c r="B16" s="6" t="s">
        <v>265</v>
      </c>
      <c r="C16" s="6" t="str">
        <f t="shared" si="1"/>
        <v>EPLT: Existing WIN-based capacity</v>
      </c>
      <c r="D16" s="6" t="s">
        <v>172</v>
      </c>
      <c r="E16" s="6" t="s">
        <v>198</v>
      </c>
      <c r="F16" s="142"/>
      <c r="G16" s="142"/>
      <c r="H16" s="142"/>
      <c r="I16" s="142"/>
      <c r="J16" s="142"/>
      <c r="K16" s="142"/>
      <c r="L16" s="189">
        <f ca="1">OtherData!E27*1000/SCAP</f>
        <v>197</v>
      </c>
      <c r="M16" s="189">
        <f ca="1">OtherData!F27*1000/SCAP</f>
        <v>1611.3586687100203</v>
      </c>
      <c r="N16" s="188">
        <f ca="1">IF(OtherData!O27&lt;&gt;"",IF(OR(OtherData!O27&gt;0,SUM(L16)&gt;0),OtherData!O27/SCAP,""),"")</f>
        <v>900</v>
      </c>
      <c r="O16" s="189">
        <f ca="1">IF(OtherData!P27&lt;&gt;"",IF(OR(OtherData!P27&gt;0,SUM(M16)&gt;0),OtherData!P27/SCAP,""),"")</f>
        <v>2500</v>
      </c>
      <c r="P16" s="189">
        <f ca="1">IF(OtherData!Q27&lt;&gt;"",IF(OR(OtherData!Q27&gt;0,SUM(O16)&gt;0),OtherData!Q27/SCAP,""),"")</f>
        <v>3000</v>
      </c>
      <c r="Q16" s="189">
        <f ca="1">IF(OtherData!R27&lt;&gt;"",IF(OR(OtherData!R27&gt;0,SUM(P16)&gt;0),OtherData!R27/SCAP,""),"")</f>
        <v>3000</v>
      </c>
      <c r="R16" s="189">
        <f ca="1">IF(OtherData!S27&lt;&gt;"",IF(OR(OtherData!S27&gt;0,SUM(Q16)&gt;0),OtherData!S27/SCAP,""),"")</f>
        <v>2100</v>
      </c>
      <c r="S16" s="189">
        <f ca="1">IF(OtherData!T27&lt;&gt;"",IF(OR(OtherData!T27&gt;0,SUM(R16)&gt;0),OtherData!T27/SCAP,""),"")</f>
        <v>1000</v>
      </c>
      <c r="T16" s="189">
        <f ca="1">IF(OtherData!U27&lt;&gt;"",IF(OR(OtherData!U27&gt;0,SUM(S16)&gt;0),OtherData!U27/SCAP,""),"")</f>
        <v>1000</v>
      </c>
      <c r="U16" s="189">
        <f ca="1">IF(OtherData!V27&lt;&gt;"",IF(OR(OtherData!V27&gt;0,SUM(T16)&gt;0),OtherData!V27/SCAP,""),"")</f>
        <v>0</v>
      </c>
      <c r="V16" s="335">
        <f t="shared" si="2"/>
        <v>3.1536000000000002E-2</v>
      </c>
      <c r="W16" s="162">
        <v>0.1</v>
      </c>
      <c r="X16" s="6"/>
      <c r="Y16" s="6"/>
      <c r="Z16" s="6"/>
      <c r="AA16" s="6"/>
      <c r="AC16" s="257"/>
      <c r="AD16" s="257"/>
      <c r="AE16" s="257"/>
      <c r="AF16" s="257"/>
      <c r="AG16" s="257"/>
      <c r="AH16" s="257"/>
      <c r="AI16" s="257"/>
    </row>
    <row r="17" spans="2:35" ht="12.95" customHeight="1">
      <c r="B17" s="6" t="s">
        <v>545</v>
      </c>
      <c r="C17" s="6" t="s">
        <v>546</v>
      </c>
      <c r="D17" s="6" t="s">
        <v>171</v>
      </c>
      <c r="E17" s="6" t="s">
        <v>198</v>
      </c>
      <c r="F17" s="142"/>
      <c r="G17" s="142"/>
      <c r="H17" s="142"/>
      <c r="I17" s="142"/>
      <c r="J17" s="142"/>
      <c r="K17" s="142"/>
      <c r="L17" s="189">
        <f ca="1">OtherData!E28*1000/SCAP</f>
        <v>7</v>
      </c>
      <c r="M17" s="189">
        <f ca="1">OtherData!F28*1000/SCAP</f>
        <v>113</v>
      </c>
      <c r="N17" s="188">
        <f ca="1">IF(OtherData!O28&lt;&gt;"",IF(OR(OtherData!O28&gt;0,SUM(L17)&gt;0),OtherData!O28/SCAP,""),"")</f>
        <v>15</v>
      </c>
      <c r="O17" s="189">
        <f ca="1">IF(OtherData!P28&lt;&gt;"",IF(OR(OtherData!P28&gt;0,SUM(M17)&gt;0),OtherData!P28/SCAP,""),"")</f>
        <v>260</v>
      </c>
      <c r="P17" s="189">
        <f ca="1">IF(OtherData!Q28&lt;&gt;"",IF(OR(OtherData!Q28&gt;0,SUM(O17)&gt;0),OtherData!Q28/SCAP,""),"")</f>
        <v>400</v>
      </c>
      <c r="Q17" s="189">
        <f ca="1">IF(OtherData!R28&lt;&gt;"",IF(OR(OtherData!R28&gt;0,SUM(P17)&gt;0),OtherData!R28/SCAP,""),"")</f>
        <v>400</v>
      </c>
      <c r="R17" s="189">
        <f ca="1">IF(OtherData!S28&lt;&gt;"",IF(OR(OtherData!S28&gt;0,SUM(Q17)&gt;0),OtherData!S28/SCAP,""),"")</f>
        <v>400</v>
      </c>
      <c r="S17" s="189">
        <f ca="1">IF(OtherData!T28&lt;&gt;"",IF(OR(OtherData!T28&gt;0,SUM(R17)&gt;0),OtherData!T28/SCAP,""),"")</f>
        <v>120</v>
      </c>
      <c r="T17" s="6"/>
      <c r="U17" s="6"/>
      <c r="V17" s="335">
        <f t="shared" si="2"/>
        <v>3.1536000000000002E-2</v>
      </c>
      <c r="W17" s="162">
        <v>0.5</v>
      </c>
      <c r="X17" s="6"/>
      <c r="Y17" s="6"/>
      <c r="Z17" s="6"/>
      <c r="AA17" s="6"/>
      <c r="AC17" s="257"/>
      <c r="AD17" s="257"/>
      <c r="AE17" s="257"/>
      <c r="AF17" s="257"/>
      <c r="AG17" s="257"/>
      <c r="AH17" s="257"/>
      <c r="AI17" s="257"/>
    </row>
    <row r="18" spans="2:35" ht="12.95" customHeight="1">
      <c r="B18" s="257" t="s">
        <v>59</v>
      </c>
      <c r="C18" s="257"/>
      <c r="D18" s="257"/>
      <c r="E18" s="257"/>
      <c r="F18" s="257"/>
      <c r="G18" s="257"/>
      <c r="H18" s="257"/>
      <c r="I18" s="257"/>
      <c r="J18" s="257"/>
      <c r="K18" s="257"/>
      <c r="L18" s="257"/>
      <c r="M18" s="257"/>
      <c r="N18" s="181"/>
      <c r="O18" s="257"/>
      <c r="P18" s="257"/>
      <c r="Q18" s="257"/>
      <c r="R18" s="257"/>
      <c r="S18" s="257"/>
      <c r="T18" s="257"/>
      <c r="U18" s="257"/>
      <c r="V18" s="337"/>
      <c r="W18" s="182"/>
      <c r="X18" s="257"/>
      <c r="Y18" s="257"/>
      <c r="Z18" s="257"/>
      <c r="AA18" s="257"/>
      <c r="AC18" s="257"/>
      <c r="AD18" s="257"/>
      <c r="AE18" s="257"/>
      <c r="AF18" s="257"/>
      <c r="AG18" s="257"/>
      <c r="AH18" s="257"/>
      <c r="AI18" s="257"/>
    </row>
    <row r="19" spans="2:35" ht="12.95" customHeight="1">
      <c r="B19" s="6" t="s">
        <v>493</v>
      </c>
      <c r="C19" s="6" t="str">
        <f>"CHP: Existing " &amp;MID(B19,4,3)&amp; "-based capacity"</f>
        <v>CHP: Existing GEO-based capacity</v>
      </c>
      <c r="D19" s="6" t="s">
        <v>170</v>
      </c>
      <c r="E19" s="6" t="s">
        <v>198</v>
      </c>
      <c r="F19" s="6">
        <v>0.95</v>
      </c>
      <c r="G19" s="216">
        <f ca="1">OtherData!C39/(1+AD19)^ECAP</f>
        <v>0.8910891089108911</v>
      </c>
      <c r="H19" s="216">
        <f ca="1">OtherData!D39/(1+AE19)^ECAP</f>
        <v>0.8910891089108911</v>
      </c>
      <c r="I19" s="254">
        <f ca="1">OtherData!G39</f>
        <v>0.55000000000000004</v>
      </c>
      <c r="J19" s="254">
        <f ca="1">OtherData!H39</f>
        <v>0.55000000000000004</v>
      </c>
      <c r="K19" s="142"/>
      <c r="L19" s="252">
        <f ca="1">OtherData!E39</f>
        <v>0</v>
      </c>
      <c r="M19" s="252">
        <f ca="1">OtherData!F39</f>
        <v>0</v>
      </c>
      <c r="N19" s="181">
        <f ca="1">OtherData!E39</f>
        <v>0</v>
      </c>
      <c r="O19" s="252">
        <f ca="1">M19</f>
        <v>0</v>
      </c>
      <c r="P19" s="252">
        <f ca="1">O19</f>
        <v>0</v>
      </c>
      <c r="Q19" s="252">
        <f ca="1">P19</f>
        <v>0</v>
      </c>
      <c r="R19" s="252" t="str">
        <f ca="1">IF($M19&gt;0,Q19,"")</f>
        <v/>
      </c>
      <c r="S19" s="252"/>
      <c r="T19" s="252"/>
      <c r="U19" s="252"/>
      <c r="V19" s="335">
        <f>3.6*8.76*V$1</f>
        <v>3.1536000000000002E-2</v>
      </c>
      <c r="W19" s="162">
        <v>1</v>
      </c>
      <c r="X19" s="339">
        <f t="shared" ref="X19:Y23" ca="1" si="3">IF($AH19&gt;2,MAX($AH19,AF19*AD19/(1+AD19)/MAX(0.01,$AI19-AF19/(1+AD19)))^IF(ECAP,-1,1),IF(ECAP,0,1))*SIGN(-ECAP)</f>
        <v>0</v>
      </c>
      <c r="Y19" s="339">
        <f t="shared" ca="1" si="3"/>
        <v>0</v>
      </c>
      <c r="Z19" s="6"/>
      <c r="AA19" s="6"/>
      <c r="AC19" s="257"/>
      <c r="AD19" s="349">
        <f ca="1">OtherData!I39</f>
        <v>0.01</v>
      </c>
      <c r="AE19" s="349">
        <f ca="1">OtherData!J39</f>
        <v>0.01</v>
      </c>
      <c r="AF19" s="351"/>
      <c r="AG19" s="351"/>
      <c r="AH19" s="135"/>
      <c r="AI19" s="182"/>
    </row>
    <row r="20" spans="2:35" ht="12.95" customHeight="1">
      <c r="B20" s="6" t="s">
        <v>653</v>
      </c>
      <c r="C20" s="6" t="str">
        <f>"CHP: Existing " &amp;MID(B20,4,3)&amp; "-based capacity"</f>
        <v>CHP: Existing BMU-based capacity</v>
      </c>
      <c r="D20" s="6" t="s">
        <v>134</v>
      </c>
      <c r="E20" s="6" t="s">
        <v>198</v>
      </c>
      <c r="F20" s="6">
        <v>0.95</v>
      </c>
      <c r="G20" s="216">
        <f ca="1">OtherData!C38/(1+AD20)^ECAP</f>
        <v>0.25714285714285717</v>
      </c>
      <c r="H20" s="216">
        <f ca="1">OtherData!D38/(1+AE20)^ECAP</f>
        <v>0.25547047639993248</v>
      </c>
      <c r="I20" s="254">
        <f ca="1">OtherData!G38*1.01</f>
        <v>0.37521840475209567</v>
      </c>
      <c r="J20" s="254">
        <f ca="1">OtherData!H38*1</f>
        <v>0.4750694830795324</v>
      </c>
      <c r="K20" s="261">
        <v>0.65400000000000003</v>
      </c>
      <c r="L20" s="189">
        <f ca="1">OtherData!C145/(1+AD20)^ECAP</f>
        <v>32.14220663136237</v>
      </c>
      <c r="M20" s="189">
        <f ca="1">OtherData!D145/(1+AE20)^ECAP</f>
        <v>38.570647957634847</v>
      </c>
      <c r="N20" s="188">
        <f ca="1">M20</f>
        <v>38.570647957634847</v>
      </c>
      <c r="O20" s="189">
        <f ca="1">IF(SUM(N20),OtherData!F145/OtherData!$D145*$M20,"")</f>
        <v>48.213309947043555</v>
      </c>
      <c r="P20" s="189">
        <f ca="1">IF(SUM(O20),OtherData!G145/OtherData!$D145*$M20,"")</f>
        <v>48.213309947043555</v>
      </c>
      <c r="Q20" s="189">
        <f ca="1">IF(SUM(P20),OtherData!H145/OtherData!$D145*$M20,"")</f>
        <v>48.213309947043555</v>
      </c>
      <c r="R20" s="189">
        <f ca="1">IF(SUM(Q20),OtherData!I145/OtherData!$D145*$M20,"")</f>
        <v>48.213309947043555</v>
      </c>
      <c r="S20" s="189">
        <f ca="1">IF(SUM(R20),OtherData!J145/OtherData!$D145*$M20,"")</f>
        <v>16.071103315681189</v>
      </c>
      <c r="T20" s="254"/>
      <c r="U20" s="6"/>
      <c r="V20" s="335">
        <f>3.6*8.76*V$1</f>
        <v>3.1536000000000002E-2</v>
      </c>
      <c r="W20" s="162">
        <v>1</v>
      </c>
      <c r="X20" s="339">
        <f t="shared" ca="1" si="3"/>
        <v>0</v>
      </c>
      <c r="Y20" s="339">
        <f t="shared" ca="1" si="3"/>
        <v>0</v>
      </c>
      <c r="Z20" s="6"/>
      <c r="AA20" s="6"/>
      <c r="AC20" s="257"/>
      <c r="AD20" s="349">
        <f ca="1">OtherData!I$38</f>
        <v>1.8</v>
      </c>
      <c r="AE20" s="349">
        <f ca="1">OtherData!J$38</f>
        <v>1.8183295782204534</v>
      </c>
      <c r="AF20" s="351">
        <f ca="1">OtherData!C38</f>
        <v>0.72</v>
      </c>
      <c r="AG20" s="351">
        <f ca="1">OtherData!D38</f>
        <v>0.72</v>
      </c>
      <c r="AH20" s="135">
        <v>1</v>
      </c>
      <c r="AI20" s="182"/>
    </row>
    <row r="21" spans="2:35" ht="12.95" customHeight="1">
      <c r="B21" s="6" t="s">
        <v>654</v>
      </c>
      <c r="C21" s="6" t="str">
        <f>"CHP: Existing " &amp;MID(B21,4,3)&amp; "-based capacity"</f>
        <v>CHP: Existing BMU-based capacity</v>
      </c>
      <c r="D21" s="6" t="s">
        <v>134</v>
      </c>
      <c r="E21" s="6" t="s">
        <v>198</v>
      </c>
      <c r="F21" s="6">
        <f t="shared" ref="F21:K23" si="4">F$20</f>
        <v>0.95</v>
      </c>
      <c r="G21" s="245">
        <f t="shared" si="4"/>
        <v>0.25714285714285717</v>
      </c>
      <c r="H21" s="245">
        <f t="shared" si="4"/>
        <v>0.25547047639993248</v>
      </c>
      <c r="I21" s="254">
        <f t="shared" ca="1" si="4"/>
        <v>0.37521840475209567</v>
      </c>
      <c r="J21" s="254">
        <f t="shared" ca="1" si="4"/>
        <v>0.4750694830795324</v>
      </c>
      <c r="K21" s="261">
        <f t="shared" si="4"/>
        <v>0.65400000000000003</v>
      </c>
      <c r="L21" s="189">
        <f ca="1">OtherData!C146/(1+AD21)^ECAP</f>
        <v>24.300941073295785</v>
      </c>
      <c r="M21" s="189">
        <f ca="1">OtherData!D146/(1+AE21)^ECAP</f>
        <v>29.161129287954942</v>
      </c>
      <c r="N21" s="188">
        <f ca="1">M21</f>
        <v>29.161129287954942</v>
      </c>
      <c r="O21" s="189">
        <f ca="1">IF(SUM(N21),OtherData!F146/OtherData!$D146*$M21,"")</f>
        <v>36.451411609943676</v>
      </c>
      <c r="P21" s="189">
        <f ca="1">IF(SUM(O21),OtherData!G146/OtherData!$D146*$M21,"")</f>
        <v>36.451411609943676</v>
      </c>
      <c r="Q21" s="189">
        <f ca="1">IF(SUM(P21),OtherData!H146/OtherData!$D146*$M21,"")</f>
        <v>36.451411609943676</v>
      </c>
      <c r="R21" s="189">
        <f ca="1">IF(SUM(Q21),OtherData!I146/OtherData!$D146*$M21,"")</f>
        <v>36.451411609943676</v>
      </c>
      <c r="S21" s="189">
        <f ca="1">IF(SUM(R21),OtherData!J146/OtherData!$D146*$M21,"")</f>
        <v>12.150470536647893</v>
      </c>
      <c r="T21" s="254"/>
      <c r="U21" s="6"/>
      <c r="V21" s="335">
        <f>3.6*8.76*V$1</f>
        <v>3.1536000000000002E-2</v>
      </c>
      <c r="W21" s="162">
        <v>1</v>
      </c>
      <c r="X21" s="339">
        <f t="shared" ca="1" si="3"/>
        <v>0</v>
      </c>
      <c r="Y21" s="339">
        <f t="shared" ca="1" si="3"/>
        <v>0</v>
      </c>
      <c r="Z21" s="6"/>
      <c r="AA21" s="6"/>
      <c r="AC21" s="257"/>
      <c r="AD21" s="349">
        <f ca="1">OtherData!I$38</f>
        <v>1.8</v>
      </c>
      <c r="AE21" s="349">
        <f ca="1">OtherData!J$38</f>
        <v>1.8183295782204534</v>
      </c>
      <c r="AF21" s="351">
        <f t="shared" ref="AF21:AG23" si="5">AF$20</f>
        <v>0.72</v>
      </c>
      <c r="AG21" s="351">
        <f t="shared" si="5"/>
        <v>0.72</v>
      </c>
      <c r="AH21" s="135">
        <v>1</v>
      </c>
      <c r="AI21" s="182"/>
    </row>
    <row r="22" spans="2:35" ht="12.95" customHeight="1">
      <c r="B22" s="6" t="s">
        <v>655</v>
      </c>
      <c r="C22" s="6" t="str">
        <f>"CHP: Existing " &amp;MID(B22,4,3)&amp; "-based capacity"</f>
        <v>CHP: Existing BMU-based capacity</v>
      </c>
      <c r="D22" s="6" t="s">
        <v>134</v>
      </c>
      <c r="E22" s="6" t="s">
        <v>198</v>
      </c>
      <c r="F22" s="6">
        <f t="shared" si="4"/>
        <v>0.95</v>
      </c>
      <c r="G22" s="245">
        <f t="shared" si="4"/>
        <v>0.25714285714285717</v>
      </c>
      <c r="H22" s="245">
        <f t="shared" si="4"/>
        <v>0.25547047639993248</v>
      </c>
      <c r="I22" s="254">
        <f t="shared" ca="1" si="4"/>
        <v>0.37521840475209567</v>
      </c>
      <c r="J22" s="254">
        <f t="shared" ca="1" si="4"/>
        <v>0.4750694830795324</v>
      </c>
      <c r="K22" s="261">
        <f t="shared" si="4"/>
        <v>0.65400000000000003</v>
      </c>
      <c r="L22" s="189">
        <f ca="1">OtherData!C147/(1+AD22)^ECAP</f>
        <v>15.035922690322801</v>
      </c>
      <c r="M22" s="189">
        <f ca="1">OtherData!D147/(1+AE22)^ECAP</f>
        <v>18.04310722838736</v>
      </c>
      <c r="N22" s="188">
        <f ca="1">M22</f>
        <v>18.04310722838736</v>
      </c>
      <c r="O22" s="189">
        <f ca="1">IF(SUM(N22),OtherData!F147/OtherData!$D147*$M22,"")</f>
        <v>22.553884035484199</v>
      </c>
      <c r="P22" s="189">
        <f ca="1">IF(SUM(O22),OtherData!G147/OtherData!$D147*$M22,"")</f>
        <v>22.553884035484199</v>
      </c>
      <c r="Q22" s="189">
        <f ca="1">IF(SUM(P22),OtherData!H147/OtherData!$D147*$M22,"")</f>
        <v>22.553884035484199</v>
      </c>
      <c r="R22" s="189">
        <f ca="1">IF(SUM(Q22),OtherData!I147/OtherData!$D147*$M22,"")</f>
        <v>22.553884035484199</v>
      </c>
      <c r="S22" s="189">
        <f ca="1">IF(SUM(R22),OtherData!J147/OtherData!$D147*$M22,"")</f>
        <v>7.5179613451613996</v>
      </c>
      <c r="T22" s="254"/>
      <c r="U22" s="6"/>
      <c r="V22" s="335">
        <f>3.6*8.76*V$1</f>
        <v>3.1536000000000002E-2</v>
      </c>
      <c r="W22" s="162">
        <v>1</v>
      </c>
      <c r="X22" s="339">
        <f t="shared" ca="1" si="3"/>
        <v>0</v>
      </c>
      <c r="Y22" s="339">
        <f t="shared" ca="1" si="3"/>
        <v>0</v>
      </c>
      <c r="Z22" s="6"/>
      <c r="AA22" s="6"/>
      <c r="AC22" s="257"/>
      <c r="AD22" s="349">
        <f ca="1">OtherData!I$38</f>
        <v>1.8</v>
      </c>
      <c r="AE22" s="349">
        <f ca="1">OtherData!J$38</f>
        <v>1.8183295782204534</v>
      </c>
      <c r="AF22" s="351">
        <f t="shared" si="5"/>
        <v>0.72</v>
      </c>
      <c r="AG22" s="351">
        <f t="shared" si="5"/>
        <v>0.72</v>
      </c>
      <c r="AH22" s="135">
        <v>1</v>
      </c>
      <c r="AI22" s="182"/>
    </row>
    <row r="23" spans="2:35">
      <c r="B23" s="6" t="s">
        <v>656</v>
      </c>
      <c r="C23" s="6" t="str">
        <f>"CHP: Existing " &amp;MID(B23,4,3)&amp; "-based capacity"</f>
        <v>CHP: Existing BMU-based capacity</v>
      </c>
      <c r="D23" s="6" t="s">
        <v>134</v>
      </c>
      <c r="E23" s="6" t="s">
        <v>198</v>
      </c>
      <c r="F23" s="6">
        <f t="shared" si="4"/>
        <v>0.95</v>
      </c>
      <c r="G23" s="245">
        <f t="shared" si="4"/>
        <v>0.25714285714285717</v>
      </c>
      <c r="H23" s="245">
        <f t="shared" si="4"/>
        <v>0.25547047639993248</v>
      </c>
      <c r="I23" s="254">
        <f t="shared" ca="1" si="4"/>
        <v>0.37521840475209567</v>
      </c>
      <c r="J23" s="254">
        <f t="shared" ca="1" si="4"/>
        <v>0.4750694830795324</v>
      </c>
      <c r="K23" s="261">
        <f t="shared" si="4"/>
        <v>0.65400000000000003</v>
      </c>
      <c r="L23" s="189">
        <f ca="1">OtherData!C148/(1+AD23)^ECAP</f>
        <v>18.520929605019056</v>
      </c>
      <c r="M23" s="189">
        <f ca="1">OtherData!D148/(1+AE23)^ECAP</f>
        <v>22.225115526022865</v>
      </c>
      <c r="N23" s="188">
        <f ca="1">M23</f>
        <v>22.225115526022865</v>
      </c>
      <c r="O23" s="189">
        <f ca="1">IF(SUM(N23),OtherData!F148/OtherData!$D148*$M23,"")</f>
        <v>27.78139440752858</v>
      </c>
      <c r="P23" s="189">
        <f ca="1">IF(SUM(O23),OtherData!G148/OtherData!$D148*$M23,"")</f>
        <v>27.78139440752858</v>
      </c>
      <c r="Q23" s="189">
        <f ca="1">IF(SUM(P23),OtherData!H148/OtherData!$D148*$M23,"")</f>
        <v>27.78139440752858</v>
      </c>
      <c r="R23" s="189">
        <f ca="1">IF(SUM(Q23),OtherData!I148/OtherData!$D148*$M23,"")</f>
        <v>27.78139440752858</v>
      </c>
      <c r="S23" s="189">
        <f ca="1">IF(SUM(R23),OtherData!J148/OtherData!$D148*$M23,"")</f>
        <v>9.260464802509528</v>
      </c>
      <c r="T23" s="254"/>
      <c r="U23" s="6"/>
      <c r="V23" s="335">
        <f>3.6*8.76*V$1</f>
        <v>3.1536000000000002E-2</v>
      </c>
      <c r="W23" s="162">
        <v>1</v>
      </c>
      <c r="X23" s="339">
        <f t="shared" ca="1" si="3"/>
        <v>0</v>
      </c>
      <c r="Y23" s="339">
        <f t="shared" ca="1" si="3"/>
        <v>0</v>
      </c>
      <c r="Z23" s="6"/>
      <c r="AA23" s="6"/>
      <c r="AC23" s="257"/>
      <c r="AD23" s="349">
        <f ca="1">OtherData!I$38</f>
        <v>1.8</v>
      </c>
      <c r="AE23" s="349">
        <f ca="1">OtherData!J$38</f>
        <v>1.8183295782204534</v>
      </c>
      <c r="AF23" s="351">
        <f t="shared" si="5"/>
        <v>0.72</v>
      </c>
      <c r="AG23" s="351">
        <f t="shared" si="5"/>
        <v>0.72</v>
      </c>
      <c r="AH23" s="135">
        <v>1</v>
      </c>
      <c r="AI23" s="182"/>
    </row>
    <row r="24" spans="2:35" ht="12.95" customHeight="1">
      <c r="B24" s="257" t="s">
        <v>59</v>
      </c>
      <c r="C24" s="257"/>
      <c r="D24" s="257"/>
      <c r="E24" s="257"/>
      <c r="F24" s="257"/>
      <c r="G24" s="257"/>
      <c r="H24" s="257"/>
      <c r="I24" s="257"/>
      <c r="J24" s="257"/>
      <c r="K24" s="257"/>
      <c r="L24" s="257"/>
      <c r="M24" s="257"/>
      <c r="N24" s="181"/>
      <c r="O24" s="257"/>
      <c r="P24" s="257"/>
      <c r="Q24" s="257"/>
      <c r="R24" s="257"/>
      <c r="S24" s="257"/>
      <c r="T24" s="257"/>
      <c r="U24" s="257"/>
      <c r="V24" s="337"/>
      <c r="W24" s="257"/>
      <c r="X24" s="257"/>
      <c r="Y24" s="257"/>
      <c r="Z24" s="257"/>
      <c r="AA24" s="257"/>
      <c r="AC24" s="257"/>
      <c r="AD24" s="257"/>
      <c r="AE24" s="257"/>
      <c r="AF24" s="257"/>
      <c r="AG24" s="257"/>
      <c r="AH24" s="182"/>
      <c r="AI24" s="182"/>
    </row>
    <row r="25" spans="2:35" ht="12.95" customHeight="1">
      <c r="B25" s="6" t="s">
        <v>494</v>
      </c>
      <c r="C25" s="6" t="str">
        <f>"CHP: Existing " &amp;MID(B25,4,3)&amp; "-based capacity"</f>
        <v>CHP: Existing OIL-based capacity</v>
      </c>
      <c r="D25" s="6" t="s">
        <v>56</v>
      </c>
      <c r="E25" s="6" t="s">
        <v>198</v>
      </c>
      <c r="F25" s="6">
        <v>0.95</v>
      </c>
      <c r="G25" s="216">
        <f t="shared" ref="G25:H29" ca="1" si="6">MAX(IF($AH25&gt;2,$AG$1),AF25)/(AD25+1)^ECAP</f>
        <v>9.8160800171965656E-2</v>
      </c>
      <c r="H25" s="216">
        <f t="shared" ca="1" si="6"/>
        <v>0.50519826222010611</v>
      </c>
      <c r="I25" s="254">
        <f ca="1">OtherData!K124</f>
        <v>7.0425483166414116E-2</v>
      </c>
      <c r="J25" s="254">
        <f ca="1">OtherData!L124</f>
        <v>5.0064183629556509E-2</v>
      </c>
      <c r="K25" s="254">
        <f ca="1">MAX(J25,OtherData!G33)</f>
        <v>0.5</v>
      </c>
      <c r="L25" s="189">
        <f ca="1">OtherData!C124/(AD25+1)^ECAP</f>
        <v>1.8506779781613274</v>
      </c>
      <c r="M25" s="189">
        <f ca="1">OtherData!D124/(AE25+1)^ECAP</f>
        <v>11.424483935774413</v>
      </c>
      <c r="N25" s="188">
        <f ca="1">IF(SUM(M25)&gt;0,OtherData!E124*$M25,"")</f>
        <v>0</v>
      </c>
      <c r="O25" s="189">
        <f ca="1">IF(SUM(M25)&gt;0,OtherData!F124*$M25,"")</f>
        <v>0</v>
      </c>
      <c r="P25" s="189" t="str">
        <f ca="1">IF(SUM(O25)&gt;0,OtherData!G124*$M25,"")</f>
        <v/>
      </c>
      <c r="Q25" s="189" t="str">
        <f ca="1">IF(SUM(P25)&gt;0,OtherData!H124*$M25,"")</f>
        <v/>
      </c>
      <c r="R25" s="189" t="str">
        <f ca="1">IF(SUM(Q25)&gt;0,OtherData!I124*$M25,"")</f>
        <v/>
      </c>
      <c r="S25" s="189" t="str">
        <f ca="1">IF(SUM(R25)&gt;0,OtherData!K124*$M25,"")</f>
        <v/>
      </c>
      <c r="T25" s="189"/>
      <c r="U25" s="252"/>
      <c r="V25" s="335">
        <f>3.6*8.76*V$1</f>
        <v>3.1536000000000002E-2</v>
      </c>
      <c r="W25" s="162">
        <v>1</v>
      </c>
      <c r="X25" s="254">
        <f t="shared" ref="X25:Y29" ca="1" si="7">IF($AH25&gt;2,MAX($AH25,AF25*AD25/(1+AD25)/MAX(0.01,$AI25-AF25/(1+AD25)))^IF(ECAP,-1,1),IF(ECAP,0,1))*SIGN(-ECAP)</f>
        <v>0</v>
      </c>
      <c r="Y25" s="254">
        <f t="shared" ca="1" si="7"/>
        <v>0</v>
      </c>
      <c r="Z25" s="252" t="str">
        <f>IF(Y25&lt;0,1/K25/(1+AE25*ABS(Y25)),T(0))</f>
        <v/>
      </c>
      <c r="AA25" s="252" t="str">
        <f>IF(SUM(Z25),5,"")</f>
        <v/>
      </c>
      <c r="AC25" s="135">
        <v>1</v>
      </c>
      <c r="AD25" s="350">
        <f ca="1">MIN(OFFSET(OtherData!$C$52,$AC25,MID($B25,8,1)*1),AG25/0.1-1)</f>
        <v>7.9736782410447322</v>
      </c>
      <c r="AE25" s="350">
        <f ca="1">OFFSET(OtherData!$C$82,$AC25,MID($B25,8,1)*1)</f>
        <v>0.77626862800550478</v>
      </c>
      <c r="AF25" s="351">
        <f ca="1">OtherData!C33</f>
        <v>0.88086343662670818</v>
      </c>
      <c r="AG25" s="351">
        <f ca="1">OtherData!D33</f>
        <v>0.89736782410447324</v>
      </c>
      <c r="AH25" s="135">
        <v>1</v>
      </c>
      <c r="AI25" s="135"/>
    </row>
    <row r="26" spans="2:35" ht="12.95" customHeight="1">
      <c r="B26" s="6" t="s">
        <v>495</v>
      </c>
      <c r="C26" s="6" t="str">
        <f>"CHP: Existing " &amp;MID(B26,4,3)&amp; "-based capacity"</f>
        <v>CHP: Existing GAS-based capacity</v>
      </c>
      <c r="D26" s="6" t="s">
        <v>151</v>
      </c>
      <c r="E26" s="6" t="s">
        <v>198</v>
      </c>
      <c r="F26" s="6">
        <v>0.95</v>
      </c>
      <c r="G26" s="216">
        <f t="shared" ca="1" si="6"/>
        <v>0.3347326172298134</v>
      </c>
      <c r="H26" s="216">
        <f t="shared" ca="1" si="6"/>
        <v>0.48990879405425092</v>
      </c>
      <c r="I26" s="254">
        <f ca="1">OtherData!K125</f>
        <v>0.28810424931714856</v>
      </c>
      <c r="J26" s="254">
        <f ca="1">OtherData!L125</f>
        <v>4.8501941559871302E-2</v>
      </c>
      <c r="K26" s="254">
        <f ca="1">MAX(J26,OtherData!G34)</f>
        <v>0.55000000000000004</v>
      </c>
      <c r="L26" s="189">
        <f ca="1">OtherData!C125/(AD26+1)^ECAP</f>
        <v>489.6956345588776</v>
      </c>
      <c r="M26" s="189">
        <f ca="1">OtherData!D125/(AE26+1)^ECAP</f>
        <v>586.17395737637435</v>
      </c>
      <c r="N26" s="188">
        <f ca="1">IF(SUM(M26)&gt;0,OtherData!E125*$M26,"")</f>
        <v>586.17395737637435</v>
      </c>
      <c r="O26" s="189">
        <f ca="1">IF(SUM(M26)&gt;0,OtherData!F125*$M26,"")</f>
        <v>586.17395737637435</v>
      </c>
      <c r="P26" s="189">
        <f ca="1">IF(SUM(O26)&gt;0,OtherData!G125*$M26,"")</f>
        <v>292.76312567306212</v>
      </c>
      <c r="Q26" s="189">
        <f ca="1">IF(SUM(P26)&gt;0,OtherData!H125*$M26,"")</f>
        <v>292.76312567306212</v>
      </c>
      <c r="R26" s="189">
        <f ca="1">IF(SUM(Q26)&gt;0,OtherData!I125*$M26,"")</f>
        <v>0</v>
      </c>
      <c r="S26" s="189" t="str">
        <f ca="1">IF(SUM(R26)&gt;0,OtherData!J125*$M26,"")</f>
        <v/>
      </c>
      <c r="T26" s="189"/>
      <c r="U26" s="252"/>
      <c r="V26" s="335">
        <f>3.6*8.76*V$1</f>
        <v>3.1536000000000002E-2</v>
      </c>
      <c r="W26" s="162">
        <v>1</v>
      </c>
      <c r="X26" s="254">
        <f t="shared" ca="1" si="7"/>
        <v>-0.1</v>
      </c>
      <c r="Y26" s="254">
        <f t="shared" ca="1" si="7"/>
        <v>-0.1</v>
      </c>
      <c r="Z26" s="265">
        <f ca="1">IF(Y26&lt;0,1/K26/(1+AE26*ABS(Y26)),T(0))</f>
        <v>1.7243904486145825</v>
      </c>
      <c r="AA26" s="339">
        <f ca="1">IF(SUM(Z26),5,"")</f>
        <v>5</v>
      </c>
      <c r="AC26" s="135">
        <v>2</v>
      </c>
      <c r="AD26" s="350">
        <f ca="1">MIN(OFFSET(OtherData!$C$52,$AC26,MID($B26,8,1)*1),AG26/0.1-1)</f>
        <v>1.5102606658028332</v>
      </c>
      <c r="AE26" s="350">
        <f ca="1">OFFSET(OtherData!$C$82,$AC26,MID($B26,8,1)*1)</f>
        <v>0.5439102822831684</v>
      </c>
      <c r="AF26" s="351">
        <f ca="1">OtherData!C34</f>
        <v>0.84026612259323619</v>
      </c>
      <c r="AG26" s="351">
        <f ca="1">OtherData!D34</f>
        <v>0.75637522452130512</v>
      </c>
      <c r="AH26" s="135">
        <v>10</v>
      </c>
      <c r="AI26" s="135">
        <v>0.52</v>
      </c>
    </row>
    <row r="27" spans="2:35" ht="12.95" customHeight="1">
      <c r="B27" s="6" t="s">
        <v>496</v>
      </c>
      <c r="C27" s="6" t="str">
        <f>"CHP: Existing " &amp;MID(B27,4,3)&amp; "-based capacity"</f>
        <v>CHP: Existing COA-based capacity</v>
      </c>
      <c r="D27" s="6" t="s">
        <v>169</v>
      </c>
      <c r="E27" s="6" t="s">
        <v>198</v>
      </c>
      <c r="F27" s="6">
        <v>0.95</v>
      </c>
      <c r="G27" s="216">
        <f t="shared" ca="1" si="6"/>
        <v>0.31258575467949778</v>
      </c>
      <c r="H27" s="216">
        <f t="shared" ca="1" si="6"/>
        <v>0.30648446973275495</v>
      </c>
      <c r="I27" s="254">
        <f ca="1">OtherData!K126</f>
        <v>0.57180980511904544</v>
      </c>
      <c r="J27" s="254">
        <f ca="1">OtherData!L126</f>
        <v>0.45057765266600869</v>
      </c>
      <c r="K27" s="254">
        <f ca="1">MAX(J27,OtherData!G35)</f>
        <v>0.55000000000000004</v>
      </c>
      <c r="L27" s="189">
        <f ca="1">OtherData!C126/(AD27+1)^ECAP</f>
        <v>304.47581879881648</v>
      </c>
      <c r="M27" s="189">
        <f ca="1">OtherData!D126/(AE27+1)^ECAP</f>
        <v>348.75304117282991</v>
      </c>
      <c r="N27" s="188">
        <f ca="1">IF(SUM(M27)&gt;0,OtherData!E126*$M27,"")</f>
        <v>291.30823568622475</v>
      </c>
      <c r="O27" s="189">
        <f ca="1">IF(SUM(M27)&gt;0,OtherData!F126*$M27,"")</f>
        <v>202.27843531842066</v>
      </c>
      <c r="P27" s="189">
        <f ca="1">IF(SUM(O27)&gt;0,OtherData!G126*$M27,"")</f>
        <v>0</v>
      </c>
      <c r="Q27" s="189" t="str">
        <f ca="1">IF(SUM(P27)&gt;0,OtherData!H126*$M27,"")</f>
        <v/>
      </c>
      <c r="R27" s="189" t="str">
        <f ca="1">IF(SUM(Q27)&gt;0,OtherData!I126*$M27,"")</f>
        <v/>
      </c>
      <c r="S27" s="189" t="str">
        <f ca="1">IF(SUM(R27)&gt;0,OtherData!J126*$M27,"")</f>
        <v/>
      </c>
      <c r="T27" s="189"/>
      <c r="U27" s="252"/>
      <c r="V27" s="335">
        <f>3.6*8.76*V$1</f>
        <v>3.1536000000000002E-2</v>
      </c>
      <c r="W27" s="162">
        <v>1</v>
      </c>
      <c r="X27" s="254">
        <f t="shared" ca="1" si="7"/>
        <v>-0.14285714285714285</v>
      </c>
      <c r="Y27" s="254">
        <f t="shared" ca="1" si="7"/>
        <v>-0.14285714285714285</v>
      </c>
      <c r="Z27" s="265">
        <f ca="1">IF(Y27&lt;0,1/K27/(1+AE27*ABS(Y27)),T(0))</f>
        <v>1.4249707700847001</v>
      </c>
      <c r="AA27" s="339">
        <f ca="1">IF(SUM(Z27),5,"")</f>
        <v>5</v>
      </c>
      <c r="AC27" s="135">
        <v>3</v>
      </c>
      <c r="AD27" s="350">
        <f ca="1">MIN(OFFSET(OtherData!$C$52,$AC27,MID($B27,8,1)*1),AG27/0.1-1)</f>
        <v>1.8048204398270575</v>
      </c>
      <c r="AE27" s="350">
        <f ca="1">OFFSET(OtherData!$C$82,$AC27,MID($B27,8,1)*1)</f>
        <v>1.9316026647453399</v>
      </c>
      <c r="AF27" s="351">
        <f ca="1">OtherData!C35</f>
        <v>0.87674691392382176</v>
      </c>
      <c r="AG27" s="351">
        <f ca="1">OtherData!D35</f>
        <v>0.89849068817160682</v>
      </c>
      <c r="AH27" s="135">
        <v>7</v>
      </c>
      <c r="AI27" s="135">
        <v>0.4</v>
      </c>
    </row>
    <row r="28" spans="2:35" ht="12.95" customHeight="1">
      <c r="B28" s="6" t="s">
        <v>497</v>
      </c>
      <c r="C28" s="6" t="str">
        <f>"CHP: Existing " &amp;MID(B28,4,3)&amp; "-based capacity"</f>
        <v>CHP: Existing BCO-based capacity</v>
      </c>
      <c r="D28" s="6" t="s">
        <v>354</v>
      </c>
      <c r="E28" s="6" t="s">
        <v>198</v>
      </c>
      <c r="F28" s="6">
        <v>0.95</v>
      </c>
      <c r="G28" s="216">
        <f t="shared" ca="1" si="6"/>
        <v>0.27868845984359841</v>
      </c>
      <c r="H28" s="216">
        <f t="shared" ca="1" si="6"/>
        <v>0.27028124874856341</v>
      </c>
      <c r="I28" s="254">
        <f ca="1">OtherData!K127</f>
        <v>0.55115595521541472</v>
      </c>
      <c r="J28" s="254">
        <f ca="1">OtherData!L127</f>
        <v>0.39180665449218138</v>
      </c>
      <c r="K28" s="254">
        <f ca="1">MAX(J28,OtherData!G36)</f>
        <v>0.55000000000000004</v>
      </c>
      <c r="L28" s="189">
        <f ca="1">OtherData!C127/(AD28+1)^ECAP</f>
        <v>49.155362803612327</v>
      </c>
      <c r="M28" s="189">
        <f ca="1">OtherData!D127/(AE28+1)^ECAP</f>
        <v>55.715853530606992</v>
      </c>
      <c r="N28" s="188">
        <f ca="1">IF(SUM(M28)&gt;0,OtherData!E127*$M28,"")</f>
        <v>0</v>
      </c>
      <c r="O28" s="189">
        <f ca="1">IF(SUM(M28)&gt;0,OtherData!F127*$M28,"")</f>
        <v>55.715853530606992</v>
      </c>
      <c r="P28" s="189">
        <f ca="1">IF(SUM(O28)&gt;0,OtherData!G127*$M28,"")</f>
        <v>55.715853530606992</v>
      </c>
      <c r="Q28" s="189">
        <f ca="1">IF(SUM(P28)&gt;0,OtherData!H127*$M28,"")</f>
        <v>55.715853530606992</v>
      </c>
      <c r="R28" s="189">
        <f ca="1">IF(SUM(Q28)&gt;0,OtherData!I127*$M28,"")</f>
        <v>55.715853530606992</v>
      </c>
      <c r="S28" s="189">
        <f ca="1">IF(SUM(R28)&gt;0,OtherData!J127*$M28,"")</f>
        <v>55.715853530606992</v>
      </c>
      <c r="T28" s="189"/>
      <c r="U28" s="252"/>
      <c r="V28" s="335">
        <f>3.6*8.76*V$1</f>
        <v>3.1536000000000002E-2</v>
      </c>
      <c r="W28" s="162">
        <v>1</v>
      </c>
      <c r="X28" s="254">
        <f t="shared" ca="1" si="7"/>
        <v>0</v>
      </c>
      <c r="Y28" s="254">
        <f t="shared" ca="1" si="7"/>
        <v>0</v>
      </c>
      <c r="Z28" s="265" t="str">
        <f>IF(Y28&lt;0,1/K28/(1+AE28*ABS(Y28)),T(0))</f>
        <v/>
      </c>
      <c r="AA28" s="339" t="str">
        <f>IF(SUM(Z28),5,"")</f>
        <v/>
      </c>
      <c r="AC28" s="135">
        <v>4</v>
      </c>
      <c r="AD28" s="350">
        <f ca="1">MIN(OFFSET(OtherData!$C$52,$AC28,MID($B28,8,1)*1),AG28/0.1-1)</f>
        <v>2.0512260789412031</v>
      </c>
      <c r="AE28" s="350">
        <f ca="1">OFFSET(OtherData!$C$82,$AC28,MID($B28,8,1)*1)</f>
        <v>2.1621282376110602</v>
      </c>
      <c r="AF28" s="351">
        <f ca="1">OtherData!C36</f>
        <v>0.85034149657474578</v>
      </c>
      <c r="AG28" s="351">
        <f ca="1">OtherData!D36</f>
        <v>0.85466396876461137</v>
      </c>
      <c r="AH28" s="135">
        <v>1</v>
      </c>
      <c r="AI28" s="135"/>
    </row>
    <row r="29" spans="2:35" ht="12.95" customHeight="1">
      <c r="B29" s="6" t="s">
        <v>498</v>
      </c>
      <c r="C29" s="6" t="str">
        <f>"CHP: Existing " &amp;MID(B29,4,3)&amp; "-based capacity"</f>
        <v>CHP: Existing BIO-based capacity</v>
      </c>
      <c r="D29" s="6" t="s">
        <v>152</v>
      </c>
      <c r="E29" s="6" t="s">
        <v>198</v>
      </c>
      <c r="F29" s="6">
        <v>0.95</v>
      </c>
      <c r="G29" s="216">
        <f t="shared" ca="1" si="6"/>
        <v>0.27770974642452323</v>
      </c>
      <c r="H29" s="216">
        <f t="shared" ca="1" si="6"/>
        <v>0.28071584939970951</v>
      </c>
      <c r="I29" s="254">
        <f ca="1">OtherData!K128</f>
        <v>0.93210198308489267</v>
      </c>
      <c r="J29" s="254">
        <f ca="1">OtherData!L128</f>
        <v>0.66261419509707153</v>
      </c>
      <c r="K29" s="254">
        <f ca="1">MAX(J29,OtherData!G37)</f>
        <v>0.66261419509707153</v>
      </c>
      <c r="L29" s="189">
        <f ca="1">OtherData!C128/(AD29+1)^ECAP</f>
        <v>10.863759685390018</v>
      </c>
      <c r="M29" s="189">
        <f ca="1">OtherData!D128/(AE29+1)^ECAP</f>
        <v>44.188112757600614</v>
      </c>
      <c r="N29" s="188">
        <f ca="1">IF(SUM(M29)&gt;0,OtherData!E128*$M29,"")</f>
        <v>0</v>
      </c>
      <c r="O29" s="189">
        <f ca="1">IF(SUM(M29)&gt;0,OtherData!F128*$M29,"")</f>
        <v>121.60560752806786</v>
      </c>
      <c r="P29" s="189">
        <f ca="1">IF(SUM(O29)&gt;0,OtherData!G128*$M29,"")</f>
        <v>121.60560752806786</v>
      </c>
      <c r="Q29" s="189">
        <f ca="1">IF(SUM(P29)&gt;0,OtherData!H128*$M29,"")</f>
        <v>121.60560752806786</v>
      </c>
      <c r="R29" s="189">
        <f ca="1">IF(SUM(Q29)&gt;0,OtherData!I128*$M29,"")</f>
        <v>121.60560752806786</v>
      </c>
      <c r="S29" s="189">
        <f ca="1">IF(SUM(R29)&gt;0,OtherData!J128*$M29,"")</f>
        <v>121.60560752806786</v>
      </c>
      <c r="T29" s="189"/>
      <c r="U29" s="252"/>
      <c r="V29" s="335">
        <f>3.6*8.76*V$1</f>
        <v>3.1536000000000002E-2</v>
      </c>
      <c r="W29" s="162">
        <v>1</v>
      </c>
      <c r="X29" s="254">
        <f t="shared" ca="1" si="7"/>
        <v>0</v>
      </c>
      <c r="Y29" s="254">
        <f t="shared" ca="1" si="7"/>
        <v>0</v>
      </c>
      <c r="Z29" s="265" t="str">
        <f>IF(Y29&lt;0,1/K29/(1+AE29*ABS(Y29)),T(0))</f>
        <v/>
      </c>
      <c r="AA29" s="339" t="str">
        <f>IF(SUM(Z29),5,"")</f>
        <v/>
      </c>
      <c r="AC29" s="135">
        <v>5</v>
      </c>
      <c r="AD29" s="350">
        <f ca="1">MIN(OFFSET(OtherData!$C$52,$AC29,MID($B29,8,1)*1),AG29/0.1-1)</f>
        <v>1.9879315563405366</v>
      </c>
      <c r="AE29" s="350">
        <f ca="1">OFFSET(OtherData!$C$82,$AC29,MID($B29,8,1)*1)</f>
        <v>2.0225726199714846</v>
      </c>
      <c r="AF29" s="351">
        <f ca="1">OtherData!C37</f>
        <v>0.8297777148451615</v>
      </c>
      <c r="AG29" s="351">
        <f ca="1">OtherData!D37</f>
        <v>0.84848404038760061</v>
      </c>
      <c r="AH29" s="135">
        <v>1</v>
      </c>
      <c r="AI29" s="135"/>
    </row>
    <row r="30" spans="2:35" ht="12.95" customHeight="1">
      <c r="B30" s="257" t="s">
        <v>59</v>
      </c>
      <c r="C30" s="257"/>
      <c r="D30" s="257"/>
      <c r="E30" s="257"/>
      <c r="F30" s="257"/>
      <c r="G30" s="257"/>
      <c r="H30" s="257"/>
      <c r="I30" s="257"/>
      <c r="J30" s="257"/>
      <c r="K30" s="257"/>
      <c r="L30" s="188"/>
      <c r="M30" s="188"/>
      <c r="N30" s="188"/>
      <c r="O30" s="188"/>
      <c r="P30" s="188"/>
      <c r="Q30" s="188"/>
      <c r="R30" s="188"/>
      <c r="S30" s="188"/>
      <c r="T30" s="188"/>
      <c r="U30" s="257"/>
      <c r="V30" s="337"/>
      <c r="W30" s="182"/>
      <c r="X30" s="142"/>
      <c r="Y30" s="142"/>
      <c r="Z30" s="341"/>
      <c r="AA30" s="340"/>
      <c r="AC30" s="135"/>
      <c r="AD30" s="350"/>
      <c r="AE30" s="350"/>
      <c r="AF30" s="135"/>
      <c r="AG30" s="135"/>
      <c r="AH30" s="135"/>
      <c r="AI30" s="135"/>
    </row>
    <row r="31" spans="2:35" ht="12.95" customHeight="1">
      <c r="B31" s="6" t="s">
        <v>499</v>
      </c>
      <c r="C31" s="6" t="str">
        <f>"CHP: Existing " &amp;MID(B31,4,3)&amp; "-based capacity"</f>
        <v>CHP: Existing OIL-based capacity</v>
      </c>
      <c r="D31" s="6" t="s">
        <v>56</v>
      </c>
      <c r="E31" s="205" t="s">
        <v>482</v>
      </c>
      <c r="F31" s="6">
        <v>0.95</v>
      </c>
      <c r="G31" s="216">
        <f t="shared" ref="G31:H35" ca="1" si="8">MAX(IF($AH31&gt;2,$AG$1),AF31)/(AD31+1)^ECAP</f>
        <v>9.8160800171965656E-2</v>
      </c>
      <c r="H31" s="216">
        <f t="shared" ca="1" si="8"/>
        <v>0.50129329783224952</v>
      </c>
      <c r="I31" s="254">
        <f ca="1">OtherData!K129</f>
        <v>4.8418023470242565E-2</v>
      </c>
      <c r="J31" s="254">
        <f ca="1">OtherData!L129</f>
        <v>3.035030397087652E-2</v>
      </c>
      <c r="K31" s="254">
        <f ca="1">MAX(J31,OtherData!G33)</f>
        <v>0.5</v>
      </c>
      <c r="L31" s="189">
        <f ca="1">OtherData!C129/(AD31+1)^ECAP</f>
        <v>1.0777680297135759</v>
      </c>
      <c r="M31" s="189">
        <f ca="1">OtherData!D129/(AE31+1)^ECAP</f>
        <v>17.087503293569839</v>
      </c>
      <c r="N31" s="188">
        <f ca="1">IF(SUM(M31)&gt;0,OtherData!E129*$M31,"")</f>
        <v>0</v>
      </c>
      <c r="O31" s="189">
        <f ca="1">IF(SUM(M31)&gt;0,OtherData!F129*$M31,"")</f>
        <v>0</v>
      </c>
      <c r="P31" s="189" t="str">
        <f ca="1">IF(SUM(O31)&gt;0,OtherData!G129*$M31,"")</f>
        <v/>
      </c>
      <c r="Q31" s="189" t="str">
        <f ca="1">IF(SUM(P31)&gt;0,OtherData!H129*$M31,"")</f>
        <v/>
      </c>
      <c r="R31" s="189" t="str">
        <f ca="1">IF(SUM(Q31)&gt;0,OtherData!I129*$M31,"")</f>
        <v/>
      </c>
      <c r="S31" s="189" t="str">
        <f ca="1">IF(SUM(R31)&gt;0,OtherData!J129*$M31,"")</f>
        <v/>
      </c>
      <c r="T31" s="189"/>
      <c r="U31" s="252"/>
      <c r="V31" s="335">
        <f>3.6*8.76*V$1</f>
        <v>3.1536000000000002E-2</v>
      </c>
      <c r="W31" s="162">
        <v>1</v>
      </c>
      <c r="X31" s="254">
        <f t="shared" ref="X31:Y35" ca="1" si="9">IF($AH31&gt;2,MAX($AH31,AF31*AD31/(1+AD31)/MAX(0.01,$AI31-AF31/(1+AD31)))^IF(ECAP,-1,1),IF(ECAP,0,1))*SIGN(-ECAP)</f>
        <v>0</v>
      </c>
      <c r="Y31" s="254">
        <f t="shared" ca="1" si="9"/>
        <v>0</v>
      </c>
      <c r="Z31" s="265"/>
      <c r="AA31" s="339"/>
      <c r="AC31" s="135">
        <v>1</v>
      </c>
      <c r="AD31" s="350">
        <f ca="1">MIN(OFFSET(OtherData!$C$52,$AC31,MID($B31,8,1)*1),AG31/0.1-1)</f>
        <v>7.9736782410447322</v>
      </c>
      <c r="AE31" s="350">
        <f ca="1">OFFSET(OtherData!$C$82,$AC31,MID($B31,8,1)*1)</f>
        <v>0.79010536942140475</v>
      </c>
      <c r="AF31" s="351">
        <f ca="1">OtherData!C33</f>
        <v>0.88086343662670818</v>
      </c>
      <c r="AG31" s="351">
        <f ca="1">OtherData!D33</f>
        <v>0.89736782410447324</v>
      </c>
      <c r="AH31" s="135">
        <v>1</v>
      </c>
      <c r="AI31" s="135"/>
    </row>
    <row r="32" spans="2:35" ht="12.95" customHeight="1">
      <c r="B32" s="6" t="s">
        <v>500</v>
      </c>
      <c r="C32" s="6" t="str">
        <f>"CHP: Existing " &amp;MID(B32,4,3)&amp; "-based capacity"</f>
        <v>CHP: Existing GAS-based capacity</v>
      </c>
      <c r="D32" s="6" t="s">
        <v>151</v>
      </c>
      <c r="E32" s="205" t="s">
        <v>482</v>
      </c>
      <c r="F32" s="6">
        <v>0.95</v>
      </c>
      <c r="G32" s="216">
        <f t="shared" ca="1" si="8"/>
        <v>0.3090575355213383</v>
      </c>
      <c r="H32" s="216">
        <f t="shared" ca="1" si="8"/>
        <v>0.47637547271704495</v>
      </c>
      <c r="I32" s="254">
        <f ca="1">OtherData!K130</f>
        <v>0.19807373237826506</v>
      </c>
      <c r="J32" s="254">
        <f ca="1">OtherData!L130</f>
        <v>7.5916426608068363E-3</v>
      </c>
      <c r="K32" s="254">
        <f ca="1">MAX(J32,OtherData!G34)</f>
        <v>0.55000000000000004</v>
      </c>
      <c r="L32" s="189">
        <f ca="1">OtherData!C130/(AD32+1)^ECAP</f>
        <v>280.37177997417808</v>
      </c>
      <c r="M32" s="189">
        <f ca="1">OtherData!D130/(AE32+1)^ECAP</f>
        <v>481.17766071219421</v>
      </c>
      <c r="N32" s="188">
        <f ca="1">IF(SUM(M32)&gt;0,OtherData!E130*$M32,"")</f>
        <v>538.36474394866957</v>
      </c>
      <c r="O32" s="189">
        <f ca="1">IF(SUM(M32)&gt;0,OtherData!F130*$M32,"")</f>
        <v>395.39703585748106</v>
      </c>
      <c r="P32" s="189">
        <f ca="1">IF(SUM(O32)&gt;0,OtherData!G130*$M32,"")</f>
        <v>395.39703585748106</v>
      </c>
      <c r="Q32" s="189">
        <f ca="1">IF(SUM(P32)&gt;0,OtherData!H130*$M32,"")</f>
        <v>310.12026195639328</v>
      </c>
      <c r="R32" s="189">
        <f ca="1">IF(SUM(Q32)&gt;0,OtherData!I130*$M32,"")</f>
        <v>122.62472583856569</v>
      </c>
      <c r="S32" s="189">
        <f ca="1">IF(SUM(R32)&gt;0,OtherData!J130*$M32,"")</f>
        <v>0</v>
      </c>
      <c r="T32" s="189"/>
      <c r="U32" s="252"/>
      <c r="V32" s="335">
        <f>3.6*8.76*V$1</f>
        <v>3.1536000000000002E-2</v>
      </c>
      <c r="W32" s="162">
        <v>1</v>
      </c>
      <c r="X32" s="254">
        <f t="shared" ca="1" si="9"/>
        <v>0</v>
      </c>
      <c r="Y32" s="254">
        <f t="shared" ca="1" si="9"/>
        <v>0</v>
      </c>
      <c r="Z32" s="265"/>
      <c r="AA32" s="339"/>
      <c r="AC32" s="135">
        <v>2</v>
      </c>
      <c r="AD32" s="350">
        <f ca="1">MIN(OFFSET(OtherData!$C$52,$AC32,MID($B32,8,1)*1),AG32/0.1-1)</f>
        <v>1.7188016017011873</v>
      </c>
      <c r="AE32" s="350">
        <f ca="1">OFFSET(OtherData!$C$82,$AC32,MID($B32,8,1)*1)</f>
        <v>0.58777113399071446</v>
      </c>
      <c r="AF32" s="351">
        <f ca="1">OtherData!C34</f>
        <v>0.84026612259323619</v>
      </c>
      <c r="AG32" s="351">
        <f ca="1">OtherData!D34</f>
        <v>0.75637522452130512</v>
      </c>
      <c r="AH32" s="135">
        <v>1</v>
      </c>
      <c r="AI32" s="135"/>
    </row>
    <row r="33" spans="2:35" ht="12.95" customHeight="1">
      <c r="B33" s="6" t="s">
        <v>501</v>
      </c>
      <c r="C33" s="6" t="str">
        <f>"CHP: Existing " &amp;MID(B33,4,3)&amp; "-based capacity"</f>
        <v>CHP: Existing COA-based capacity</v>
      </c>
      <c r="D33" s="6" t="s">
        <v>169</v>
      </c>
      <c r="E33" s="205" t="s">
        <v>482</v>
      </c>
      <c r="F33" s="6">
        <v>0.95</v>
      </c>
      <c r="G33" s="216">
        <f t="shared" ca="1" si="8"/>
        <v>0.2839330863465987</v>
      </c>
      <c r="H33" s="216">
        <f t="shared" ca="1" si="8"/>
        <v>0.27641760399768184</v>
      </c>
      <c r="I33" s="254">
        <f ca="1">OtherData!K131</f>
        <v>0.43576221123218317</v>
      </c>
      <c r="J33" s="254">
        <f ca="1">OtherData!L131</f>
        <v>0</v>
      </c>
      <c r="K33" s="254">
        <f ca="1">MAX(J33,OtherData!G35)</f>
        <v>0.55000000000000004</v>
      </c>
      <c r="L33" s="189">
        <f ca="1">OtherData!C131/(AD33+1)^ECAP</f>
        <v>0.72097045929543657</v>
      </c>
      <c r="M33" s="189">
        <f ca="1">OtherData!D131/(AE33+1)^ECAP</f>
        <v>0</v>
      </c>
      <c r="N33" s="188" t="str">
        <f ca="1">IF(SUM(M33)&gt;0,OtherData!E131*$M33,"")</f>
        <v/>
      </c>
      <c r="O33" s="189" t="str">
        <f ca="1">IF(SUM(M33)&gt;0,OtherData!F131*$M33,"")</f>
        <v/>
      </c>
      <c r="P33" s="189" t="str">
        <f ca="1">IF(SUM(O33)&gt;0,OtherData!G131*$M33,"")</f>
        <v/>
      </c>
      <c r="Q33" s="189" t="str">
        <f ca="1">IF(SUM(P33)&gt;0,OtherData!H131*$M33,"")</f>
        <v/>
      </c>
      <c r="R33" s="189" t="str">
        <f ca="1">IF(SUM(Q33)&gt;0,OtherData!I131*$M33,"")</f>
        <v/>
      </c>
      <c r="S33" s="189" t="str">
        <f ca="1">IF(SUM(R33)&gt;0,OtherData!J131*$M33,"")</f>
        <v/>
      </c>
      <c r="T33" s="189"/>
      <c r="U33" s="252"/>
      <c r="V33" s="335">
        <f>3.6*8.76*V$1</f>
        <v>3.1536000000000002E-2</v>
      </c>
      <c r="W33" s="162">
        <v>1</v>
      </c>
      <c r="X33" s="254">
        <f t="shared" ca="1" si="9"/>
        <v>0</v>
      </c>
      <c r="Y33" s="254">
        <f t="shared" ca="1" si="9"/>
        <v>0</v>
      </c>
      <c r="Z33" s="265"/>
      <c r="AA33" s="339"/>
      <c r="AC33" s="135">
        <v>3</v>
      </c>
      <c r="AD33" s="350">
        <f ca="1">MIN(OFFSET(OtherData!$C$52,$AC33,MID($B33,8,1)*1),AG33/0.1-1)</f>
        <v>2.087864557121645</v>
      </c>
      <c r="AE33" s="350">
        <f ca="1">OFFSET(OtherData!$C$82,$AC33,MID($B33,8,1)*1)</f>
        <v>2.2504828751035042</v>
      </c>
      <c r="AF33" s="351">
        <f ca="1">OtherData!C35</f>
        <v>0.87674691392382176</v>
      </c>
      <c r="AG33" s="351">
        <f ca="1">OtherData!D35</f>
        <v>0.89849068817160682</v>
      </c>
      <c r="AH33" s="135">
        <v>1</v>
      </c>
      <c r="AI33" s="135"/>
    </row>
    <row r="34" spans="2:35" ht="12.95" customHeight="1">
      <c r="B34" s="6" t="s">
        <v>502</v>
      </c>
      <c r="C34" s="6" t="str">
        <f>"CHP: Existing " &amp;MID(B34,4,3)&amp; "-based capacity"</f>
        <v>CHP: Existing BCO-based capacity</v>
      </c>
      <c r="D34" s="6" t="s">
        <v>354</v>
      </c>
      <c r="E34" s="205" t="s">
        <v>482</v>
      </c>
      <c r="F34" s="6">
        <v>0.95</v>
      </c>
      <c r="G34" s="216">
        <f t="shared" ca="1" si="8"/>
        <v>0.24965529335462594</v>
      </c>
      <c r="H34" s="216">
        <f t="shared" ca="1" si="8"/>
        <v>0.2406015659456468</v>
      </c>
      <c r="I34" s="254">
        <f ca="1">OtherData!K132</f>
        <v>0.37892366194102889</v>
      </c>
      <c r="J34" s="254">
        <f ca="1">OtherData!L132</f>
        <v>0.23752411803294673</v>
      </c>
      <c r="K34" s="254">
        <f ca="1">MAX(J34,OtherData!G36)</f>
        <v>0.55000000000000004</v>
      </c>
      <c r="L34" s="189">
        <f ca="1">OtherData!C132/(AD34+1)^ECAP</f>
        <v>46.369496782585763</v>
      </c>
      <c r="M34" s="189">
        <f ca="1">OtherData!D132/(AE34+1)^ECAP</f>
        <v>58.664685654846089</v>
      </c>
      <c r="N34" s="188">
        <f ca="1">IF(SUM(M34)&gt;0,OtherData!E132*$M34,"")</f>
        <v>58.664685654846089</v>
      </c>
      <c r="O34" s="189">
        <f ca="1">IF(SUM(M34)&gt;0,OtherData!F132*$M34,"")</f>
        <v>53.259578811704174</v>
      </c>
      <c r="P34" s="189">
        <f ca="1">IF(SUM(O34)&gt;0,OtherData!G132*$M34,"")</f>
        <v>23.70040076327189</v>
      </c>
      <c r="Q34" s="189">
        <f ca="1">IF(SUM(P34)&gt;0,OtherData!H132*$M34,"")</f>
        <v>0</v>
      </c>
      <c r="R34" s="189" t="str">
        <f ca="1">IF(SUM(Q34)&gt;0,OtherData!I132*$M34,"")</f>
        <v/>
      </c>
      <c r="S34" s="189" t="str">
        <f ca="1">IF(SUM(R34)&gt;0,OtherData!J132*$M34,"")</f>
        <v/>
      </c>
      <c r="T34" s="189"/>
      <c r="U34" s="252"/>
      <c r="V34" s="335">
        <f>3.6*8.76*V$1</f>
        <v>3.1536000000000002E-2</v>
      </c>
      <c r="W34" s="162">
        <v>1</v>
      </c>
      <c r="X34" s="254">
        <f t="shared" ca="1" si="9"/>
        <v>0</v>
      </c>
      <c r="Y34" s="254">
        <f t="shared" ca="1" si="9"/>
        <v>0</v>
      </c>
      <c r="Z34" s="265"/>
      <c r="AA34" s="339"/>
      <c r="AC34" s="135">
        <v>4</v>
      </c>
      <c r="AD34" s="350">
        <f ca="1">MIN(OFFSET(OtherData!$C$52,$AC34,MID($B34,8,1)*1),AG34/0.1-1)</f>
        <v>2.4060623556131362</v>
      </c>
      <c r="AE34" s="350">
        <f ca="1">OFFSET(OtherData!$C$82,$AC34,MID($B34,8,1)*1)</f>
        <v>2.5521962020716216</v>
      </c>
      <c r="AF34" s="351">
        <f ca="1">OtherData!C36</f>
        <v>0.85034149657474578</v>
      </c>
      <c r="AG34" s="351">
        <f ca="1">OtherData!D36</f>
        <v>0.85466396876461137</v>
      </c>
      <c r="AH34" s="135">
        <v>1</v>
      </c>
      <c r="AI34" s="135"/>
    </row>
    <row r="35" spans="2:35" ht="12.95" customHeight="1">
      <c r="B35" s="6" t="s">
        <v>503</v>
      </c>
      <c r="C35" s="6" t="str">
        <f>"CHP: Existing " &amp;MID(B35,4,3)&amp; "-based capacity"</f>
        <v>CHP: Existing BIO-based capacity</v>
      </c>
      <c r="D35" s="6" t="s">
        <v>152</v>
      </c>
      <c r="E35" s="205" t="s">
        <v>482</v>
      </c>
      <c r="F35" s="6">
        <v>0.95</v>
      </c>
      <c r="G35" s="216">
        <f t="shared" ca="1" si="8"/>
        <v>0.24967126816848384</v>
      </c>
      <c r="H35" s="216">
        <f t="shared" ca="1" si="8"/>
        <v>0.2518799868101318</v>
      </c>
      <c r="I35" s="254">
        <f ca="1">OtherData!K133</f>
        <v>0.64082678122379877</v>
      </c>
      <c r="J35" s="254">
        <f ca="1">OtherData!L133</f>
        <v>0.40169519961454214</v>
      </c>
      <c r="K35" s="254">
        <f ca="1">MAX(J35,OtherData!G37)</f>
        <v>0.55000000000000004</v>
      </c>
      <c r="L35" s="189">
        <f ca="1">OtherData!C133/(AD35+1)^ECAP</f>
        <v>107.35134011544265</v>
      </c>
      <c r="M35" s="189">
        <f ca="1">OtherData!D133/(AE35+1)^ECAP</f>
        <v>204.67308830822483</v>
      </c>
      <c r="N35" s="188">
        <f ca="1">IF(SUM(M35)&gt;0,OtherData!E133*$M35,"")</f>
        <v>208.47288144245616</v>
      </c>
      <c r="O35" s="189">
        <f ca="1">IF(SUM(M35)&gt;0,OtherData!F133*$M35,"")</f>
        <v>198.97339860687777</v>
      </c>
      <c r="P35" s="189">
        <f ca="1">IF(SUM(O35)&gt;0,OtherData!G133*$M35,"")</f>
        <v>167.80322055263619</v>
      </c>
      <c r="Q35" s="189">
        <f ca="1">IF(SUM(P35)&gt;0,OtherData!H133*$M35,"")</f>
        <v>117.33721798862597</v>
      </c>
      <c r="R35" s="189">
        <f ca="1">IF(SUM(Q35)&gt;0,OtherData!I133*$M35,"")</f>
        <v>72.214674519628588</v>
      </c>
      <c r="S35" s="189">
        <f ca="1">IF(SUM(R35)&gt;0,OtherData!J133*$M35,"")</f>
        <v>0</v>
      </c>
      <c r="T35" s="189"/>
      <c r="U35" s="252"/>
      <c r="V35" s="335">
        <f>3.6*8.76*V$1</f>
        <v>3.1536000000000002E-2</v>
      </c>
      <c r="W35" s="162">
        <v>1</v>
      </c>
      <c r="X35" s="254">
        <f t="shared" ca="1" si="9"/>
        <v>0</v>
      </c>
      <c r="Y35" s="254">
        <f t="shared" ca="1" si="9"/>
        <v>0</v>
      </c>
      <c r="Z35" s="265"/>
      <c r="AA35" s="339"/>
      <c r="AC35" s="135">
        <v>5</v>
      </c>
      <c r="AD35" s="350">
        <f ca="1">MIN(OFFSET(OtherData!$C$52,$AC35,MID($B35,8,1)*1),AG35/0.1-1)</f>
        <v>2.3234809953591</v>
      </c>
      <c r="AE35" s="350">
        <f ca="1">OFFSET(OtherData!$C$82,$AC35,MID($B35,8,1)*1)</f>
        <v>2.3686044339330206</v>
      </c>
      <c r="AF35" s="351">
        <f ca="1">OtherData!C37</f>
        <v>0.8297777148451615</v>
      </c>
      <c r="AG35" s="351">
        <f ca="1">OtherData!D37</f>
        <v>0.84848404038760061</v>
      </c>
      <c r="AH35" s="135">
        <v>1</v>
      </c>
      <c r="AI35" s="135"/>
    </row>
    <row r="36" spans="2:35" ht="12.95" customHeight="1">
      <c r="B36" s="257" t="s">
        <v>59</v>
      </c>
      <c r="C36" s="257"/>
      <c r="D36" s="257"/>
      <c r="E36" s="257"/>
      <c r="F36" s="257"/>
      <c r="G36" s="257"/>
      <c r="H36" s="257"/>
      <c r="I36" s="257"/>
      <c r="J36" s="257"/>
      <c r="K36" s="257"/>
      <c r="L36" s="188"/>
      <c r="M36" s="188"/>
      <c r="N36" s="188"/>
      <c r="O36" s="188"/>
      <c r="P36" s="188"/>
      <c r="Q36" s="188"/>
      <c r="R36" s="188"/>
      <c r="S36" s="188"/>
      <c r="T36" s="188"/>
      <c r="U36" s="257"/>
      <c r="V36" s="337"/>
      <c r="W36" s="182"/>
      <c r="X36" s="142"/>
      <c r="Y36" s="142"/>
      <c r="Z36" s="341"/>
      <c r="AA36" s="340"/>
      <c r="AC36" s="135"/>
      <c r="AD36" s="350"/>
      <c r="AE36" s="350"/>
      <c r="AF36" s="135"/>
      <c r="AG36" s="135"/>
      <c r="AH36" s="135"/>
      <c r="AI36" s="135"/>
    </row>
    <row r="37" spans="2:35" ht="12.95" customHeight="1">
      <c r="B37" s="6" t="s">
        <v>504</v>
      </c>
      <c r="C37" s="6" t="str">
        <f>"CHP: Existing " &amp;MID(B37,4,3)&amp; "-based capacity"</f>
        <v>CHP: Existing OIL-based capacity</v>
      </c>
      <c r="D37" s="6" t="s">
        <v>56</v>
      </c>
      <c r="E37" s="6" t="s">
        <v>198</v>
      </c>
      <c r="F37" s="6">
        <v>0.95</v>
      </c>
      <c r="G37" s="216">
        <f t="shared" ref="G37:H41" ca="1" si="10">MAX(IF($AH37&gt;2,$AG$1),AF37)/(AD37+1)^ECAP</f>
        <v>9.8160800171965656E-2</v>
      </c>
      <c r="H37" s="216">
        <f t="shared" ca="1" si="10"/>
        <v>0.5067210280211738</v>
      </c>
      <c r="I37" s="254">
        <f ca="1">OtherData!K134</f>
        <v>4.5484900548894945E-2</v>
      </c>
      <c r="J37" s="254">
        <f ca="1">OtherData!L134</f>
        <v>4.1461247012837633E-2</v>
      </c>
      <c r="K37" s="254">
        <f ca="1">MAX(J37,OtherData!G33)</f>
        <v>0.5</v>
      </c>
      <c r="L37" s="189">
        <f ca="1">OtherData!C134/(AD37+1)^ECAP</f>
        <v>5.3194428495501329</v>
      </c>
      <c r="M37" s="189">
        <f ca="1">OtherData!D134/(AE37+1)^ECAP</f>
        <v>29.18403013601618</v>
      </c>
      <c r="N37" s="188">
        <f ca="1">IF(SUM(M37)&gt;0,OtherData!E134*$M37,"")</f>
        <v>29.18403013601618</v>
      </c>
      <c r="O37" s="189">
        <f ca="1">IF(SUM(M37)&gt;0,OtherData!F134*$M37,"")</f>
        <v>0</v>
      </c>
      <c r="P37" s="189" t="str">
        <f ca="1">IF(SUM(O37)&gt;0,OtherData!G134*$M37,"")</f>
        <v/>
      </c>
      <c r="Q37" s="189" t="str">
        <f ca="1">IF(SUM(P37)&gt;0,OtherData!H134*$M37,"")</f>
        <v/>
      </c>
      <c r="R37" s="189" t="str">
        <f ca="1">IF(SUM(Q37)&gt;0,OtherData!I134*$M37,"")</f>
        <v/>
      </c>
      <c r="S37" s="189" t="str">
        <f ca="1">IF(SUM(R37)&gt;0,OtherData!J134*$M37,"")</f>
        <v/>
      </c>
      <c r="T37" s="189"/>
      <c r="U37" s="252"/>
      <c r="V37" s="335">
        <f>3.6*8.76*V$1</f>
        <v>3.1536000000000002E-2</v>
      </c>
      <c r="W37" s="162">
        <v>1</v>
      </c>
      <c r="X37" s="254">
        <f t="shared" ref="X37:Y41" ca="1" si="11">IF($AH37&gt;2,MAX($AH37,AF37*AD37/(1+AD37)/MAX(0.01,$AI37-AF37/(1+AD37)))^IF(ECAP,-1,1),IF(ECAP,0,1))*SIGN(-ECAP)</f>
        <v>0</v>
      </c>
      <c r="Y37" s="254">
        <f t="shared" ca="1" si="11"/>
        <v>0</v>
      </c>
      <c r="Z37" s="265" t="str">
        <f>IF(Y37&lt;0,1/K37/(1+AE37*ABS(Y37)),T(0))</f>
        <v/>
      </c>
      <c r="AA37" s="339" t="str">
        <f>IF(SUM(Z37),5,"")</f>
        <v/>
      </c>
      <c r="AC37" s="135">
        <v>1</v>
      </c>
      <c r="AD37" s="350">
        <f ca="1">MIN(OFFSET(OtherData!$C$52,$AC37,MID($B37,8,1)*1),AG37/0.1-1)</f>
        <v>7.9736782410447322</v>
      </c>
      <c r="AE37" s="350">
        <f ca="1">OFFSET(OtherData!$C$82,$AC37,MID($B37,8,1)*1)</f>
        <v>0.77093069851242868</v>
      </c>
      <c r="AF37" s="351">
        <f ca="1">OtherData!C33</f>
        <v>0.88086343662670818</v>
      </c>
      <c r="AG37" s="351">
        <f ca="1">OtherData!D33</f>
        <v>0.89736782410447324</v>
      </c>
      <c r="AH37" s="135">
        <v>1</v>
      </c>
      <c r="AI37" s="135"/>
    </row>
    <row r="38" spans="2:35" ht="12.95" customHeight="1">
      <c r="B38" s="6" t="s">
        <v>505</v>
      </c>
      <c r="C38" s="6" t="str">
        <f>"CHP: Existing " &amp;MID(B38,4,3)&amp; "-based capacity"</f>
        <v>CHP: Existing GAS-based capacity</v>
      </c>
      <c r="D38" s="6" t="s">
        <v>151</v>
      </c>
      <c r="E38" s="6" t="s">
        <v>198</v>
      </c>
      <c r="F38" s="6">
        <v>0.95</v>
      </c>
      <c r="G38" s="216">
        <f t="shared" ca="1" si="10"/>
        <v>0.34447144132613144</v>
      </c>
      <c r="H38" s="216">
        <f t="shared" ca="1" si="10"/>
        <v>0.49504212283732896</v>
      </c>
      <c r="I38" s="254">
        <f ca="1">OtherData!K135</f>
        <v>0</v>
      </c>
      <c r="J38" s="254">
        <f ca="1">OtherData!L135</f>
        <v>0.16961419232524491</v>
      </c>
      <c r="K38" s="254">
        <f ca="1">MAX(J38,OtherData!G34)</f>
        <v>0.55000000000000004</v>
      </c>
      <c r="L38" s="189">
        <f ca="1">OtherData!C135/(AD38+1)^ECAP</f>
        <v>0</v>
      </c>
      <c r="M38" s="189">
        <f ca="1">OtherData!D135/(AE38+1)^ECAP</f>
        <v>15.480947614501185</v>
      </c>
      <c r="N38" s="188">
        <f ca="1">IF(SUM(M38)&gt;0,OtherData!E135*$M38,"")</f>
        <v>2.356174005226404</v>
      </c>
      <c r="O38" s="189">
        <f ca="1">IF(SUM(M38)&gt;0,OtherData!F135*$M38,"")</f>
        <v>2.356174005226404</v>
      </c>
      <c r="P38" s="189">
        <f ca="1">IF(SUM(O38)&gt;0,OtherData!G135*$M38,"")</f>
        <v>2.356174005226404</v>
      </c>
      <c r="Q38" s="189">
        <f ca="1">IF(SUM(P38)&gt;0,OtherData!H135*$M38,"")</f>
        <v>2.356174005226404</v>
      </c>
      <c r="R38" s="189">
        <f ca="1">IF(SUM(Q38)&gt;0,OtherData!I135*$M38,"")</f>
        <v>2.356174005226404</v>
      </c>
      <c r="S38" s="189">
        <f ca="1">IF(SUM(R38)&gt;0,OtherData!J135*$M38,"")</f>
        <v>0</v>
      </c>
      <c r="T38" s="189"/>
      <c r="U38" s="252"/>
      <c r="V38" s="335">
        <f>3.6*8.76*V$1</f>
        <v>3.1536000000000002E-2</v>
      </c>
      <c r="W38" s="162">
        <v>1</v>
      </c>
      <c r="X38" s="254">
        <f t="shared" ca="1" si="11"/>
        <v>0</v>
      </c>
      <c r="Y38" s="254">
        <f t="shared" ca="1" si="11"/>
        <v>0</v>
      </c>
      <c r="Z38" s="265" t="str">
        <f>IF(Y38&lt;0,1/K38/(1+AE38*ABS(Y38)),T(0))</f>
        <v/>
      </c>
      <c r="AA38" s="339" t="str">
        <f>IF(SUM(Z38),5,"")</f>
        <v/>
      </c>
      <c r="AC38" s="135">
        <v>2</v>
      </c>
      <c r="AD38" s="350">
        <f ca="1">MIN(OFFSET(OtherData!$C$52,$AC38,MID($B38,8,1)*1),AG38/0.1-1)</f>
        <v>1.4392911045351555</v>
      </c>
      <c r="AE38" s="350">
        <f ca="1">OFFSET(OtherData!$C$82,$AC38,MID($B38,8,1)*1)</f>
        <v>0.52790073738805932</v>
      </c>
      <c r="AF38" s="351">
        <f ca="1">OtherData!C34</f>
        <v>0.84026612259323619</v>
      </c>
      <c r="AG38" s="351">
        <f ca="1">OtherData!D34</f>
        <v>0.75637522452130512</v>
      </c>
      <c r="AH38" s="135">
        <v>1</v>
      </c>
      <c r="AI38" s="135"/>
    </row>
    <row r="39" spans="2:35" ht="12.95" customHeight="1">
      <c r="B39" s="6" t="s">
        <v>506</v>
      </c>
      <c r="C39" s="6" t="str">
        <f>"CHP: Existing " &amp;MID(B39,4,3)&amp; "-based capacity"</f>
        <v>CHP: Existing COA-based capacity</v>
      </c>
      <c r="D39" s="6" t="s">
        <v>169</v>
      </c>
      <c r="E39" s="6" t="s">
        <v>198</v>
      </c>
      <c r="F39" s="6">
        <v>0.95</v>
      </c>
      <c r="G39" s="216">
        <f t="shared" ca="1" si="10"/>
        <v>0.32345400818508019</v>
      </c>
      <c r="H39" s="216">
        <f t="shared" ca="1" si="10"/>
        <v>0.31788914294261017</v>
      </c>
      <c r="I39" s="254">
        <f ca="1">OtherData!K136</f>
        <v>0.40936410494005437</v>
      </c>
      <c r="J39" s="254">
        <f ca="1">OtherData!L136</f>
        <v>2.8316490691119935E-2</v>
      </c>
      <c r="K39" s="254">
        <f ca="1">MAX(J39,OtherData!G35)</f>
        <v>0.55000000000000004</v>
      </c>
      <c r="L39" s="189">
        <f ca="1">OtherData!C136/(AD39+1)^ECAP</f>
        <v>132.61711734287178</v>
      </c>
      <c r="M39" s="189">
        <f ca="1">OtherData!D136/(AE39+1)^ECAP</f>
        <v>136.21434439343861</v>
      </c>
      <c r="N39" s="188">
        <f ca="1">IF(SUM(M39)&gt;0,OtherData!E136*$M39,"")</f>
        <v>136.21434439343861</v>
      </c>
      <c r="O39" s="189">
        <f ca="1">IF(SUM(M39)&gt;0,OtherData!F136*$M39,"")</f>
        <v>136.21434439343861</v>
      </c>
      <c r="P39" s="189">
        <f ca="1">IF(SUM(O39)&gt;0,OtherData!G136*$M39,"")</f>
        <v>136.21434439343861</v>
      </c>
      <c r="Q39" s="189">
        <f ca="1">IF(SUM(P39)&gt;0,OtherData!H136*$M39,"")</f>
        <v>136.21434439343861</v>
      </c>
      <c r="R39" s="189">
        <f ca="1">IF(SUM(Q39)&gt;0,OtherData!I136*$M39,"")</f>
        <v>136.21434439343861</v>
      </c>
      <c r="S39" s="189">
        <f ca="1">IF(SUM(R39)&gt;0,OtherData!J136*$M39,"")</f>
        <v>0</v>
      </c>
      <c r="T39" s="189"/>
      <c r="U39" s="252"/>
      <c r="V39" s="335">
        <f>3.6*8.76*V$1</f>
        <v>3.1536000000000002E-2</v>
      </c>
      <c r="W39" s="162">
        <v>1</v>
      </c>
      <c r="X39" s="254">
        <f t="shared" ca="1" si="11"/>
        <v>-0.13834623762746015</v>
      </c>
      <c r="Y39" s="254">
        <f t="shared" ca="1" si="11"/>
        <v>-0.14142376597534592</v>
      </c>
      <c r="Z39" s="265">
        <f ca="1">IF(Y39&lt;0,1/K39/(1+AE39*ABS(Y39)),T(0))</f>
        <v>1.4449506497391371</v>
      </c>
      <c r="AA39" s="339">
        <f ca="1">IF(SUM(Z39),5,"")</f>
        <v>5</v>
      </c>
      <c r="AC39" s="135">
        <v>3</v>
      </c>
      <c r="AD39" s="350">
        <f ca="1">MIN(OFFSET(OtherData!$C$52,$AC39,MID($B39,8,1)*1),AG39/0.1-1)</f>
        <v>1.7105767488963923</v>
      </c>
      <c r="AE39" s="350">
        <f ca="1">OFFSET(OtherData!$C$82,$AC39,MID($B39,8,1)*1)</f>
        <v>1.8264277284040971</v>
      </c>
      <c r="AF39" s="351">
        <f ca="1">OtherData!C35</f>
        <v>0.87674691392382176</v>
      </c>
      <c r="AG39" s="351">
        <f ca="1">OtherData!D35</f>
        <v>0.89849068817160682</v>
      </c>
      <c r="AH39" s="135">
        <v>7</v>
      </c>
      <c r="AI39" s="135">
        <v>0.4</v>
      </c>
    </row>
    <row r="40" spans="2:35" ht="12.95" customHeight="1">
      <c r="B40" s="6" t="s">
        <v>507</v>
      </c>
      <c r="C40" s="6" t="str">
        <f>"CHP: Existing " &amp;MID(B40,4,3)&amp; "-based capacity"</f>
        <v>CHP: Existing BCO-based capacity</v>
      </c>
      <c r="D40" s="6" t="s">
        <v>354</v>
      </c>
      <c r="E40" s="6" t="s">
        <v>198</v>
      </c>
      <c r="F40" s="6">
        <v>0.95</v>
      </c>
      <c r="G40" s="216">
        <f t="shared" ca="1" si="10"/>
        <v>0.28970104023596716</v>
      </c>
      <c r="H40" s="216">
        <f t="shared" ca="1" si="10"/>
        <v>0.28153905946691105</v>
      </c>
      <c r="I40" s="254">
        <f ca="1">OtherData!K137</f>
        <v>0.3559687869043951</v>
      </c>
      <c r="J40" s="254">
        <f ca="1">OtherData!L137</f>
        <v>0.32447932444829458</v>
      </c>
      <c r="K40" s="254">
        <f ca="1">MAX(J40,OtherData!G36)</f>
        <v>0.55000000000000004</v>
      </c>
      <c r="L40" s="189">
        <f ca="1">OtherData!C137/(AD40+1)^ECAP</f>
        <v>629.14398780722399</v>
      </c>
      <c r="M40" s="189">
        <f ca="1">OtherData!D137/(AE40+1)^ECAP</f>
        <v>433.42067512346591</v>
      </c>
      <c r="N40" s="188">
        <f ca="1">IF(SUM(M40)&gt;0,OtherData!E137*$M40,"")</f>
        <v>433.42067512346591</v>
      </c>
      <c r="O40" s="189">
        <f ca="1">IF(SUM(M40)&gt;0,OtherData!F137*$M40,"")</f>
        <v>377.09072448984887</v>
      </c>
      <c r="P40" s="189">
        <f ca="1">IF(SUM(O40)&gt;0,OtherData!G137*$M40,"")</f>
        <v>185.04182846997304</v>
      </c>
      <c r="Q40" s="189">
        <f ca="1">IF(SUM(P40)&gt;0,OtherData!H137*$M40,"")</f>
        <v>0</v>
      </c>
      <c r="R40" s="189" t="str">
        <f ca="1">IF(SUM(Q40)&gt;0,OtherData!I137*$M40,"")</f>
        <v/>
      </c>
      <c r="S40" s="189" t="str">
        <f ca="1">IF(SUM(R40)&gt;0,OtherData!J137*$M40,"")</f>
        <v/>
      </c>
      <c r="T40" s="189"/>
      <c r="U40" s="252"/>
      <c r="V40" s="335">
        <f>3.6*8.76*V$1</f>
        <v>3.1536000000000002E-2</v>
      </c>
      <c r="W40" s="162">
        <v>1</v>
      </c>
      <c r="X40" s="254">
        <f t="shared" ca="1" si="11"/>
        <v>-0.14285714285714285</v>
      </c>
      <c r="Y40" s="254">
        <f t="shared" ca="1" si="11"/>
        <v>-0.14285714285714285</v>
      </c>
      <c r="Z40" s="265">
        <f ca="1">IF(Y40&lt;0,1/K40/(1+AE40*ABS(Y40)),T(0))</f>
        <v>1.4085564494476717</v>
      </c>
      <c r="AA40" s="339">
        <f ca="1">IF(SUM(Z40),5,"")</f>
        <v>5</v>
      </c>
      <c r="AC40" s="135">
        <v>4</v>
      </c>
      <c r="AD40" s="350">
        <f ca="1">MIN(OFFSET(OtherData!$C$52,$AC40,MID($B40,8,1)*1),AG40/0.1-1)</f>
        <v>1.9352379814795493</v>
      </c>
      <c r="AE40" s="350">
        <f ca="1">OFFSET(OtherData!$C$82,$AC40,MID($B40,8,1)*1)</f>
        <v>2.0356852451766434</v>
      </c>
      <c r="AF40" s="351">
        <f ca="1">OtherData!C36</f>
        <v>0.85034149657474578</v>
      </c>
      <c r="AG40" s="351">
        <f ca="1">OtherData!D36</f>
        <v>0.85466396876461137</v>
      </c>
      <c r="AH40" s="135">
        <v>7</v>
      </c>
      <c r="AI40" s="135">
        <v>0.4</v>
      </c>
    </row>
    <row r="41" spans="2:35" ht="12.95" customHeight="1">
      <c r="B41" s="6" t="s">
        <v>508</v>
      </c>
      <c r="C41" s="6" t="str">
        <f>"CHP: Existing " &amp;MID(B41,4,3)&amp; "-based capacity"</f>
        <v>CHP: Existing BIO-based capacity</v>
      </c>
      <c r="D41" s="6" t="s">
        <v>152</v>
      </c>
      <c r="E41" s="6" t="s">
        <v>198</v>
      </c>
      <c r="F41" s="6">
        <v>0.95</v>
      </c>
      <c r="G41" s="216">
        <f t="shared" ca="1" si="10"/>
        <v>0.28834503128026223</v>
      </c>
      <c r="H41" s="216">
        <f t="shared" ca="1" si="10"/>
        <v>0.29165359038196298</v>
      </c>
      <c r="I41" s="254">
        <f ca="1">OtherData!K138</f>
        <v>0.6020060366765505</v>
      </c>
      <c r="J41" s="254">
        <f ca="1">OtherData!L138</f>
        <v>0.42926264046376816</v>
      </c>
      <c r="K41" s="254">
        <f ca="1">MAX(J41,OtherData!G37)</f>
        <v>0.55000000000000004</v>
      </c>
      <c r="L41" s="189">
        <f ca="1">OtherData!C138/(AD41+1)^ECAP</f>
        <v>226.64913828888552</v>
      </c>
      <c r="M41" s="189">
        <f ca="1">OtherData!D138/(AE41+1)^ECAP</f>
        <v>416.97494480726368</v>
      </c>
      <c r="N41" s="188">
        <f ca="1">IF(SUM(M41)&gt;0,OtherData!E138*$M41,"")</f>
        <v>456.16072523556187</v>
      </c>
      <c r="O41" s="189">
        <f ca="1">IF(SUM(M41)&gt;0,OtherData!F138*$M41,"")</f>
        <v>358.19627416481643</v>
      </c>
      <c r="P41" s="189">
        <f ca="1">IF(SUM(O41)&gt;0,OtherData!G138*$M41,"")</f>
        <v>157.79881811483537</v>
      </c>
      <c r="Q41" s="189">
        <f ca="1">IF(SUM(P41)&gt;0,OtherData!H138*$M41,"")</f>
        <v>0</v>
      </c>
      <c r="R41" s="189" t="str">
        <f ca="1">IF(SUM(Q41)&gt;0,OtherData!I138*$M41,"")</f>
        <v/>
      </c>
      <c r="S41" s="189" t="str">
        <f ca="1">IF(SUM(R41)&gt;0,OtherData!J138*$M41,"")</f>
        <v/>
      </c>
      <c r="T41" s="189"/>
      <c r="U41" s="252"/>
      <c r="V41" s="335">
        <f>3.6*8.76*V$1</f>
        <v>3.1536000000000002E-2</v>
      </c>
      <c r="W41" s="162">
        <v>1</v>
      </c>
      <c r="X41" s="254">
        <f t="shared" ca="1" si="11"/>
        <v>0</v>
      </c>
      <c r="Y41" s="254">
        <f t="shared" ca="1" si="11"/>
        <v>0</v>
      </c>
      <c r="Z41" s="265" t="str">
        <f>IF(Y41&lt;0,1/K41/(1+AE41*ABS(Y41)),T(0))</f>
        <v/>
      </c>
      <c r="AA41" s="339" t="str">
        <f>IF(SUM(Z41),5,"")</f>
        <v/>
      </c>
      <c r="AC41" s="135">
        <v>5</v>
      </c>
      <c r="AD41" s="350">
        <f ca="1">MIN(OFFSET(OtherData!$C$52,$AC41,MID($B41,8,1)*1),AG41/0.1-1)</f>
        <v>1.8777250336547116</v>
      </c>
      <c r="AE41" s="350">
        <f ca="1">OFFSET(OtherData!$C$82,$AC41,MID($B41,8,1)*1)</f>
        <v>1.9092185673983537</v>
      </c>
      <c r="AF41" s="351">
        <f ca="1">OtherData!C37</f>
        <v>0.8297777148451615</v>
      </c>
      <c r="AG41" s="351">
        <f ca="1">OtherData!D37</f>
        <v>0.84848404038760061</v>
      </c>
      <c r="AH41" s="135">
        <v>1</v>
      </c>
      <c r="AI41" s="135"/>
    </row>
    <row r="42" spans="2:35" ht="12.95" customHeight="1">
      <c r="B42" s="257" t="s">
        <v>59</v>
      </c>
      <c r="C42" s="257"/>
      <c r="D42" s="257"/>
      <c r="E42" s="257"/>
      <c r="F42" s="257"/>
      <c r="G42" s="257"/>
      <c r="H42" s="257"/>
      <c r="I42" s="257"/>
      <c r="J42" s="257"/>
      <c r="K42" s="257"/>
      <c r="L42" s="188"/>
      <c r="M42" s="188"/>
      <c r="N42" s="188"/>
      <c r="O42" s="188"/>
      <c r="P42" s="188"/>
      <c r="Q42" s="188"/>
      <c r="R42" s="188"/>
      <c r="S42" s="188"/>
      <c r="T42" s="188"/>
      <c r="U42" s="257"/>
      <c r="V42" s="337"/>
      <c r="W42" s="182"/>
      <c r="X42" s="142"/>
      <c r="Y42" s="142"/>
      <c r="Z42" s="142"/>
      <c r="AA42" s="142"/>
      <c r="AC42" s="135"/>
      <c r="AD42" s="350"/>
      <c r="AE42" s="350"/>
      <c r="AF42" s="135"/>
      <c r="AG42" s="135"/>
      <c r="AH42" s="135"/>
      <c r="AI42" s="135"/>
    </row>
    <row r="43" spans="2:35" ht="12.95" customHeight="1">
      <c r="B43" s="6" t="s">
        <v>509</v>
      </c>
      <c r="C43" s="6" t="str">
        <f>"CHP: Existing " &amp;MID(B43,4,3)&amp; "-based capacity"</f>
        <v>CHP: Existing OIL-based capacity</v>
      </c>
      <c r="D43" s="6" t="s">
        <v>56</v>
      </c>
      <c r="E43" s="205" t="s">
        <v>482</v>
      </c>
      <c r="F43" s="6">
        <v>0.95</v>
      </c>
      <c r="G43" s="216">
        <f t="shared" ref="G43:H47" ca="1" si="12">MAX(IF($AH43&gt;2,$AG$1),AF43)/(AD43+1)^ECAP</f>
        <v>9.8160800171965656E-2</v>
      </c>
      <c r="H43" s="216">
        <f t="shared" ca="1" si="12"/>
        <v>0.48889208302671761</v>
      </c>
      <c r="I43" s="254">
        <f ca="1">OtherData!K139</f>
        <v>3.9493971542087225E-2</v>
      </c>
      <c r="J43" s="254">
        <f ca="1">OtherData!L139</f>
        <v>3.6742852040323619E-2</v>
      </c>
      <c r="K43" s="254">
        <f ca="1">MAX(J43,OtherData!G33)</f>
        <v>0.5</v>
      </c>
      <c r="L43" s="189">
        <f ca="1">OtherData!C139/(AD43+1)^ECAP</f>
        <v>4.9742018592906332</v>
      </c>
      <c r="M43" s="189">
        <f ca="1">OtherData!D139/(AE43+1)^ECAP</f>
        <v>27.87716759637966</v>
      </c>
      <c r="N43" s="188">
        <f ca="1">IF(SUM(M43)&gt;0,OtherData!E139*$M43,"")</f>
        <v>27.877167596379657</v>
      </c>
      <c r="O43" s="189">
        <f ca="1">IF(SUM(M43)&gt;0,OtherData!F139*$M43,"")</f>
        <v>27.877167596379657</v>
      </c>
      <c r="P43" s="189">
        <f ca="1">IF(SUM(O43)&gt;0,OtherData!G139*$M43,"")</f>
        <v>6.6297028156252757</v>
      </c>
      <c r="Q43" s="189">
        <f ca="1">IF(SUM(P43)&gt;0,OtherData!H139*$M43,"")</f>
        <v>0</v>
      </c>
      <c r="R43" s="189" t="str">
        <f ca="1">IF(SUM(Q43)&gt;0,OtherData!I139*$M43,"")</f>
        <v/>
      </c>
      <c r="S43" s="189" t="str">
        <f ca="1">IF(SUM(R43)&gt;0,OtherData!J139*$M43,"")</f>
        <v/>
      </c>
      <c r="T43" s="189"/>
      <c r="U43" s="252"/>
      <c r="V43" s="335">
        <f>3.6*8.76*V$1</f>
        <v>3.1536000000000002E-2</v>
      </c>
      <c r="W43" s="162">
        <v>1</v>
      </c>
      <c r="X43" s="254">
        <f t="shared" ref="X43:Y47" ca="1" si="13">IF($AH43&gt;2,MAX($AH43,AF43*AD43/(1+AD43)/MAX(0.01,$AI43-AF43/(1+AD43)))^IF(ECAP,-1,1),IF(ECAP,0,1))*SIGN(-ECAP)</f>
        <v>0</v>
      </c>
      <c r="Y43" s="254">
        <f t="shared" ca="1" si="13"/>
        <v>0</v>
      </c>
      <c r="Z43" s="254"/>
      <c r="AA43" s="254"/>
      <c r="AC43" s="135">
        <v>1</v>
      </c>
      <c r="AD43" s="350">
        <f ca="1">MIN(OFFSET(OtherData!$C$52,$AC43,MID($B43,8,1)*1),AG43/0.1-1)</f>
        <v>7.9736782410447322</v>
      </c>
      <c r="AE43" s="350">
        <f ca="1">OFFSET(OtherData!$C$82,$AC43,MID($B43,8,1)*1)</f>
        <v>0.8355131025008492</v>
      </c>
      <c r="AF43" s="351">
        <f ca="1">OtherData!C33</f>
        <v>0.88086343662670818</v>
      </c>
      <c r="AG43" s="351">
        <f ca="1">OtherData!D33</f>
        <v>0.89736782410447324</v>
      </c>
      <c r="AH43" s="135">
        <v>1</v>
      </c>
      <c r="AI43" s="135"/>
    </row>
    <row r="44" spans="2:35" ht="12.95" customHeight="1">
      <c r="B44" s="6" t="s">
        <v>510</v>
      </c>
      <c r="C44" s="6" t="str">
        <f>"CHP: Existing " &amp;MID(B44,4,3)&amp; "-based capacity"</f>
        <v>CHP: Existing GAS-based capacity</v>
      </c>
      <c r="D44" s="6" t="s">
        <v>151</v>
      </c>
      <c r="E44" s="205" t="s">
        <v>482</v>
      </c>
      <c r="F44" s="6">
        <v>0.95</v>
      </c>
      <c r="G44" s="216">
        <f t="shared" ca="1" si="12"/>
        <v>0.22052277100935538</v>
      </c>
      <c r="H44" s="216">
        <f t="shared" ca="1" si="12"/>
        <v>0.42970884741633486</v>
      </c>
      <c r="I44" s="254">
        <f ca="1">OtherData!K140</f>
        <v>0.16156624721762955</v>
      </c>
      <c r="J44" s="254">
        <f ca="1">OtherData!L140</f>
        <v>0</v>
      </c>
      <c r="K44" s="254">
        <f ca="1">MAX(J44,OtherData!G34)</f>
        <v>0.55000000000000004</v>
      </c>
      <c r="L44" s="189">
        <f ca="1">OtherData!C140/(AD44+1)^ECAP</f>
        <v>0.94313037497309316</v>
      </c>
      <c r="M44" s="189">
        <f ca="1">OtherData!D140/(AE44+1)^ECAP</f>
        <v>3.976811818258621</v>
      </c>
      <c r="N44" s="188">
        <f ca="1">IF(SUM(M44)&gt;0,OtherData!E140*$M44,"")</f>
        <v>3.976811818258621</v>
      </c>
      <c r="O44" s="189">
        <f ca="1">IF(SUM(M44)&gt;0,OtherData!F140*$M44,"")</f>
        <v>3.976811818258621</v>
      </c>
      <c r="P44" s="189">
        <f ca="1">IF(SUM(O44)&gt;0,OtherData!G140*$M44,"")</f>
        <v>3.976811818258621</v>
      </c>
      <c r="Q44" s="189">
        <f ca="1">IF(SUM(P44)&gt;0,OtherData!H140*$M44,"")</f>
        <v>3.976811818258621</v>
      </c>
      <c r="R44" s="189">
        <f ca="1">IF(SUM(Q44)&gt;0,OtherData!I140*$M44,"")</f>
        <v>0</v>
      </c>
      <c r="S44" s="189" t="str">
        <f ca="1">IF(SUM(R44)&gt;0,OtherData!J140*$M44,"")</f>
        <v/>
      </c>
      <c r="T44" s="189"/>
      <c r="U44" s="252"/>
      <c r="V44" s="335">
        <f>3.6*8.76*V$1</f>
        <v>3.1536000000000002E-2</v>
      </c>
      <c r="W44" s="162">
        <v>1</v>
      </c>
      <c r="X44" s="254">
        <f t="shared" ca="1" si="13"/>
        <v>0</v>
      </c>
      <c r="Y44" s="254">
        <f t="shared" ca="1" si="13"/>
        <v>0</v>
      </c>
      <c r="Z44" s="254"/>
      <c r="AA44" s="254"/>
      <c r="AC44" s="135">
        <v>2</v>
      </c>
      <c r="AD44" s="350">
        <f ca="1">MIN(OFFSET(OtherData!$C$52,$AC44,MID($B44,8,1)*1),AG44/0.1-1)</f>
        <v>2.8103372216268272</v>
      </c>
      <c r="AE44" s="350">
        <f ca="1">OFFSET(OtherData!$C$82,$AC44,MID($B44,8,1)*1)</f>
        <v>0.76020398246180576</v>
      </c>
      <c r="AF44" s="351">
        <f ca="1">OtherData!C34</f>
        <v>0.84026612259323619</v>
      </c>
      <c r="AG44" s="351">
        <f ca="1">OtherData!D34</f>
        <v>0.75637522452130512</v>
      </c>
      <c r="AH44" s="135">
        <v>1</v>
      </c>
      <c r="AI44" s="135"/>
    </row>
    <row r="45" spans="2:35" ht="12.95" customHeight="1">
      <c r="B45" s="6" t="s">
        <v>511</v>
      </c>
      <c r="C45" s="6" t="str">
        <f>"CHP: Existing " &amp;MID(B45,4,3)&amp; "-based capacity"</f>
        <v>CHP: Existing COA-based capacity</v>
      </c>
      <c r="D45" s="6" t="s">
        <v>169</v>
      </c>
      <c r="E45" s="205" t="s">
        <v>482</v>
      </c>
      <c r="F45" s="6">
        <v>0.95</v>
      </c>
      <c r="G45" s="216">
        <f t="shared" ca="1" si="12"/>
        <v>0.18513078175039477</v>
      </c>
      <c r="H45" s="216">
        <f t="shared" ca="1" si="12"/>
        <v>0.17273875663536112</v>
      </c>
      <c r="I45" s="254">
        <f ca="1">OtherData!K141</f>
        <v>0.35544574387878497</v>
      </c>
      <c r="J45" s="254">
        <f ca="1">OtherData!L141</f>
        <v>3.163949089979478E-2</v>
      </c>
      <c r="K45" s="254">
        <f ca="1">MAX(J45,OtherData!G35)</f>
        <v>0.55000000000000004</v>
      </c>
      <c r="L45" s="189">
        <f ca="1">OtherData!C141/(AD45+1)^ECAP</f>
        <v>11.034519675790611</v>
      </c>
      <c r="M45" s="189">
        <f ca="1">OtherData!D141/(AE45+1)^ECAP</f>
        <v>38.835381712579895</v>
      </c>
      <c r="N45" s="188">
        <f ca="1">IF(SUM(M45)&gt;0,OtherData!E141*$M45,"")</f>
        <v>35.75931187395971</v>
      </c>
      <c r="O45" s="189">
        <f ca="1">IF(SUM(M45)&gt;0,OtherData!F141*$M45,"")</f>
        <v>43.449486470510188</v>
      </c>
      <c r="P45" s="189">
        <f ca="1">IF(SUM(O45)&gt;0,OtherData!G141*$M45,"")</f>
        <v>33.644513859908322</v>
      </c>
      <c r="Q45" s="189">
        <f ca="1">IF(SUM(P45)&gt;0,OtherData!H141*$M45,"")</f>
        <v>33.644513859908322</v>
      </c>
      <c r="R45" s="189">
        <f ca="1">IF(SUM(Q45)&gt;0,OtherData!I141*$M45,"")</f>
        <v>7.6901745965504746</v>
      </c>
      <c r="S45" s="189">
        <f ca="1">IF(SUM(R45)&gt;0,OtherData!J141*$M45,"")</f>
        <v>7.6901745965504746</v>
      </c>
      <c r="T45" s="189"/>
      <c r="U45" s="252"/>
      <c r="V45" s="335">
        <f>3.6*8.76*V$1</f>
        <v>3.1536000000000002E-2</v>
      </c>
      <c r="W45" s="162">
        <v>1</v>
      </c>
      <c r="X45" s="254">
        <f t="shared" ca="1" si="13"/>
        <v>0</v>
      </c>
      <c r="Y45" s="254">
        <f t="shared" ca="1" si="13"/>
        <v>0</v>
      </c>
      <c r="Z45" s="254"/>
      <c r="AA45" s="254"/>
      <c r="AC45" s="135">
        <v>3</v>
      </c>
      <c r="AD45" s="350">
        <f ca="1">MIN(OFFSET(OtherData!$C$52,$AC45,MID($B45,8,1)*1),AG45/0.1-1)</f>
        <v>3.735824618868127</v>
      </c>
      <c r="AE45" s="350">
        <f ca="1">OFFSET(OtherData!$C$82,$AC45,MID($B45,8,1)*1)</f>
        <v>4.2014423727053618</v>
      </c>
      <c r="AF45" s="351">
        <f ca="1">OtherData!C35</f>
        <v>0.87674691392382176</v>
      </c>
      <c r="AG45" s="351">
        <f ca="1">OtherData!D35</f>
        <v>0.89849068817160682</v>
      </c>
      <c r="AH45" s="135">
        <v>1</v>
      </c>
      <c r="AI45" s="135"/>
    </row>
    <row r="46" spans="2:35" ht="12.95" customHeight="1">
      <c r="B46" s="6" t="s">
        <v>512</v>
      </c>
      <c r="C46" s="6" t="str">
        <f>"CHP: Existing " &amp;MID(B46,4,3)&amp; "-based capacity"</f>
        <v>CHP: Existing BCO-based capacity</v>
      </c>
      <c r="D46" s="6" t="s">
        <v>354</v>
      </c>
      <c r="E46" s="205" t="s">
        <v>482</v>
      </c>
      <c r="F46" s="6">
        <v>0.95</v>
      </c>
      <c r="G46" s="216">
        <f t="shared" ca="1" si="12"/>
        <v>0.14954092615127262</v>
      </c>
      <c r="H46" s="216">
        <f t="shared" ca="1" si="12"/>
        <v>0.13825783214248608</v>
      </c>
      <c r="I46" s="254">
        <f ca="1">OtherData!K142</f>
        <v>0.30908325554676952</v>
      </c>
      <c r="J46" s="254">
        <f ca="1">OtherData!L142</f>
        <v>0.28755275509818484</v>
      </c>
      <c r="K46" s="254">
        <f ca="1">MAX(J46,OtherData!G36)</f>
        <v>0.55000000000000004</v>
      </c>
      <c r="L46" s="189">
        <f ca="1">OtherData!C142/(AD46+1)^ECAP</f>
        <v>129.90904544450873</v>
      </c>
      <c r="M46" s="189">
        <f ca="1">OtherData!D142/(AE46+1)^ECAP</f>
        <v>80.596390548594769</v>
      </c>
      <c r="N46" s="188">
        <f ca="1">IF(SUM(M46)&gt;0,OtherData!E142*$M46,"")</f>
        <v>80.596390548594769</v>
      </c>
      <c r="O46" s="189">
        <f ca="1">IF(SUM(M46)&gt;0,OtherData!F142*$M46,"")</f>
        <v>50.449185869640949</v>
      </c>
      <c r="P46" s="189">
        <f ca="1">IF(SUM(O46)&gt;0,OtherData!G142*$M46,"")</f>
        <v>21.007292482811216</v>
      </c>
      <c r="Q46" s="189">
        <f ca="1">IF(SUM(P46)&gt;0,OtherData!H142*$M46,"")</f>
        <v>0</v>
      </c>
      <c r="R46" s="189" t="str">
        <f ca="1">IF(SUM(Q46)&gt;0,OtherData!I142*$M46,"")</f>
        <v/>
      </c>
      <c r="S46" s="189" t="str">
        <f ca="1">IF(SUM(R46)&gt;0,OtherData!J142*$M46,"")</f>
        <v/>
      </c>
      <c r="T46" s="189"/>
      <c r="U46" s="252"/>
      <c r="V46" s="335">
        <f>3.6*8.76*V$1</f>
        <v>3.1536000000000002E-2</v>
      </c>
      <c r="W46" s="162">
        <v>1</v>
      </c>
      <c r="X46" s="254">
        <f t="shared" ca="1" si="13"/>
        <v>0</v>
      </c>
      <c r="Y46" s="254">
        <f t="shared" ca="1" si="13"/>
        <v>0</v>
      </c>
      <c r="Z46" s="254"/>
      <c r="AA46" s="254"/>
      <c r="AC46" s="135">
        <v>4</v>
      </c>
      <c r="AD46" s="350">
        <f ca="1">MIN(OFFSET(OtherData!$C$52,$AC46,MID($B46,8,1)*1),AG46/0.1-1)</f>
        <v>4.6863463297970833</v>
      </c>
      <c r="AE46" s="350">
        <f ca="1">OFFSET(OtherData!$C$82,$AC46,MID($B46,8,1)*1)</f>
        <v>5.1816676532567776</v>
      </c>
      <c r="AF46" s="351">
        <f ca="1">OtherData!C36</f>
        <v>0.85034149657474578</v>
      </c>
      <c r="AG46" s="351">
        <f ca="1">OtherData!D36</f>
        <v>0.85466396876461137</v>
      </c>
      <c r="AH46" s="135">
        <v>1</v>
      </c>
      <c r="AI46" s="135"/>
    </row>
    <row r="47" spans="2:35" ht="12.95" customHeight="1">
      <c r="B47" s="6" t="s">
        <v>513</v>
      </c>
      <c r="C47" s="6" t="str">
        <f>"CHP: Existing " &amp;MID(B47,4,3)&amp; "-based capacity"</f>
        <v>CHP: Existing BIO-based capacity</v>
      </c>
      <c r="D47" s="6" t="s">
        <v>152</v>
      </c>
      <c r="E47" s="205" t="s">
        <v>482</v>
      </c>
      <c r="F47" s="6">
        <v>0.95</v>
      </c>
      <c r="G47" s="216">
        <f t="shared" ca="1" si="12"/>
        <v>0.15298686038903758</v>
      </c>
      <c r="H47" s="216">
        <f t="shared" ca="1" si="12"/>
        <v>0.15244597788055367</v>
      </c>
      <c r="I47" s="254">
        <f ca="1">OtherData!K143</f>
        <v>0.52271432923350725</v>
      </c>
      <c r="J47" s="254">
        <f ca="1">OtherData!L143</f>
        <v>0.21179365159986954</v>
      </c>
      <c r="K47" s="254">
        <f ca="1">MAX(J47,OtherData!G37)</f>
        <v>0.55000000000000004</v>
      </c>
      <c r="L47" s="189">
        <f ca="1">OtherData!C143/(AD47+1)^ECAP</f>
        <v>77.315002366231624</v>
      </c>
      <c r="M47" s="189">
        <f ca="1">OtherData!D143/(AE47+1)^ECAP</f>
        <v>185.10180683040028</v>
      </c>
      <c r="N47" s="188">
        <f ca="1">IF(SUM(M47)&gt;0,OtherData!E143*$M47,"")</f>
        <v>207.42383929105554</v>
      </c>
      <c r="O47" s="189">
        <f ca="1">IF(SUM(M47)&gt;0,OtherData!F143*$M47,"")</f>
        <v>151.61875813941731</v>
      </c>
      <c r="P47" s="189">
        <f ca="1">IF(SUM(O47)&gt;0,OtherData!G143*$M47,"")</f>
        <v>118.91906474083983</v>
      </c>
      <c r="Q47" s="189">
        <f ca="1">IF(SUM(P47)&gt;0,OtherData!H143*$M47,"")</f>
        <v>57.292719489674568</v>
      </c>
      <c r="R47" s="189">
        <f ca="1">IF(SUM(Q47)&gt;0,OtherData!I143*$M47,"")</f>
        <v>0</v>
      </c>
      <c r="S47" s="189" t="str">
        <f ca="1">IF(SUM(R47)&gt;0,OtherData!J143*$M47,"")</f>
        <v/>
      </c>
      <c r="T47" s="189"/>
      <c r="U47" s="252"/>
      <c r="V47" s="335">
        <f>3.6*8.76*V$1</f>
        <v>3.1536000000000002E-2</v>
      </c>
      <c r="W47" s="162">
        <v>1</v>
      </c>
      <c r="X47" s="254">
        <f t="shared" ca="1" si="13"/>
        <v>0</v>
      </c>
      <c r="Y47" s="254">
        <f t="shared" ca="1" si="13"/>
        <v>0</v>
      </c>
      <c r="Z47" s="254"/>
      <c r="AA47" s="254"/>
      <c r="AC47" s="135">
        <v>5</v>
      </c>
      <c r="AD47" s="350">
        <f ca="1">MIN(OFFSET(OtherData!$C$52,$AC47,MID($B47,8,1)*1),AG47/0.1-1)</f>
        <v>4.4238495563284337</v>
      </c>
      <c r="AE47" s="350">
        <f ca="1">OFFSET(OtherData!$C$82,$AC47,MID($B47,8,1)*1)</f>
        <v>4.5658014214872571</v>
      </c>
      <c r="AF47" s="351">
        <f ca="1">OtherData!C37</f>
        <v>0.8297777148451615</v>
      </c>
      <c r="AG47" s="351">
        <f ca="1">OtherData!D37</f>
        <v>0.84848404038760061</v>
      </c>
      <c r="AH47" s="135">
        <v>1</v>
      </c>
      <c r="AI47" s="135"/>
    </row>
    <row r="48" spans="2:35" ht="12.95" customHeight="1">
      <c r="B48" s="257" t="s">
        <v>59</v>
      </c>
      <c r="C48" s="257"/>
      <c r="D48" s="257"/>
      <c r="E48" s="257"/>
      <c r="F48" s="257"/>
      <c r="G48" s="257"/>
      <c r="H48" s="257"/>
      <c r="I48" s="257"/>
      <c r="J48" s="257"/>
      <c r="K48" s="257"/>
      <c r="L48" s="257"/>
      <c r="M48" s="257"/>
      <c r="N48" s="181"/>
      <c r="O48" s="257"/>
      <c r="P48" s="257"/>
      <c r="Q48" s="257"/>
      <c r="R48" s="257"/>
      <c r="S48" s="257"/>
      <c r="T48" s="257"/>
      <c r="U48" s="257"/>
      <c r="V48" s="337"/>
      <c r="W48" s="257"/>
      <c r="X48" s="257"/>
      <c r="Y48" s="257"/>
      <c r="Z48" s="257"/>
      <c r="AA48" s="257"/>
    </row>
    <row r="49" spans="2:27" ht="12.95" customHeight="1">
      <c r="B49" s="6" t="s">
        <v>355</v>
      </c>
      <c r="C49" s="6" t="str">
        <f>"HET: Existing " &amp;MID(B49,4,3)&amp; "-based capacity"</f>
        <v>HET: Existing OIL-based capacity</v>
      </c>
      <c r="D49" s="6" t="s">
        <v>56</v>
      </c>
      <c r="E49" s="6" t="s">
        <v>409</v>
      </c>
      <c r="F49" s="6">
        <v>0.95</v>
      </c>
      <c r="G49" s="216">
        <f ca="1">OtherData!O33</f>
        <v>0.93259286524837837</v>
      </c>
      <c r="H49" s="216">
        <f ca="1">OtherData!P33</f>
        <v>0.89635726264551518</v>
      </c>
      <c r="I49" s="254">
        <f ca="1">MAX(0.01,OtherData!W124)</f>
        <v>4.2600133542464967E-2</v>
      </c>
      <c r="J49" s="254">
        <f ca="1">MAX(0.01,OtherData!X124)</f>
        <v>4.3853862218526586E-2</v>
      </c>
      <c r="K49" s="254">
        <f ca="1">MAX(I49,OtherData!S33)</f>
        <v>0.2</v>
      </c>
      <c r="L49" s="252">
        <f ca="1">OtherData!O124</f>
        <v>1.1269277530480102</v>
      </c>
      <c r="M49" s="252">
        <f ca="1">OtherData!P124</f>
        <v>1.2222193411692999</v>
      </c>
      <c r="N49" s="181">
        <f ca="1">IF(SUM(M49)&gt;0,OtherData!Q124,"")</f>
        <v>1.2222193411692999</v>
      </c>
      <c r="O49" s="252">
        <f ca="1">IF(SUM(M49)&gt;0,OtherData!R124,"")</f>
        <v>0.65412382431262328</v>
      </c>
      <c r="P49" s="252">
        <f ca="1">IF(SUM(O49)&gt;0,OtherData!S124,"")</f>
        <v>0.13596955898633181</v>
      </c>
      <c r="Q49" s="252">
        <f ca="1">IF(SUM(P49)&gt;0,OtherData!T124,"")</f>
        <v>7.1659632438742446E-2</v>
      </c>
      <c r="R49" s="252">
        <f ca="1">IF(SUM(Q49)&gt;0,OtherData!U124,"")</f>
        <v>0</v>
      </c>
      <c r="S49" s="252" t="str">
        <f ca="1">IF(SUM(R49)&gt;0,OtherData!V121,"")</f>
        <v/>
      </c>
      <c r="T49" s="252"/>
      <c r="U49" s="252"/>
      <c r="V49" s="335">
        <f ca="1">3.6*8.76*V$1*SHCAP</f>
        <v>31.536000000000001</v>
      </c>
      <c r="W49" s="6"/>
      <c r="X49" s="6"/>
      <c r="Y49" s="6"/>
      <c r="Z49" s="6"/>
      <c r="AA49" s="6"/>
    </row>
    <row r="50" spans="2:27" ht="12.95" customHeight="1">
      <c r="B50" s="6" t="s">
        <v>356</v>
      </c>
      <c r="C50" s="6" t="str">
        <f>"HET: Existing " &amp;MID(B50,4,3)&amp; "-based capacity"</f>
        <v>HET: Existing GAS-based capacity</v>
      </c>
      <c r="D50" s="6" t="s">
        <v>151</v>
      </c>
      <c r="E50" s="6" t="s">
        <v>409</v>
      </c>
      <c r="F50" s="6">
        <v>0.95</v>
      </c>
      <c r="G50" s="216">
        <f ca="1">OtherData!O34</f>
        <v>0.93738215230587008</v>
      </c>
      <c r="H50" s="216">
        <f ca="1">OtherData!P34</f>
        <v>0.85753148690113878</v>
      </c>
      <c r="I50" s="254">
        <f ca="1">MAX(0.01,OtherData!W125)</f>
        <v>0.11342431385571965</v>
      </c>
      <c r="J50" s="254">
        <f ca="1">MAX(0.01,OtherData!X125)</f>
        <v>2.736040337160069E-2</v>
      </c>
      <c r="K50" s="254">
        <f ca="1">MAX(I50,OtherData!S34)</f>
        <v>0.3</v>
      </c>
      <c r="L50" s="252">
        <f ca="1">OtherData!O125</f>
        <v>0.46450000000000002</v>
      </c>
      <c r="M50" s="252">
        <f ca="1">OtherData!P125</f>
        <v>0.43539999999999995</v>
      </c>
      <c r="N50" s="181">
        <f ca="1">IF(SUM(M50)&gt;0,OtherData!Q125,"")</f>
        <v>0.47949999999999998</v>
      </c>
      <c r="O50" s="252">
        <f ca="1">IF(SUM(M50)&gt;0,OtherData!R125,"")</f>
        <v>0.3695</v>
      </c>
      <c r="P50" s="252">
        <f ca="1">IF(SUM(O50)&gt;0,OtherData!S125,"")</f>
        <v>0.224</v>
      </c>
      <c r="Q50" s="252">
        <f ca="1">IF(SUM(P50)&gt;0,OtherData!T125,"")</f>
        <v>0.13</v>
      </c>
      <c r="R50" s="252">
        <f ca="1">IF(SUM(Q50)&gt;0,OtherData!U125,"")</f>
        <v>0</v>
      </c>
      <c r="S50" s="252" t="str">
        <f ca="1">IF(SUM(R50)&gt;0,OtherData!V122,"")</f>
        <v/>
      </c>
      <c r="T50" s="252"/>
      <c r="U50" s="252"/>
      <c r="V50" s="335">
        <f ca="1">3.6*8.76*V$1*SHCAP</f>
        <v>31.536000000000001</v>
      </c>
      <c r="W50" s="6"/>
      <c r="X50" s="6"/>
      <c r="Y50" s="6"/>
      <c r="Z50" s="6"/>
      <c r="AA50" s="6"/>
    </row>
    <row r="51" spans="2:27" ht="12.95" customHeight="1">
      <c r="B51" s="6" t="s">
        <v>357</v>
      </c>
      <c r="C51" s="6" t="str">
        <f>"HET: Existing " &amp;MID(B51,4,3)&amp; "-based capacity"</f>
        <v>HET: Existing COA-based capacity</v>
      </c>
      <c r="D51" s="6" t="s">
        <v>169</v>
      </c>
      <c r="E51" s="6" t="s">
        <v>409</v>
      </c>
      <c r="F51" s="6">
        <v>0.95</v>
      </c>
      <c r="G51" s="216">
        <f ca="1">OtherData!O35</f>
        <v>0.96364396322939583</v>
      </c>
      <c r="H51" s="216">
        <f ca="1">OtherData!P35</f>
        <v>0.71932751691621577</v>
      </c>
      <c r="I51" s="254">
        <f ca="1">MAX(0.01,OtherData!W126)</f>
        <v>0.34080106597307036</v>
      </c>
      <c r="J51" s="254">
        <f ca="1">MAX(0.01,OtherData!X126)</f>
        <v>0.01</v>
      </c>
      <c r="K51" s="254">
        <f ca="1">MAX(I51,OtherData!S35)</f>
        <v>0.5</v>
      </c>
      <c r="L51" s="252">
        <f ca="1">OtherData!O126</f>
        <v>9.4496266566634762E-3</v>
      </c>
      <c r="M51" s="252">
        <f ca="1">OtherData!P126</f>
        <v>0</v>
      </c>
      <c r="N51" s="181" t="str">
        <f ca="1">IF(SUM(M51)&gt;0,OtherData!Q126,"")</f>
        <v/>
      </c>
      <c r="O51" s="252" t="str">
        <f ca="1">IF(SUM(M51)&gt;0,OtherData!R126,"")</f>
        <v/>
      </c>
      <c r="P51" s="252" t="str">
        <f ca="1">IF(SUM(O51)&gt;0,OtherData!S126,"")</f>
        <v/>
      </c>
      <c r="Q51" s="252" t="str">
        <f ca="1">IF(SUM(P51)&gt;0,OtherData!T126,"")</f>
        <v/>
      </c>
      <c r="R51" s="252" t="str">
        <f ca="1">IF(SUM(Q51)&gt;0,OtherData!U126,"")</f>
        <v/>
      </c>
      <c r="S51" s="252" t="str">
        <f ca="1">IF(SUM(R51)&gt;0,OtherData!V123,"")</f>
        <v/>
      </c>
      <c r="T51" s="252"/>
      <c r="U51" s="252"/>
      <c r="V51" s="335">
        <f ca="1">3.6*8.76*V$1*SHCAP</f>
        <v>31.536000000000001</v>
      </c>
      <c r="W51" s="6"/>
      <c r="X51" s="6"/>
      <c r="Y51" s="6"/>
      <c r="Z51" s="6"/>
      <c r="AA51" s="6"/>
    </row>
    <row r="52" spans="2:27" ht="12.95" customHeight="1">
      <c r="B52" s="6" t="s">
        <v>371</v>
      </c>
      <c r="C52" s="6" t="str">
        <f>"HET: Existing " &amp;MID(B52,4,3)&amp; "-based capacity"</f>
        <v>HET: Existing BCO-based capacity</v>
      </c>
      <c r="D52" s="6" t="s">
        <v>354</v>
      </c>
      <c r="E52" s="6" t="s">
        <v>409</v>
      </c>
      <c r="F52" s="6">
        <v>0.95</v>
      </c>
      <c r="G52" s="216">
        <f ca="1">OtherData!O36</f>
        <v>0.87565458000083785</v>
      </c>
      <c r="H52" s="216">
        <f ca="1">OtherData!P36</f>
        <v>0.87528443118059374</v>
      </c>
      <c r="I52" s="254">
        <f ca="1">MAX(0.01,OtherData!W127)</f>
        <v>0.34080106830740931</v>
      </c>
      <c r="J52" s="254">
        <f ca="1">MAX(0.01,OtherData!X127)</f>
        <v>0.01</v>
      </c>
      <c r="K52" s="254">
        <f ca="1">MAX(I52,OtherData!S36)</f>
        <v>0.5</v>
      </c>
      <c r="L52" s="252">
        <f ca="1">OtherData!O127</f>
        <v>1.568255875862937E-3</v>
      </c>
      <c r="M52" s="252">
        <f ca="1">OtherData!P127</f>
        <v>0</v>
      </c>
      <c r="N52" s="181" t="str">
        <f ca="1">IF(SUM(M52)&gt;0,OtherData!Q127,"")</f>
        <v/>
      </c>
      <c r="O52" s="252" t="str">
        <f ca="1">IF(SUM(M52)&gt;0,OtherData!R127,"")</f>
        <v/>
      </c>
      <c r="P52" s="252" t="str">
        <f ca="1">IF(SUM(O52)&gt;0,OtherData!S127,"")</f>
        <v/>
      </c>
      <c r="Q52" s="252" t="str">
        <f ca="1">IF(SUM(P52)&gt;0,OtherData!T127,"")</f>
        <v/>
      </c>
      <c r="R52" s="252" t="str">
        <f ca="1">IF(SUM(Q52)&gt;0,OtherData!U127,"")</f>
        <v/>
      </c>
      <c r="S52" s="252" t="str">
        <f ca="1">IF(SUM(R52)&gt;0,OtherData!V127,"")</f>
        <v/>
      </c>
      <c r="T52" s="252"/>
      <c r="U52" s="252"/>
      <c r="V52" s="335">
        <f ca="1">3.6*8.76*V$1*SHCAP</f>
        <v>31.536000000000001</v>
      </c>
      <c r="W52" s="6"/>
      <c r="X52" s="6"/>
      <c r="Y52" s="6"/>
      <c r="Z52" s="6"/>
      <c r="AA52" s="6"/>
    </row>
    <row r="53" spans="2:27" ht="12.95" customHeight="1">
      <c r="B53" s="6" t="s">
        <v>358</v>
      </c>
      <c r="C53" s="6" t="str">
        <f>"HET: Existing " &amp;MID(B53,4,3)&amp; "-based capacity"</f>
        <v>HET: Existing BIO-based capacity</v>
      </c>
      <c r="D53" s="6" t="s">
        <v>152</v>
      </c>
      <c r="E53" s="6" t="s">
        <v>409</v>
      </c>
      <c r="F53" s="6">
        <v>0.95</v>
      </c>
      <c r="G53" s="216">
        <f ca="1">OtherData!O37</f>
        <v>0.8928512943894179</v>
      </c>
      <c r="H53" s="216">
        <f ca="1">OtherData!P37</f>
        <v>0.87533502857300338</v>
      </c>
      <c r="I53" s="254">
        <f ca="1">MAX(0.01,OtherData!W128)</f>
        <v>0.34080106832866813</v>
      </c>
      <c r="J53" s="254">
        <f ca="1">MAX(0.01,OtherData!X128)</f>
        <v>0.3508308977973249</v>
      </c>
      <c r="K53" s="254">
        <f ca="1">MAX(I53,OtherData!S37)</f>
        <v>0.5</v>
      </c>
      <c r="L53" s="252">
        <f ca="1">OtherData!O128</f>
        <v>9.1360116115730347E-2</v>
      </c>
      <c r="M53" s="252">
        <f ca="1">OtherData!P128</f>
        <v>0.45389228516018854</v>
      </c>
      <c r="N53" s="181">
        <f ca="1">IF(SUM(M53)&gt;0,OtherData!Q128,"")</f>
        <v>0.38690818140306821</v>
      </c>
      <c r="O53" s="252">
        <f ca="1">IF(SUM(M53)&gt;0,OtherData!R128,"")</f>
        <v>0.45389228516018854</v>
      </c>
      <c r="P53" s="252">
        <f ca="1">IF(SUM(O53)&gt;0,OtherData!S128,"")</f>
        <v>0.45389228516018854</v>
      </c>
      <c r="Q53" s="252">
        <f ca="1">IF(SUM(P53)&gt;0,OtherData!T128,"")</f>
        <v>0.45389228516018854</v>
      </c>
      <c r="R53" s="252">
        <f ca="1">IF(SUM(Q53)&gt;0,OtherData!U128,"")</f>
        <v>0.41990035191030661</v>
      </c>
      <c r="S53" s="252">
        <f ca="1">IF(SUM(R53)&gt;0,OtherData!V128,"")</f>
        <v>0</v>
      </c>
      <c r="T53" s="252"/>
      <c r="U53" s="252"/>
      <c r="V53" s="335">
        <f ca="1">3.6*8.76*V$1*SHCAP</f>
        <v>31.536000000000001</v>
      </c>
      <c r="W53" s="6"/>
      <c r="X53" s="6"/>
      <c r="Y53" s="6"/>
      <c r="Z53" s="6"/>
      <c r="AA53" s="6"/>
    </row>
    <row r="54" spans="2:27" ht="12.95" customHeight="1">
      <c r="B54" s="257" t="s">
        <v>59</v>
      </c>
      <c r="C54" s="257"/>
      <c r="D54" s="257"/>
      <c r="E54" s="257"/>
      <c r="F54" s="257"/>
      <c r="G54" s="257"/>
      <c r="H54" s="257"/>
      <c r="I54" s="257"/>
      <c r="J54" s="257"/>
      <c r="K54" s="257"/>
      <c r="L54" s="181"/>
      <c r="M54" s="181"/>
      <c r="N54" s="181"/>
      <c r="O54" s="181"/>
      <c r="P54" s="181"/>
      <c r="Q54" s="181"/>
      <c r="R54" s="181"/>
      <c r="S54" s="181"/>
      <c r="T54" s="257"/>
      <c r="U54" s="257"/>
      <c r="V54" s="337"/>
      <c r="W54" s="257"/>
      <c r="X54" s="257"/>
      <c r="Y54" s="257"/>
      <c r="Z54" s="257"/>
      <c r="AA54" s="257"/>
    </row>
    <row r="55" spans="2:27" ht="12.95" customHeight="1">
      <c r="B55" s="6" t="s">
        <v>359</v>
      </c>
      <c r="C55" s="6" t="str">
        <f>"HET: Existing " &amp;MID(B55,4,3)&amp; "-based capacity"</f>
        <v>HET: Existing OIL-based capacity</v>
      </c>
      <c r="D55" s="6" t="s">
        <v>56</v>
      </c>
      <c r="E55" s="6" t="s">
        <v>410</v>
      </c>
      <c r="F55" s="6">
        <v>0.95</v>
      </c>
      <c r="G55" s="216">
        <f ca="1">OtherData!O33</f>
        <v>0.93259286524837837</v>
      </c>
      <c r="H55" s="216">
        <f ca="1">OtherData!P33</f>
        <v>0.89635726264551518</v>
      </c>
      <c r="I55" s="254">
        <f ca="1">MAX(0.01,OtherData!W129)</f>
        <v>4.7239916186471893E-2</v>
      </c>
      <c r="J55" s="254">
        <f ca="1">MAX(0.01,OtherData!X129)</f>
        <v>2.8250030633886369E-2</v>
      </c>
      <c r="K55" s="254">
        <f ca="1">MAX(I55,OtherData!S33)</f>
        <v>0.2</v>
      </c>
      <c r="L55" s="252">
        <f ca="1">OtherData!O129</f>
        <v>0.58270174129841557</v>
      </c>
      <c r="M55" s="252">
        <f ca="1">OtherData!P129</f>
        <v>0.35902000000000006</v>
      </c>
      <c r="N55" s="181">
        <f ca="1">IF(SUM(M55)&gt;0,OtherData!Q129,"")</f>
        <v>0.35902000000000006</v>
      </c>
      <c r="O55" s="252">
        <f ca="1">IF(SUM(M55)&gt;0,OtherData!R129,"")</f>
        <v>0.24103286366674095</v>
      </c>
      <c r="P55" s="252">
        <f ca="1">IF(SUM(O55)&gt;0,OtherData!S129,"")</f>
        <v>0.12826427378035202</v>
      </c>
      <c r="Q55" s="252">
        <f ca="1">IF(SUM(P55)&gt;0,OtherData!T129,"")</f>
        <v>0.10607045555803075</v>
      </c>
      <c r="R55" s="252">
        <f ca="1">IF(SUM(Q55)&gt;0,OtherData!U129,"")</f>
        <v>1.9994430830920029E-4</v>
      </c>
      <c r="S55" s="252">
        <f ca="1">IF(SUM(R55)&gt;0,OtherData!V129,"")</f>
        <v>0</v>
      </c>
      <c r="T55" s="252"/>
      <c r="U55" s="252"/>
      <c r="V55" s="335">
        <f ca="1">3.6*8.76*V$1*SHCAP</f>
        <v>31.536000000000001</v>
      </c>
      <c r="W55" s="6"/>
      <c r="X55" s="6"/>
      <c r="Y55" s="6"/>
      <c r="Z55" s="6"/>
      <c r="AA55" s="6"/>
    </row>
    <row r="56" spans="2:27" ht="12.95" customHeight="1">
      <c r="B56" s="6" t="s">
        <v>360</v>
      </c>
      <c r="C56" s="6" t="str">
        <f>"HET: Existing " &amp;MID(B56,4,3)&amp; "-based capacity"</f>
        <v>HET: Existing GAS-based capacity</v>
      </c>
      <c r="D56" s="6" t="s">
        <v>151</v>
      </c>
      <c r="E56" s="6" t="s">
        <v>410</v>
      </c>
      <c r="F56" s="6">
        <v>0.95</v>
      </c>
      <c r="G56" s="216">
        <f ca="1">OtherData!O34</f>
        <v>0.93738215230587008</v>
      </c>
      <c r="H56" s="216">
        <f ca="1">OtherData!P34</f>
        <v>0.85753148690113878</v>
      </c>
      <c r="I56" s="254">
        <f ca="1">MAX(0.01,OtherData!W130)</f>
        <v>0.18895966473963666</v>
      </c>
      <c r="J56" s="254">
        <f ca="1">MAX(0.01,OtherData!X130)</f>
        <v>5.137354032605887E-2</v>
      </c>
      <c r="K56" s="254">
        <f ca="1">MAX(I56,OtherData!S34)</f>
        <v>0.3</v>
      </c>
      <c r="L56" s="252">
        <f ca="1">OtherData!O130</f>
        <v>1.1171674969933869</v>
      </c>
      <c r="M56" s="252">
        <f ca="1">OtherData!P130</f>
        <v>1.0664400000000001</v>
      </c>
      <c r="N56" s="181">
        <f ca="1">IF(SUM(M56)&gt;0,OtherData!Q130,"")</f>
        <v>1.1782999999999999</v>
      </c>
      <c r="O56" s="252">
        <f ca="1">IF(SUM(M56)&gt;0,OtherData!R130,"")</f>
        <v>0.89890000000000003</v>
      </c>
      <c r="P56" s="252">
        <f ca="1">IF(SUM(O56)&gt;0,OtherData!S130,"")</f>
        <v>0.48460000000000003</v>
      </c>
      <c r="Q56" s="252">
        <f ca="1">IF(SUM(P56)&gt;0,OtherData!T130,"")</f>
        <v>0.40610000000000002</v>
      </c>
      <c r="R56" s="252">
        <f ca="1">IF(SUM(Q56)&gt;0,OtherData!U130,"")</f>
        <v>2.2499999999999999E-2</v>
      </c>
      <c r="S56" s="252">
        <f ca="1">IF(SUM(R56)&gt;0,OtherData!V130,"")</f>
        <v>0</v>
      </c>
      <c r="T56" s="252"/>
      <c r="U56" s="252"/>
      <c r="V56" s="335">
        <f ca="1">3.6*8.76*V$1*SHCAP</f>
        <v>31.536000000000001</v>
      </c>
      <c r="W56" s="6"/>
      <c r="X56" s="6"/>
      <c r="Y56" s="6"/>
      <c r="Z56" s="6"/>
      <c r="AA56" s="6"/>
    </row>
    <row r="57" spans="2:27" ht="12.95" customHeight="1">
      <c r="B57" s="6" t="s">
        <v>361</v>
      </c>
      <c r="C57" s="6" t="str">
        <f>"HET: Existing " &amp;MID(B57,4,3)&amp; "-based capacity"</f>
        <v>HET: Existing COA-based capacity</v>
      </c>
      <c r="D57" s="6" t="s">
        <v>169</v>
      </c>
      <c r="E57" s="6" t="s">
        <v>410</v>
      </c>
      <c r="F57" s="6">
        <v>0.95</v>
      </c>
      <c r="G57" s="216">
        <f ca="1">OtherData!O35</f>
        <v>0.96364396322939583</v>
      </c>
      <c r="H57" s="216">
        <f ca="1">OtherData!P35</f>
        <v>0.71932751691621577</v>
      </c>
      <c r="I57" s="254">
        <f ca="1">MAX(0.01,OtherData!W131)</f>
        <v>0.37791932686736279</v>
      </c>
      <c r="J57" s="254">
        <f ca="1">MAX(0.01,OtherData!X131)</f>
        <v>0.01</v>
      </c>
      <c r="K57" s="254">
        <f ca="1">MAX(I57,OtherData!S35)</f>
        <v>0.5</v>
      </c>
      <c r="L57" s="252">
        <f ca="1">OtherData!O131</f>
        <v>2.7985345678422924E-3</v>
      </c>
      <c r="M57" s="252">
        <f ca="1">OtherData!P131</f>
        <v>0</v>
      </c>
      <c r="N57" s="181" t="str">
        <f ca="1">IF(SUM(M57)&gt;0,OtherData!Q131,"")</f>
        <v/>
      </c>
      <c r="O57" s="252" t="str">
        <f ca="1">IF(SUM(M57)&gt;0,OtherData!R131,"")</f>
        <v/>
      </c>
      <c r="P57" s="252" t="str">
        <f ca="1">IF(SUM(O57)&gt;0,OtherData!S131,"")</f>
        <v/>
      </c>
      <c r="Q57" s="252" t="str">
        <f ca="1">IF(SUM(P57)&gt;0,OtherData!T131,"")</f>
        <v/>
      </c>
      <c r="R57" s="252" t="str">
        <f ca="1">IF(SUM(Q57)&gt;0,OtherData!U131,"")</f>
        <v/>
      </c>
      <c r="S57" s="252" t="str">
        <f ca="1">IF(SUM(R57)&gt;0,OtherData!V131,"")</f>
        <v/>
      </c>
      <c r="T57" s="252"/>
      <c r="U57" s="252"/>
      <c r="V57" s="335">
        <f ca="1">3.6*8.76*V$1*SHCAP</f>
        <v>31.536000000000001</v>
      </c>
      <c r="W57" s="6"/>
      <c r="X57" s="6"/>
      <c r="Y57" s="6"/>
      <c r="Z57" s="6"/>
      <c r="AA57" s="6"/>
    </row>
    <row r="58" spans="2:27" ht="12.95" customHeight="1">
      <c r="B58" s="6" t="s">
        <v>374</v>
      </c>
      <c r="C58" s="6" t="str">
        <f>"HET: Existing " &amp;MID(B58,4,3)&amp; "-based capacity"</f>
        <v>HET: Existing BCO-based capacity</v>
      </c>
      <c r="D58" s="6" t="s">
        <v>354</v>
      </c>
      <c r="E58" s="6" t="s">
        <v>410</v>
      </c>
      <c r="F58" s="6">
        <v>0.95</v>
      </c>
      <c r="G58" s="216">
        <f ca="1">OtherData!O36</f>
        <v>0.87565458000083785</v>
      </c>
      <c r="H58" s="216">
        <f ca="1">OtherData!P36</f>
        <v>0.87528443118059374</v>
      </c>
      <c r="I58" s="254">
        <f ca="1">MAX(0.01,OtherData!W132)</f>
        <v>0.3779193294559457</v>
      </c>
      <c r="J58" s="254">
        <f ca="1">MAX(0.01,OtherData!X132)</f>
        <v>0.38108864981590862</v>
      </c>
      <c r="K58" s="254">
        <f ca="1">MAX(I58,OtherData!S36)</f>
        <v>0.5</v>
      </c>
      <c r="L58" s="252">
        <f ca="1">OtherData!O132</f>
        <v>7.7427068120342448E-3</v>
      </c>
      <c r="M58" s="252">
        <f ca="1">OtherData!P132</f>
        <v>1.7323807092178276E-2</v>
      </c>
      <c r="N58" s="181">
        <f ca="1">IF(SUM(M58)&gt;0,OtherData!Q132,"")</f>
        <v>1.7007009849876648E-2</v>
      </c>
      <c r="O58" s="252">
        <f ca="1">IF(SUM(M58)&gt;0,OtherData!R132,"")</f>
        <v>1.7323807092178276E-2</v>
      </c>
      <c r="P58" s="252">
        <f ca="1">IF(SUM(O58)&gt;0,OtherData!S132,"")</f>
        <v>1.7038272735630102E-2</v>
      </c>
      <c r="Q58" s="252">
        <f ca="1">IF(SUM(P58)&gt;0,OtherData!T132,"")</f>
        <v>1.7038272735630102E-2</v>
      </c>
      <c r="R58" s="252">
        <f ca="1">IF(SUM(Q58)&gt;0,OtherData!U132,"")</f>
        <v>1.5725231533985213E-2</v>
      </c>
      <c r="S58" s="252">
        <f ca="1">IF(SUM(R58)&gt;0,OtherData!V132,"")</f>
        <v>0</v>
      </c>
      <c r="T58" s="252"/>
      <c r="U58" s="252"/>
      <c r="V58" s="335">
        <f ca="1">3.6*8.76*V$1*SHCAP</f>
        <v>31.536000000000001</v>
      </c>
      <c r="W58" s="6"/>
      <c r="X58" s="6"/>
      <c r="Y58" s="6"/>
      <c r="Z58" s="6"/>
      <c r="AA58" s="6"/>
    </row>
    <row r="59" spans="2:27" ht="12.95" customHeight="1">
      <c r="B59" s="6" t="s">
        <v>362</v>
      </c>
      <c r="C59" s="6" t="str">
        <f>"HET: Existing " &amp;MID(B59,4,3)&amp; "-based capacity"</f>
        <v>HET: Existing BIO-based capacity</v>
      </c>
      <c r="D59" s="6" t="s">
        <v>152</v>
      </c>
      <c r="E59" s="6" t="s">
        <v>410</v>
      </c>
      <c r="F59" s="6">
        <v>0.95</v>
      </c>
      <c r="G59" s="216">
        <f ca="1">OtherData!O37</f>
        <v>0.8928512943894179</v>
      </c>
      <c r="H59" s="216">
        <f ca="1">OtherData!P37</f>
        <v>0.87533502857300338</v>
      </c>
      <c r="I59" s="254">
        <f ca="1">MAX(0.01,OtherData!W133)</f>
        <v>0.37791932947951995</v>
      </c>
      <c r="J59" s="254">
        <f ca="1">MAX(0.01,OtherData!X133)</f>
        <v>0.38108864987525226</v>
      </c>
      <c r="K59" s="254">
        <f ca="1">MAX(I59,OtherData!S37)</f>
        <v>0.5</v>
      </c>
      <c r="L59" s="252">
        <f ca="1">OtherData!O133</f>
        <v>6.9780691588279389E-2</v>
      </c>
      <c r="M59" s="252">
        <f ca="1">OtherData!P133</f>
        <v>0.35158177557786102</v>
      </c>
      <c r="N59" s="181">
        <f ca="1">IF(SUM(M59)&gt;0,OtherData!Q133,"")</f>
        <v>0.34515246495612917</v>
      </c>
      <c r="O59" s="252">
        <f ca="1">IF(SUM(M59)&gt;0,OtherData!R133,"")</f>
        <v>0.35158177557786102</v>
      </c>
      <c r="P59" s="252">
        <f ca="1">IF(SUM(O59)&gt;0,OtherData!S133,"")</f>
        <v>0.34578693639906327</v>
      </c>
      <c r="Q59" s="252">
        <f ca="1">IF(SUM(P59)&gt;0,OtherData!T133,"")</f>
        <v>0.34578693639906327</v>
      </c>
      <c r="R59" s="252">
        <f ca="1">IF(SUM(Q59)&gt;0,OtherData!U133,"")</f>
        <v>0.3191391357958327</v>
      </c>
      <c r="S59" s="252">
        <f ca="1">IF(SUM(R59)&gt;0,OtherData!V133,"")</f>
        <v>0</v>
      </c>
      <c r="T59" s="252"/>
      <c r="U59" s="252"/>
      <c r="V59" s="335">
        <f ca="1">3.6*8.76*V$1*SHCAP</f>
        <v>31.536000000000001</v>
      </c>
      <c r="W59" s="6"/>
      <c r="X59" s="6"/>
      <c r="Y59" s="6"/>
      <c r="Z59" s="6"/>
      <c r="AA59" s="6"/>
    </row>
    <row r="60" spans="2:27" ht="12.95" customHeight="1">
      <c r="B60" s="257" t="s">
        <v>59</v>
      </c>
      <c r="C60" s="257"/>
      <c r="D60" s="257"/>
      <c r="E60" s="257"/>
      <c r="F60" s="257"/>
      <c r="G60" s="257"/>
      <c r="H60" s="257"/>
      <c r="I60" s="257"/>
      <c r="J60" s="257"/>
      <c r="K60" s="257"/>
      <c r="L60" s="181"/>
      <c r="M60" s="181"/>
      <c r="N60" s="181"/>
      <c r="O60" s="181"/>
      <c r="P60" s="181"/>
      <c r="Q60" s="181"/>
      <c r="R60" s="181"/>
      <c r="S60" s="181"/>
      <c r="T60" s="257"/>
      <c r="U60" s="257"/>
      <c r="V60" s="337"/>
      <c r="W60" s="257"/>
      <c r="X60" s="257"/>
      <c r="Y60" s="257"/>
      <c r="Z60" s="257"/>
      <c r="AA60" s="257"/>
    </row>
    <row r="61" spans="2:27" ht="12.95" customHeight="1">
      <c r="B61" s="6" t="s">
        <v>363</v>
      </c>
      <c r="C61" s="6" t="str">
        <f>"HET: Existing " &amp;MID(B61,4,3)&amp; "-based capacity"</f>
        <v>HET: Existing OIL-based capacity</v>
      </c>
      <c r="D61" s="6" t="s">
        <v>56</v>
      </c>
      <c r="E61" s="6" t="s">
        <v>411</v>
      </c>
      <c r="F61" s="6">
        <v>0.95</v>
      </c>
      <c r="G61" s="216">
        <f ca="1">OtherData!O33</f>
        <v>0.93259286524837837</v>
      </c>
      <c r="H61" s="216">
        <f ca="1">OtherData!P33</f>
        <v>0.89635726264551518</v>
      </c>
      <c r="I61" s="254">
        <f ca="1">MAX(0.01,OtherData!W134)</f>
        <v>4.902697681259572E-2</v>
      </c>
      <c r="J61" s="254">
        <f ca="1">MAX(0.01,OtherData!X134)</f>
        <v>2.0789873819012906E-2</v>
      </c>
      <c r="K61" s="254">
        <f ca="1">MAX(I61,OtherData!S33)</f>
        <v>0.2</v>
      </c>
      <c r="L61" s="252">
        <f ca="1">OtherData!O134</f>
        <v>1.9860648951120856</v>
      </c>
      <c r="M61" s="252">
        <f ca="1">OtherData!P134</f>
        <v>1.5312399999999999</v>
      </c>
      <c r="N61" s="181">
        <f ca="1">IF(SUM(M61)&gt;0,OtherData!Q134,"")</f>
        <v>1.5312399999999999</v>
      </c>
      <c r="O61" s="252">
        <f ca="1">IF(SUM(M61)&gt;0,OtherData!R134,"")</f>
        <v>1.2163205663014094</v>
      </c>
      <c r="P61" s="252">
        <f ca="1">IF(SUM(O61)&gt;0,OtherData!S134,"")</f>
        <v>0.78584867893478905</v>
      </c>
      <c r="Q61" s="252">
        <f ca="1">IF(SUM(P61)&gt;0,OtherData!T134,"")</f>
        <v>0.61385991092768422</v>
      </c>
      <c r="R61" s="252">
        <f ca="1">IF(SUM(Q61)&gt;0,OtherData!U134,"")</f>
        <v>0</v>
      </c>
      <c r="S61" s="252" t="str">
        <f ca="1">IF(SUM(R61)&gt;0,OtherData!V134,"")</f>
        <v/>
      </c>
      <c r="T61" s="252"/>
      <c r="U61" s="252"/>
      <c r="V61" s="335">
        <f ca="1">3.6*8.76*V$1*SHCAP</f>
        <v>31.536000000000001</v>
      </c>
      <c r="W61" s="6"/>
      <c r="X61" s="6"/>
      <c r="Y61" s="6"/>
      <c r="Z61" s="6"/>
      <c r="AA61" s="6"/>
    </row>
    <row r="62" spans="2:27" ht="12.95" customHeight="1">
      <c r="B62" s="6" t="s">
        <v>364</v>
      </c>
      <c r="C62" s="6" t="str">
        <f>"HET: Existing " &amp;MID(B62,4,3)&amp; "-based capacity"</f>
        <v>HET: Existing GAS-based capacity</v>
      </c>
      <c r="D62" s="6" t="s">
        <v>151</v>
      </c>
      <c r="E62" s="6" t="s">
        <v>411</v>
      </c>
      <c r="F62" s="6">
        <v>0.95</v>
      </c>
      <c r="G62" s="216">
        <f ca="1">OtherData!O34</f>
        <v>0.93738215230587008</v>
      </c>
      <c r="H62" s="216">
        <f ca="1">OtherData!P34</f>
        <v>0.85753148690113878</v>
      </c>
      <c r="I62" s="254">
        <f ca="1">MAX(0.01,OtherData!W135)</f>
        <v>0.19610790724389549</v>
      </c>
      <c r="J62" s="254">
        <f ca="1">MAX(0.01,OtherData!X135)</f>
        <v>0.01</v>
      </c>
      <c r="K62" s="254">
        <f ca="1">MAX(I62,OtherData!S34)</f>
        <v>0.3</v>
      </c>
      <c r="L62" s="252">
        <f ca="1">OtherData!O135</f>
        <v>1.9132894092633766E-2</v>
      </c>
      <c r="M62" s="252">
        <f ca="1">OtherData!P135</f>
        <v>5.3134000000000017E-5</v>
      </c>
      <c r="N62" s="181">
        <f ca="1">IF(SUM(M62)&gt;0,OtherData!Q135,"")</f>
        <v>1.7413000000000002E-4</v>
      </c>
      <c r="O62" s="252">
        <f ca="1">IF(SUM(M62)&gt;0,OtherData!R135,"")</f>
        <v>1.2164000000000001E-4</v>
      </c>
      <c r="P62" s="252">
        <f ca="1">IF(SUM(O62)&gt;0,OtherData!S135,"")</f>
        <v>7.8589999999999991E-5</v>
      </c>
      <c r="Q62" s="252">
        <f ca="1">IF(SUM(P62)&gt;0,OtherData!T135,"")</f>
        <v>6.1390000000000007E-5</v>
      </c>
      <c r="R62" s="252">
        <f ca="1">IF(SUM(Q62)&gt;0,OtherData!U135,"")</f>
        <v>0</v>
      </c>
      <c r="S62" s="252" t="str">
        <f ca="1">IF(SUM(R62)&gt;0,OtherData!V135,"")</f>
        <v/>
      </c>
      <c r="T62" s="252"/>
      <c r="U62" s="252"/>
      <c r="V62" s="335">
        <f ca="1">3.6*8.76*V$1*SHCAP</f>
        <v>31.536000000000001</v>
      </c>
      <c r="W62" s="6"/>
      <c r="X62" s="6"/>
      <c r="Y62" s="6"/>
      <c r="Z62" s="6"/>
      <c r="AA62" s="6"/>
    </row>
    <row r="63" spans="2:27" ht="12.95" customHeight="1">
      <c r="B63" s="6" t="s">
        <v>365</v>
      </c>
      <c r="C63" s="6" t="str">
        <f>"HET: Existing " &amp;MID(B63,4,3)&amp; "-based capacity"</f>
        <v>HET: Existing COA-based capacity</v>
      </c>
      <c r="D63" s="6" t="s">
        <v>169</v>
      </c>
      <c r="E63" s="6" t="s">
        <v>411</v>
      </c>
      <c r="F63" s="6">
        <v>0.95</v>
      </c>
      <c r="G63" s="216">
        <f ca="1">OtherData!O35</f>
        <v>0.96364396322939583</v>
      </c>
      <c r="H63" s="216">
        <f ca="1">OtherData!P35</f>
        <v>0.71932751691621577</v>
      </c>
      <c r="I63" s="254">
        <f ca="1">MAX(0.01,OtherData!W136)</f>
        <v>0.3195861303645533</v>
      </c>
      <c r="J63" s="254">
        <f ca="1">MAX(0.01,OtherData!X136)</f>
        <v>0.30274977316118012</v>
      </c>
      <c r="K63" s="254">
        <f ca="1">MAX(I63,OtherData!S35)</f>
        <v>0.5</v>
      </c>
      <c r="L63" s="252">
        <f ca="1">OtherData!O136</f>
        <v>1.6908E-4</v>
      </c>
      <c r="M63" s="252">
        <f ca="1">OtherData!P136</f>
        <v>2.984742020000561E-3</v>
      </c>
      <c r="N63" s="181">
        <f ca="1">IF(SUM(M63)&gt;0,OtherData!Q136,"")</f>
        <v>2.984742020000561E-3</v>
      </c>
      <c r="O63" s="252">
        <f ca="1">IF(SUM(M63)&gt;0,OtherData!R136,"")</f>
        <v>2.3708909798795057E-3</v>
      </c>
      <c r="P63" s="252">
        <f ca="1">IF(SUM(O63)&gt;0,OtherData!S136,"")</f>
        <v>1.5318013984604597E-3</v>
      </c>
      <c r="Q63" s="252">
        <f ca="1">IF(SUM(P63)&gt;0,OtherData!T136,"")</f>
        <v>1.1965553868365903E-3</v>
      </c>
      <c r="R63" s="252">
        <f ca="1">IF(SUM(Q63)&gt;0,OtherData!U136,"")</f>
        <v>0</v>
      </c>
      <c r="S63" s="252" t="str">
        <f ca="1">IF(SUM(R63)&gt;0,OtherData!V136,"")</f>
        <v/>
      </c>
      <c r="T63" s="252"/>
      <c r="U63" s="252"/>
      <c r="V63" s="335">
        <f ca="1">3.6*8.76*V$1*SHCAP</f>
        <v>31.536000000000001</v>
      </c>
      <c r="W63" s="6"/>
      <c r="X63" s="6"/>
      <c r="Y63" s="6"/>
      <c r="Z63" s="6"/>
      <c r="AA63" s="6"/>
    </row>
    <row r="64" spans="2:27" ht="12.95" customHeight="1">
      <c r="B64" s="6" t="s">
        <v>373</v>
      </c>
      <c r="C64" s="6" t="str">
        <f>"HET: Existing " &amp;MID(B64,4,3)&amp; "-based capacity"</f>
        <v>HET: Existing BCO-based capacity</v>
      </c>
      <c r="D64" s="6" t="s">
        <v>354</v>
      </c>
      <c r="E64" s="6" t="s">
        <v>411</v>
      </c>
      <c r="F64" s="6">
        <v>0.95</v>
      </c>
      <c r="G64" s="216">
        <f ca="1">OtherData!O36</f>
        <v>0.87565458000083785</v>
      </c>
      <c r="H64" s="216">
        <f ca="1">OtherData!P36</f>
        <v>0.87528443118059374</v>
      </c>
      <c r="I64" s="254">
        <f ca="1">MAX(0.01,OtherData!W137)</f>
        <v>0.39221581446358084</v>
      </c>
      <c r="J64" s="254">
        <f ca="1">MAX(0.01,OtherData!X137)</f>
        <v>0.30274977365074934</v>
      </c>
      <c r="K64" s="254">
        <f ca="1">MAX(I64,OtherData!S36)</f>
        <v>0.5</v>
      </c>
      <c r="L64" s="252">
        <f ca="1">OtherData!O137</f>
        <v>0.11982437966932871</v>
      </c>
      <c r="M64" s="252">
        <f ca="1">OtherData!P137</f>
        <v>0.10538431340708615</v>
      </c>
      <c r="N64" s="181">
        <f ca="1">IF(SUM(M64)&gt;0,OtherData!Q137,"")</f>
        <v>0.10538431340708615</v>
      </c>
      <c r="O64" s="252">
        <f ca="1">IF(SUM(M64)&gt;0,OtherData!R137,"")</f>
        <v>7.9251563624964591E-2</v>
      </c>
      <c r="P64" s="252">
        <f ca="1">IF(SUM(O64)&gt;0,OtherData!S137,"")</f>
        <v>7.4096123191756944E-2</v>
      </c>
      <c r="Q64" s="252">
        <f ca="1">IF(SUM(P64)&gt;0,OtherData!T137,"")</f>
        <v>7.2673932727423785E-2</v>
      </c>
      <c r="R64" s="252">
        <f ca="1">IF(SUM(Q64)&gt;0,OtherData!U137,"")</f>
        <v>4.6754511514952191E-2</v>
      </c>
      <c r="S64" s="252">
        <f ca="1">IF(SUM(R64)&gt;0,OtherData!V137,"")</f>
        <v>0</v>
      </c>
      <c r="T64" s="252"/>
      <c r="U64" s="252"/>
      <c r="V64" s="335">
        <f ca="1">3.6*8.76*V$1*SHCAP</f>
        <v>31.536000000000001</v>
      </c>
      <c r="W64" s="6"/>
      <c r="X64" s="6"/>
      <c r="Y64" s="6"/>
      <c r="Z64" s="6"/>
      <c r="AA64" s="6"/>
    </row>
    <row r="65" spans="2:27" ht="12.95" customHeight="1">
      <c r="B65" s="6" t="s">
        <v>366</v>
      </c>
      <c r="C65" s="6" t="str">
        <f>"HET: Existing " &amp;MID(B65,4,3)&amp; "-based capacity"</f>
        <v>HET: Existing BIO-based capacity</v>
      </c>
      <c r="D65" s="6" t="s">
        <v>152</v>
      </c>
      <c r="E65" s="6" t="s">
        <v>411</v>
      </c>
      <c r="F65" s="6">
        <v>0.95</v>
      </c>
      <c r="G65" s="216">
        <f ca="1">OtherData!O37</f>
        <v>0.8928512943894179</v>
      </c>
      <c r="H65" s="216">
        <f ca="1">OtherData!P37</f>
        <v>0.87533502857300338</v>
      </c>
      <c r="I65" s="254">
        <f ca="1">MAX(0.01,OtherData!W138)</f>
        <v>0.12503246505953711</v>
      </c>
      <c r="J65" s="254">
        <f ca="1">MAX(0.01,OtherData!X138)</f>
        <v>0.30274977369789385</v>
      </c>
      <c r="K65" s="254">
        <f ca="1">MAX(I65,OtherData!S37)</f>
        <v>0.5</v>
      </c>
      <c r="L65" s="252">
        <f ca="1">OtherData!O138</f>
        <v>0.21407562033067126</v>
      </c>
      <c r="M65" s="252">
        <f ca="1">OtherData!P138</f>
        <v>0.28010537714756245</v>
      </c>
      <c r="N65" s="181">
        <f ca="1">IF(SUM(M65)&gt;0,OtherData!Q138,"")</f>
        <v>0.28010537714756245</v>
      </c>
      <c r="O65" s="252">
        <f ca="1">IF(SUM(M65)&gt;0,OtherData!R138,"")</f>
        <v>0.21064604779416896</v>
      </c>
      <c r="P65" s="252">
        <f ca="1">IF(SUM(O65)&gt;0,OtherData!S138,"")</f>
        <v>0.19694318690132262</v>
      </c>
      <c r="Q65" s="252">
        <f ca="1">IF(SUM(P65)&gt;0,OtherData!T138,"")</f>
        <v>0.19316308734467533</v>
      </c>
      <c r="R65" s="252">
        <f ca="1">IF(SUM(Q65)&gt;0,OtherData!U138,"")</f>
        <v>0.12427077292477891</v>
      </c>
      <c r="S65" s="252">
        <f ca="1">IF(SUM(R65)&gt;0,OtherData!V138,"")</f>
        <v>0</v>
      </c>
      <c r="T65" s="252"/>
      <c r="U65" s="252"/>
      <c r="V65" s="335">
        <f ca="1">3.6*8.76*V$1*SHCAP</f>
        <v>31.536000000000001</v>
      </c>
      <c r="W65" s="6"/>
      <c r="X65" s="6"/>
      <c r="Y65" s="6"/>
      <c r="Z65" s="6"/>
      <c r="AA65" s="6"/>
    </row>
    <row r="66" spans="2:27" ht="12.95" customHeight="1">
      <c r="B66" s="257" t="s">
        <v>59</v>
      </c>
      <c r="C66" s="257"/>
      <c r="D66" s="257"/>
      <c r="E66" s="257"/>
      <c r="F66" s="257"/>
      <c r="G66" s="257"/>
      <c r="H66" s="257"/>
      <c r="I66" s="257"/>
      <c r="J66" s="257"/>
      <c r="K66" s="257"/>
      <c r="L66" s="181"/>
      <c r="M66" s="181"/>
      <c r="N66" s="181"/>
      <c r="O66" s="181"/>
      <c r="P66" s="181"/>
      <c r="Q66" s="181"/>
      <c r="R66" s="181"/>
      <c r="S66" s="181"/>
      <c r="T66" s="257"/>
      <c r="U66" s="257"/>
      <c r="V66" s="337"/>
      <c r="W66" s="257"/>
      <c r="X66" s="257"/>
      <c r="Y66" s="257"/>
      <c r="Z66" s="257"/>
      <c r="AA66" s="257"/>
    </row>
    <row r="67" spans="2:27" ht="12.95" customHeight="1">
      <c r="B67" s="6" t="s">
        <v>367</v>
      </c>
      <c r="C67" s="6" t="str">
        <f>"HET: Existing " &amp;MID(B67,4,3)&amp; "-based capacity"</f>
        <v>HET: Existing OIL-based capacity</v>
      </c>
      <c r="D67" s="6" t="s">
        <v>56</v>
      </c>
      <c r="E67" s="6" t="s">
        <v>412</v>
      </c>
      <c r="F67" s="6">
        <v>0.95</v>
      </c>
      <c r="G67" s="216">
        <f ca="1">OtherData!O33</f>
        <v>0.93259286524837837</v>
      </c>
      <c r="H67" s="216">
        <f ca="1">OtherData!P33</f>
        <v>0.89635726264551518</v>
      </c>
      <c r="I67" s="254">
        <f ca="1">MAX(0.01,OtherData!W139)</f>
        <v>7.3717533149251613E-2</v>
      </c>
      <c r="J67" s="254">
        <f ca="1">MAX(0.01,OtherData!X139)</f>
        <v>4.933375941521715E-2</v>
      </c>
      <c r="K67" s="254">
        <f ca="1">MAX(I67,OtherData!S33)</f>
        <v>0.2</v>
      </c>
      <c r="L67" s="252">
        <f ca="1">OtherData!O139</f>
        <v>2.8172890577360765</v>
      </c>
      <c r="M67" s="252">
        <f ca="1">OtherData!P139</f>
        <v>1.4474625444362257</v>
      </c>
      <c r="N67" s="181">
        <f ca="1">IF(SUM(M67)&gt;0,OtherData!Q139,"")</f>
        <v>1.4474625444362257</v>
      </c>
      <c r="O67" s="252">
        <f ca="1">IF(SUM(M67)&gt;0,OtherData!R139,"")</f>
        <v>1.1922848803524257</v>
      </c>
      <c r="P67" s="252">
        <f ca="1">IF(SUM(O67)&gt;0,OtherData!S139,"")</f>
        <v>0.64158361344622938</v>
      </c>
      <c r="Q67" s="252">
        <f ca="1">IF(SUM(P67)&gt;0,OtherData!T139,"")</f>
        <v>0.35853813600690426</v>
      </c>
      <c r="R67" s="252">
        <f ca="1">IF(SUM(Q67)&gt;0,OtherData!U139,"")</f>
        <v>6.7797814581351964E-2</v>
      </c>
      <c r="S67" s="252">
        <f ca="1">IF(SUM(R67)&gt;0,OtherData!V139,"")</f>
        <v>0</v>
      </c>
      <c r="T67" s="252"/>
      <c r="U67" s="252"/>
      <c r="V67" s="335">
        <f ca="1">3.6*8.76*V$1*SHCAP</f>
        <v>31.536000000000001</v>
      </c>
      <c r="W67" s="6"/>
      <c r="X67" s="6"/>
      <c r="Y67" s="6"/>
      <c r="Z67" s="6"/>
      <c r="AA67" s="6"/>
    </row>
    <row r="68" spans="2:27" ht="12.95" customHeight="1">
      <c r="B68" s="6" t="s">
        <v>368</v>
      </c>
      <c r="C68" s="6" t="str">
        <f>"HET: Existing " &amp;MID(B68,4,3)&amp; "-based capacity"</f>
        <v>HET: Existing GAS-based capacity</v>
      </c>
      <c r="D68" s="6" t="s">
        <v>151</v>
      </c>
      <c r="E68" s="6" t="s">
        <v>412</v>
      </c>
      <c r="F68" s="6">
        <v>0.95</v>
      </c>
      <c r="G68" s="216">
        <f ca="1">OtherData!O34</f>
        <v>0.93738215230587008</v>
      </c>
      <c r="H68" s="216">
        <f ca="1">OtherData!P34</f>
        <v>0.85753148690113878</v>
      </c>
      <c r="I68" s="254">
        <f ca="1">MAX(0.01,OtherData!W140)</f>
        <v>7.4445086517918688E-2</v>
      </c>
      <c r="J68" s="254">
        <f ca="1">MAX(0.01,OtherData!X140)</f>
        <v>3.1675852616164138E-2</v>
      </c>
      <c r="K68" s="254">
        <f ca="1">MAX(I68,OtherData!S34)</f>
        <v>0.3</v>
      </c>
      <c r="L68" s="252">
        <f ca="1">OtherData!O140</f>
        <v>1.04E-2</v>
      </c>
      <c r="M68" s="252">
        <f ca="1">OtherData!P140</f>
        <v>1.03E-2</v>
      </c>
      <c r="N68" s="181">
        <f ca="1">IF(SUM(M68)&gt;0,OtherData!Q140,"")</f>
        <v>1.04E-2</v>
      </c>
      <c r="O68" s="252">
        <f ca="1">IF(SUM(M68)&gt;0,OtherData!R140,"")</f>
        <v>1.04E-2</v>
      </c>
      <c r="P68" s="252">
        <f ca="1">IF(SUM(O68)&gt;0,OtherData!S140,"")</f>
        <v>1.04E-2</v>
      </c>
      <c r="Q68" s="252">
        <f ca="1">IF(SUM(P68)&gt;0,OtherData!T140,"")</f>
        <v>1.04E-2</v>
      </c>
      <c r="R68" s="252">
        <f ca="1">IF(SUM(Q68)&gt;0,OtherData!U140,"")</f>
        <v>6.5200000000000003E-6</v>
      </c>
      <c r="S68" s="252">
        <f ca="1">IF(SUM(R68)&gt;0,OtherData!V140,"")</f>
        <v>0</v>
      </c>
      <c r="T68" s="252"/>
      <c r="U68" s="252"/>
      <c r="V68" s="335">
        <f ca="1">3.6*8.76*V$1*SHCAP</f>
        <v>31.536000000000001</v>
      </c>
      <c r="W68" s="6"/>
      <c r="X68" s="6"/>
      <c r="Y68" s="6"/>
      <c r="Z68" s="6"/>
      <c r="AA68" s="6"/>
    </row>
    <row r="69" spans="2:27" ht="12.95" customHeight="1">
      <c r="B69" s="6" t="s">
        <v>369</v>
      </c>
      <c r="C69" s="6" t="str">
        <f>"HET: Existing " &amp;MID(B69,4,3)&amp; "-based capacity"</f>
        <v>HET: Existing COA-based capacity</v>
      </c>
      <c r="D69" s="6" t="s">
        <v>169</v>
      </c>
      <c r="E69" s="6" t="s">
        <v>412</v>
      </c>
      <c r="F69" s="6">
        <v>0.95</v>
      </c>
      <c r="G69" s="216">
        <f ca="1">OtherData!O35</f>
        <v>0.96364396322939583</v>
      </c>
      <c r="H69" s="216">
        <f ca="1">OtherData!P35</f>
        <v>0.71932751691621577</v>
      </c>
      <c r="I69" s="254">
        <f ca="1">MAX(0.01,OtherData!W141)</f>
        <v>0.13025726704725027</v>
      </c>
      <c r="J69" s="254">
        <f ca="1">MAX(0.01,OtherData!X141)</f>
        <v>0.39467007467731674</v>
      </c>
      <c r="K69" s="254">
        <f ca="1">MAX(I69,OtherData!S35)</f>
        <v>0.5</v>
      </c>
      <c r="L69" s="252">
        <f ca="1">OtherData!O141</f>
        <v>1.4937999999999998E-4</v>
      </c>
      <c r="M69" s="252">
        <f ca="1">OtherData!P141</f>
        <v>2.9764581500388881E-2</v>
      </c>
      <c r="N69" s="181">
        <f ca="1">IF(SUM(M69)&gt;0,OtherData!Q141,"")</f>
        <v>2.9764581500388881E-2</v>
      </c>
      <c r="O69" s="252">
        <f ca="1">IF(SUM(M69)&gt;0,OtherData!R141,"")</f>
        <v>2.4517291054846187E-2</v>
      </c>
      <c r="P69" s="252">
        <f ca="1">IF(SUM(O69)&gt;0,OtherData!S141,"")</f>
        <v>1.3193065219640761E-2</v>
      </c>
      <c r="Q69" s="252">
        <f ca="1">IF(SUM(P69)&gt;0,OtherData!T141,"")</f>
        <v>7.3727210498089717E-3</v>
      </c>
      <c r="R69" s="252">
        <f ca="1">IF(SUM(Q69)&gt;0,OtherData!U141,"")</f>
        <v>1.3941456277481001E-3</v>
      </c>
      <c r="S69" s="252">
        <f ca="1">IF(SUM(R69)&gt;0,OtherData!V141,"")</f>
        <v>0</v>
      </c>
      <c r="T69" s="252"/>
      <c r="U69" s="252"/>
      <c r="V69" s="335">
        <f ca="1">3.6*8.76*V$1*SHCAP</f>
        <v>31.536000000000001</v>
      </c>
      <c r="W69" s="6"/>
      <c r="X69" s="6"/>
      <c r="Y69" s="6"/>
      <c r="Z69" s="6"/>
      <c r="AA69" s="6"/>
    </row>
    <row r="70" spans="2:27" ht="12.95" customHeight="1">
      <c r="B70" s="6" t="s">
        <v>372</v>
      </c>
      <c r="C70" s="6" t="str">
        <f>"HET: Existing " &amp;MID(B70,4,3)&amp; "-based capacity"</f>
        <v>HET: Existing BCO-based capacity</v>
      </c>
      <c r="D70" s="6" t="s">
        <v>354</v>
      </c>
      <c r="E70" s="6" t="s">
        <v>412</v>
      </c>
      <c r="F70" s="6">
        <v>0.95</v>
      </c>
      <c r="G70" s="216">
        <f ca="1">OtherData!O36</f>
        <v>0.87565458000083785</v>
      </c>
      <c r="H70" s="216">
        <f ca="1">OtherData!P36</f>
        <v>0.87528443118059374</v>
      </c>
      <c r="I70" s="254">
        <f ca="1">MAX(0.01,OtherData!W142)</f>
        <v>0.58974026513810107</v>
      </c>
      <c r="J70" s="254">
        <f ca="1">MAX(0.01,OtherData!X142)</f>
        <v>0.39467007531552806</v>
      </c>
      <c r="K70" s="254">
        <f ca="1">MAX(I70,OtherData!S36)</f>
        <v>0.58974026513810107</v>
      </c>
      <c r="L70" s="252">
        <f ca="1">OtherData!O142</f>
        <v>0.18737277565811752</v>
      </c>
      <c r="M70" s="252">
        <f ca="1">OtherData!P142</f>
        <v>0.2806284820258142</v>
      </c>
      <c r="N70" s="181">
        <f ca="1">IF(SUM(M70)&gt;0,OtherData!Q142,"")</f>
        <v>0.2806284820258142</v>
      </c>
      <c r="O70" s="252">
        <f ca="1">IF(SUM(M70)&gt;0,OtherData!R142,"")</f>
        <v>0.26058082334989496</v>
      </c>
      <c r="P70" s="252">
        <f ca="1">IF(SUM(O70)&gt;0,OtherData!S142,"")</f>
        <v>0.18767320281254238</v>
      </c>
      <c r="Q70" s="252">
        <f ca="1">IF(SUM(P70)&gt;0,OtherData!T142,"")</f>
        <v>0.16559172369124003</v>
      </c>
      <c r="R70" s="252">
        <f ca="1">IF(SUM(Q70)&gt;0,OtherData!U142,"")</f>
        <v>5.6114074574046366E-2</v>
      </c>
      <c r="S70" s="252">
        <f ca="1">IF(SUM(R70)&gt;0,OtherData!V142,"")</f>
        <v>0</v>
      </c>
      <c r="T70" s="252"/>
      <c r="U70" s="252"/>
      <c r="V70" s="335">
        <f ca="1">3.6*8.76*V$1*SHCAP</f>
        <v>31.536000000000001</v>
      </c>
      <c r="W70" s="6"/>
      <c r="X70" s="6"/>
      <c r="Y70" s="6"/>
      <c r="Z70" s="6"/>
      <c r="AA70" s="6"/>
    </row>
    <row r="71" spans="2:27" ht="12.95" customHeight="1">
      <c r="B71" s="6" t="s">
        <v>370</v>
      </c>
      <c r="C71" s="6" t="str">
        <f>"HET: Existing " &amp;MID(B71,4,3)&amp; "-based capacity"</f>
        <v>HET: Existing BIO-based capacity</v>
      </c>
      <c r="D71" s="6" t="s">
        <v>152</v>
      </c>
      <c r="E71" s="6" t="s">
        <v>412</v>
      </c>
      <c r="F71" s="6">
        <v>0.95</v>
      </c>
      <c r="G71" s="216">
        <f ca="1">OtherData!O37</f>
        <v>0.8928512943894179</v>
      </c>
      <c r="H71" s="216">
        <f ca="1">OtherData!P37</f>
        <v>0.87533502857300338</v>
      </c>
      <c r="I71" s="254">
        <f ca="1">MAX(0.01,OtherData!W143)</f>
        <v>0.15200743559187652</v>
      </c>
      <c r="J71" s="254">
        <f ca="1">MAX(0.01,OtherData!X143)</f>
        <v>0.39467007537698645</v>
      </c>
      <c r="K71" s="254">
        <f ca="1">MAX(I71,OtherData!S37)</f>
        <v>0.5</v>
      </c>
      <c r="L71" s="252">
        <f ca="1">OtherData!O143</f>
        <v>1.1368272243418827</v>
      </c>
      <c r="M71" s="252">
        <f ca="1">OtherData!P143</f>
        <v>1.3688661834326041</v>
      </c>
      <c r="N71" s="181">
        <f ca="1">IF(SUM(M71)&gt;0,OtherData!Q143,"")</f>
        <v>1.3688661834326041</v>
      </c>
      <c r="O71" s="252">
        <f ca="1">IF(SUM(M71)&gt;0,OtherData!R143,"")</f>
        <v>1.271076529936418</v>
      </c>
      <c r="P71" s="252">
        <f ca="1">IF(SUM(O71)&gt;0,OtherData!S143,"")</f>
        <v>0.91544343258410421</v>
      </c>
      <c r="Q71" s="252">
        <f ca="1">IF(SUM(P71)&gt;0,OtherData!T143,"")</f>
        <v>0.80773308960279777</v>
      </c>
      <c r="R71" s="252">
        <f ca="1">IF(SUM(Q71)&gt;0,OtherData!U143,"")</f>
        <v>0.27371654703232012</v>
      </c>
      <c r="S71" s="252">
        <f ca="1">IF(SUM(R71)&gt;0,OtherData!V143,"")</f>
        <v>0</v>
      </c>
      <c r="T71" s="252"/>
      <c r="U71" s="252"/>
      <c r="V71" s="335">
        <f ca="1">3.6*8.76*V$1*SHCAP</f>
        <v>31.536000000000001</v>
      </c>
      <c r="W71" s="6"/>
      <c r="X71" s="6"/>
      <c r="Y71" s="6"/>
      <c r="Z71" s="6"/>
      <c r="AA71" s="6"/>
    </row>
    <row r="72" spans="2:27" ht="12.95" customHeight="1">
      <c r="B72" s="257" t="s">
        <v>59</v>
      </c>
      <c r="C72" s="257"/>
      <c r="D72" s="257"/>
      <c r="E72" s="257"/>
      <c r="F72" s="257"/>
      <c r="G72" s="257"/>
      <c r="H72" s="257"/>
      <c r="I72" s="257"/>
      <c r="J72" s="257"/>
      <c r="K72" s="257"/>
      <c r="L72" s="181"/>
      <c r="M72" s="181"/>
      <c r="N72" s="181"/>
      <c r="O72" s="181"/>
      <c r="P72" s="181"/>
      <c r="Q72" s="181"/>
      <c r="R72" s="181"/>
      <c r="S72" s="181"/>
      <c r="T72" s="257"/>
      <c r="U72" s="257"/>
      <c r="V72" s="337"/>
      <c r="W72" s="257"/>
      <c r="X72" s="257"/>
      <c r="Y72" s="257"/>
      <c r="Z72" s="257"/>
      <c r="AA72" s="257"/>
    </row>
    <row r="73" spans="2:27" ht="12.95" customHeight="1">
      <c r="B73" s="6" t="s">
        <v>665</v>
      </c>
      <c r="C73" s="6" t="str">
        <f t="shared" ref="C73:C80" si="14">"HET: Existing " &amp;MID(B73,4,3)&amp; "-based capacity"</f>
        <v>HET: Existing BMU-based capacity</v>
      </c>
      <c r="D73" s="6" t="s">
        <v>134</v>
      </c>
      <c r="E73" s="6" t="s">
        <v>409</v>
      </c>
      <c r="F73" s="6">
        <v>0.95</v>
      </c>
      <c r="G73" s="216">
        <f ca="1">OtherData!O38</f>
        <v>0.77026499360419542</v>
      </c>
      <c r="H73" s="216">
        <f ca="1">OtherData!P38</f>
        <v>0.78961976593216798</v>
      </c>
      <c r="I73" s="254">
        <f ca="1">OtherData!S38</f>
        <v>0.6</v>
      </c>
      <c r="J73" s="142"/>
      <c r="K73" s="142"/>
      <c r="L73" s="252">
        <f ca="1">OtherData!O145</f>
        <v>1.9149694950130799E-2</v>
      </c>
      <c r="M73" s="252">
        <f ca="1">OtherData!P145</f>
        <v>8.8697077756710721E-2</v>
      </c>
      <c r="N73" s="181">
        <f ca="1">OtherData!Q145</f>
        <v>8.8697077756710721E-2</v>
      </c>
      <c r="O73" s="252">
        <f ca="1">IF(SUM(N73),OtherData!R145,"")</f>
        <v>8.8697077756710721E-2</v>
      </c>
      <c r="P73" s="252">
        <f ca="1">IF(SUM(O73),OtherData!S145,"")</f>
        <v>8.8697077756710721E-2</v>
      </c>
      <c r="Q73" s="252">
        <f ca="1">IF(SUM(P73),OtherData!T145,"")</f>
        <v>8.8697077756710721E-2</v>
      </c>
      <c r="R73" s="252">
        <f ca="1">IF(SUM(Q73),OtherData!U145,"")</f>
        <v>8.8697077756710721E-2</v>
      </c>
      <c r="S73" s="252">
        <f ca="1">IF(SUM(R73),OtherData!V145,"")</f>
        <v>0</v>
      </c>
      <c r="T73" s="252"/>
      <c r="U73" s="252"/>
      <c r="V73" s="335">
        <f t="shared" ref="V73:V80" ca="1" si="15">3.6*8.76*V$1*SHCAP</f>
        <v>31.536000000000001</v>
      </c>
      <c r="W73" s="6"/>
      <c r="X73" s="6"/>
      <c r="Y73" s="6"/>
      <c r="Z73" s="6"/>
      <c r="AA73" s="6"/>
    </row>
    <row r="74" spans="2:27" ht="12.95" customHeight="1">
      <c r="B74" s="6" t="s">
        <v>668</v>
      </c>
      <c r="C74" s="6" t="str">
        <f t="shared" si="14"/>
        <v>HET: Existing BMU-based capacity</v>
      </c>
      <c r="D74" s="6" t="s">
        <v>134</v>
      </c>
      <c r="E74" s="6" t="s">
        <v>410</v>
      </c>
      <c r="F74" s="6">
        <v>0.95</v>
      </c>
      <c r="G74" s="216">
        <f t="shared" ref="G74:I76" si="16">G$73</f>
        <v>0.77026499360419542</v>
      </c>
      <c r="H74" s="216">
        <f t="shared" si="16"/>
        <v>0.78961976593216798</v>
      </c>
      <c r="I74" s="254">
        <f t="shared" si="16"/>
        <v>0.6</v>
      </c>
      <c r="J74" s="142"/>
      <c r="K74" s="142"/>
      <c r="L74" s="252">
        <f ca="1">OtherData!O146</f>
        <v>1.1244107772197608E-2</v>
      </c>
      <c r="M74" s="252">
        <f ca="1">OtherData!P146</f>
        <v>5.2080176941337361E-2</v>
      </c>
      <c r="N74" s="181">
        <f ca="1">OtherData!Q146</f>
        <v>5.2080176941337361E-2</v>
      </c>
      <c r="O74" s="252">
        <f ca="1">IF(SUM(N74),OtherData!R146,"")</f>
        <v>5.2080176941337361E-2</v>
      </c>
      <c r="P74" s="252">
        <f ca="1">IF(SUM(O74),OtherData!S146,"")</f>
        <v>5.2080176941337361E-2</v>
      </c>
      <c r="Q74" s="252">
        <f ca="1">IF(SUM(P74),OtherData!T146,"")</f>
        <v>5.2080176941337361E-2</v>
      </c>
      <c r="R74" s="252">
        <f ca="1">IF(SUM(Q74),OtherData!U146,"")</f>
        <v>5.2080176941337361E-2</v>
      </c>
      <c r="S74" s="252">
        <f ca="1">IF(SUM(R74),OtherData!V146,"")</f>
        <v>0</v>
      </c>
      <c r="T74" s="252"/>
      <c r="U74" s="252"/>
      <c r="V74" s="335">
        <f t="shared" ca="1" si="15"/>
        <v>31.536000000000001</v>
      </c>
      <c r="W74" s="6"/>
      <c r="X74" s="6"/>
      <c r="Y74" s="6"/>
      <c r="Z74" s="6"/>
      <c r="AA74" s="6"/>
    </row>
    <row r="75" spans="2:27" ht="12.95" customHeight="1">
      <c r="B75" s="6" t="s">
        <v>667</v>
      </c>
      <c r="C75" s="6" t="str">
        <f t="shared" si="14"/>
        <v>HET: Existing BMU-based capacity</v>
      </c>
      <c r="D75" s="6" t="s">
        <v>134</v>
      </c>
      <c r="E75" s="6" t="s">
        <v>411</v>
      </c>
      <c r="F75" s="6">
        <v>0.95</v>
      </c>
      <c r="G75" s="216">
        <f t="shared" si="16"/>
        <v>0.77026499360419542</v>
      </c>
      <c r="H75" s="216">
        <f t="shared" si="16"/>
        <v>0.78961976593216798</v>
      </c>
      <c r="I75" s="254">
        <f t="shared" si="16"/>
        <v>0.6</v>
      </c>
      <c r="J75" s="142"/>
      <c r="K75" s="142"/>
      <c r="L75" s="252">
        <f ca="1">OtherData!O147</f>
        <v>6.599386284807318E-3</v>
      </c>
      <c r="M75" s="252">
        <f ca="1">OtherData!P147</f>
        <v>3.0566872212558497E-2</v>
      </c>
      <c r="N75" s="181">
        <f ca="1">OtherData!Q147</f>
        <v>3.0566872212558497E-2</v>
      </c>
      <c r="O75" s="252">
        <f ca="1">IF(SUM(N75),OtherData!R147,"")</f>
        <v>3.0566872212558497E-2</v>
      </c>
      <c r="P75" s="252">
        <f ca="1">IF(SUM(O75),OtherData!S147,"")</f>
        <v>3.0566872212558497E-2</v>
      </c>
      <c r="Q75" s="252">
        <f ca="1">IF(SUM(P75),OtherData!T147,"")</f>
        <v>3.0566872212558497E-2</v>
      </c>
      <c r="R75" s="252">
        <f ca="1">IF(SUM(Q75),OtherData!U147,"")</f>
        <v>3.0566872212558497E-2</v>
      </c>
      <c r="S75" s="252">
        <f ca="1">IF(SUM(R75),OtherData!V147,"")</f>
        <v>0</v>
      </c>
      <c r="T75" s="252"/>
      <c r="U75" s="252"/>
      <c r="V75" s="335">
        <f t="shared" ca="1" si="15"/>
        <v>31.536000000000001</v>
      </c>
      <c r="W75" s="6"/>
      <c r="X75" s="6"/>
      <c r="Y75" s="6"/>
      <c r="Z75" s="6"/>
      <c r="AA75" s="6"/>
    </row>
    <row r="76" spans="2:27" ht="12.95" customHeight="1">
      <c r="B76" s="6" t="s">
        <v>666</v>
      </c>
      <c r="C76" s="6" t="str">
        <f t="shared" si="14"/>
        <v>HET: Existing BMU-based capacity</v>
      </c>
      <c r="D76" s="6" t="s">
        <v>134</v>
      </c>
      <c r="E76" s="6" t="s">
        <v>412</v>
      </c>
      <c r="F76" s="6">
        <v>0.95</v>
      </c>
      <c r="G76" s="216">
        <f t="shared" si="16"/>
        <v>0.77026499360419542</v>
      </c>
      <c r="H76" s="216">
        <f t="shared" si="16"/>
        <v>0.78961976593216798</v>
      </c>
      <c r="I76" s="254">
        <f t="shared" si="16"/>
        <v>0.6</v>
      </c>
      <c r="J76" s="142"/>
      <c r="K76" s="142"/>
      <c r="L76" s="252">
        <f ca="1">OtherData!O148</f>
        <v>1.4676569255446447E-2</v>
      </c>
      <c r="M76" s="252">
        <f ca="1">OtherData!P148</f>
        <v>6.7978566125576428E-2</v>
      </c>
      <c r="N76" s="181">
        <f ca="1">OtherData!Q148</f>
        <v>6.7978566125576428E-2</v>
      </c>
      <c r="O76" s="252">
        <f ca="1">IF(SUM(N76),OtherData!R148,"")</f>
        <v>6.7978566125576428E-2</v>
      </c>
      <c r="P76" s="252">
        <f ca="1">IF(SUM(O76),OtherData!S148,"")</f>
        <v>6.7978566125576428E-2</v>
      </c>
      <c r="Q76" s="252">
        <f ca="1">IF(SUM(P76),OtherData!T148,"")</f>
        <v>6.7978566125576428E-2</v>
      </c>
      <c r="R76" s="252">
        <f ca="1">IF(SUM(Q76),OtherData!U148,"")</f>
        <v>6.7978566125576428E-2</v>
      </c>
      <c r="S76" s="252">
        <f ca="1">IF(SUM(R76),OtherData!V148,"")</f>
        <v>0</v>
      </c>
      <c r="T76" s="252"/>
      <c r="U76" s="252"/>
      <c r="V76" s="335">
        <f t="shared" ca="1" si="15"/>
        <v>31.536000000000001</v>
      </c>
      <c r="W76" s="6"/>
      <c r="X76" s="6"/>
      <c r="Y76" s="6"/>
      <c r="Z76" s="6"/>
      <c r="AA76" s="6"/>
    </row>
    <row r="77" spans="2:27" ht="12.95" customHeight="1">
      <c r="B77" s="6" t="s">
        <v>649</v>
      </c>
      <c r="C77" s="6" t="str">
        <f t="shared" si="14"/>
        <v>HET: Existing GEO-based capacity</v>
      </c>
      <c r="D77" s="6" t="s">
        <v>170</v>
      </c>
      <c r="E77" s="6" t="s">
        <v>409</v>
      </c>
      <c r="F77" s="6">
        <v>0.95</v>
      </c>
      <c r="G77" s="216">
        <f ca="1">MIN(1,OtherData!O39)</f>
        <v>1</v>
      </c>
      <c r="H77" s="216">
        <f ca="1">MIN(1,OtherData!P39)</f>
        <v>1</v>
      </c>
      <c r="I77" s="254">
        <f ca="1">OtherData!S39</f>
        <v>0.65000000000000013</v>
      </c>
      <c r="J77" s="254">
        <f ca="1">OtherData!S39</f>
        <v>0.65000000000000013</v>
      </c>
      <c r="K77" s="254">
        <f ca="1">OtherData!T39</f>
        <v>0.65</v>
      </c>
      <c r="L77" s="252">
        <f ca="1">OtherData!O149</f>
        <v>3.3544731557102692E-2</v>
      </c>
      <c r="M77" s="252">
        <f ca="1">OtherData!P149</f>
        <v>5.8297361060079211E-2</v>
      </c>
      <c r="N77" s="181">
        <f ca="1">OtherData!Q149</f>
        <v>5.599592984335252E-2</v>
      </c>
      <c r="O77" s="252">
        <f ca="1">IF(SUM(N77),OtherData!R149,"")</f>
        <v>5.599592984335252E-2</v>
      </c>
      <c r="P77" s="252">
        <f ca="1">IF(SUM(O77),OtherData!S149,"")</f>
        <v>5.4147007631543717E-2</v>
      </c>
      <c r="Q77" s="252">
        <f ca="1">IF(SUM(P77),OtherData!T149,"")</f>
        <v>5.4147007631543717E-2</v>
      </c>
      <c r="R77" s="252">
        <f ca="1">IF(SUM(Q77),OtherData!U149,"")</f>
        <v>3.1695809345293879E-3</v>
      </c>
      <c r="S77" s="252">
        <f ca="1">IF(SUM(R77),OtherData!V149,"")</f>
        <v>0</v>
      </c>
      <c r="T77" s="252"/>
      <c r="U77" s="252"/>
      <c r="V77" s="335">
        <f t="shared" ca="1" si="15"/>
        <v>31.536000000000001</v>
      </c>
      <c r="W77" s="6"/>
      <c r="X77" s="6"/>
      <c r="Y77" s="6"/>
      <c r="Z77" s="6"/>
      <c r="AA77" s="6"/>
    </row>
    <row r="78" spans="2:27" ht="12.95" customHeight="1">
      <c r="B78" s="6" t="s">
        <v>650</v>
      </c>
      <c r="C78" s="6" t="str">
        <f t="shared" si="14"/>
        <v>HET: Existing GEO-based capacity</v>
      </c>
      <c r="D78" s="6" t="s">
        <v>170</v>
      </c>
      <c r="E78" s="6" t="s">
        <v>410</v>
      </c>
      <c r="F78" s="254">
        <f t="shared" ref="F78:K80" si="17">F$77</f>
        <v>0.95</v>
      </c>
      <c r="G78" s="245">
        <f t="shared" si="17"/>
        <v>1</v>
      </c>
      <c r="H78" s="245">
        <f t="shared" si="17"/>
        <v>1</v>
      </c>
      <c r="I78" s="254">
        <f t="shared" ca="1" si="17"/>
        <v>0.65000000000000013</v>
      </c>
      <c r="J78" s="254">
        <f t="shared" ca="1" si="17"/>
        <v>0.65000000000000013</v>
      </c>
      <c r="K78" s="254">
        <f t="shared" si="17"/>
        <v>0.65</v>
      </c>
      <c r="L78" s="252">
        <f ca="1">OtherData!O150</f>
        <v>3.601365644664613E-3</v>
      </c>
      <c r="M78" s="252">
        <f ca="1">OtherData!P150</f>
        <v>6.2588103571192084E-3</v>
      </c>
      <c r="N78" s="181">
        <f ca="1">OtherData!Q150</f>
        <v>6.0117284777078577E-3</v>
      </c>
      <c r="O78" s="252">
        <f ca="1">IF(SUM(N78),OtherData!R150,"")</f>
        <v>6.0117284777078577E-3</v>
      </c>
      <c r="P78" s="252">
        <f ca="1">IF(SUM(O78),OtherData!S150,"")</f>
        <v>5.8132280091042965E-3</v>
      </c>
      <c r="Q78" s="252">
        <f ca="1">IF(SUM(P78),OtherData!T150,"")</f>
        <v>5.8132280091042965E-3</v>
      </c>
      <c r="R78" s="252">
        <f ca="1">IF(SUM(Q78),OtherData!U150,"")</f>
        <v>3.4028651760610514E-4</v>
      </c>
      <c r="S78" s="252">
        <f ca="1">IF(SUM(R78),OtherData!V150,"")</f>
        <v>0</v>
      </c>
      <c r="T78" s="252"/>
      <c r="U78" s="252"/>
      <c r="V78" s="335">
        <f t="shared" ca="1" si="15"/>
        <v>31.536000000000001</v>
      </c>
      <c r="W78" s="6"/>
      <c r="X78" s="6"/>
      <c r="Y78" s="6"/>
      <c r="Z78" s="6"/>
      <c r="AA78" s="6"/>
    </row>
    <row r="79" spans="2:27" ht="12.95" customHeight="1">
      <c r="B79" s="6" t="s">
        <v>652</v>
      </c>
      <c r="C79" s="6" t="str">
        <f t="shared" si="14"/>
        <v>HET: Existing GEO-based capacity</v>
      </c>
      <c r="D79" s="6" t="s">
        <v>170</v>
      </c>
      <c r="E79" s="6" t="s">
        <v>411</v>
      </c>
      <c r="F79" s="254">
        <f t="shared" si="17"/>
        <v>0.95</v>
      </c>
      <c r="G79" s="245">
        <f t="shared" si="17"/>
        <v>1</v>
      </c>
      <c r="H79" s="245">
        <f t="shared" si="17"/>
        <v>1</v>
      </c>
      <c r="I79" s="254">
        <f t="shared" ca="1" si="17"/>
        <v>0.65000000000000013</v>
      </c>
      <c r="J79" s="254">
        <f t="shared" ca="1" si="17"/>
        <v>0.65000000000000013</v>
      </c>
      <c r="K79" s="254">
        <f t="shared" si="17"/>
        <v>0.65</v>
      </c>
      <c r="L79" s="252">
        <f ca="1">OtherData!O151</f>
        <v>3.8258133618958344E-5</v>
      </c>
      <c r="M79" s="252">
        <f ca="1">OtherData!P151</f>
        <v>6.6488778581294696E-5</v>
      </c>
      <c r="N79" s="181">
        <f ca="1">OtherData!Q151</f>
        <v>6.3863971080465898E-5</v>
      </c>
      <c r="O79" s="252">
        <f ca="1">IF(SUM(N79),OtherData!R151,"")</f>
        <v>6.3863971080465898E-5</v>
      </c>
      <c r="P79" s="252">
        <f ca="1">IF(SUM(O79),OtherData!S151,"")</f>
        <v>6.17552550542241E-5</v>
      </c>
      <c r="Q79" s="252">
        <f ca="1">IF(SUM(P79),OtherData!T151,"")</f>
        <v>6.17552550542241E-5</v>
      </c>
      <c r="R79" s="252">
        <f ca="1">IF(SUM(Q79),OtherData!U151,"")</f>
        <v>3.6149417592716548E-6</v>
      </c>
      <c r="S79" s="252">
        <f ca="1">IF(SUM(R79),OtherData!V151,"")</f>
        <v>0</v>
      </c>
      <c r="T79" s="252"/>
      <c r="U79" s="252"/>
      <c r="V79" s="335">
        <f t="shared" ca="1" si="15"/>
        <v>31.536000000000001</v>
      </c>
      <c r="W79" s="6"/>
      <c r="X79" s="6"/>
      <c r="Y79" s="6"/>
      <c r="Z79" s="6"/>
      <c r="AA79" s="6"/>
    </row>
    <row r="80" spans="2:27" ht="12.95" customHeight="1">
      <c r="B80" s="6" t="s">
        <v>651</v>
      </c>
      <c r="C80" s="6" t="str">
        <f t="shared" si="14"/>
        <v>HET: Existing GEO-based capacity</v>
      </c>
      <c r="D80" s="6" t="s">
        <v>170</v>
      </c>
      <c r="E80" s="6" t="s">
        <v>412</v>
      </c>
      <c r="F80" s="254">
        <f t="shared" si="17"/>
        <v>0.95</v>
      </c>
      <c r="G80" s="245">
        <f t="shared" si="17"/>
        <v>1</v>
      </c>
      <c r="H80" s="245">
        <f t="shared" si="17"/>
        <v>1</v>
      </c>
      <c r="I80" s="254">
        <f t="shared" ca="1" si="17"/>
        <v>0.65000000000000013</v>
      </c>
      <c r="J80" s="254">
        <f t="shared" ca="1" si="17"/>
        <v>0.65000000000000013</v>
      </c>
      <c r="K80" s="254">
        <f t="shared" si="17"/>
        <v>0.65</v>
      </c>
      <c r="L80" s="252">
        <f ca="1">OtherData!O152</f>
        <v>9.156446646137364E-4</v>
      </c>
      <c r="M80" s="252">
        <f ca="1">OtherData!P152</f>
        <v>1.5912981007123197E-3</v>
      </c>
      <c r="N80" s="181">
        <f ca="1">OtherData!Q152</f>
        <v>1.5284777078591505E-3</v>
      </c>
      <c r="O80" s="252">
        <f ca="1">IF(SUM(N80),OtherData!R152,"")</f>
        <v>1.5284777078591505E-3</v>
      </c>
      <c r="P80" s="252">
        <f ca="1">IF(SUM(O80),OtherData!S152,"")</f>
        <v>1.4780091042977635E-3</v>
      </c>
      <c r="Q80" s="252">
        <f ca="1">IF(SUM(P80),OtherData!T152,"")</f>
        <v>1.4780091042977635E-3</v>
      </c>
      <c r="R80" s="252">
        <f ca="1">IF(SUM(Q80),OtherData!U152,"")</f>
        <v>8.6517606105234929E-5</v>
      </c>
      <c r="S80" s="252">
        <f ca="1">IF(SUM(R80),OtherData!V152,"")</f>
        <v>0</v>
      </c>
      <c r="T80" s="252"/>
      <c r="U80" s="252"/>
      <c r="V80" s="335">
        <f t="shared" ca="1" si="15"/>
        <v>31.536000000000001</v>
      </c>
      <c r="W80" s="6"/>
      <c r="X80" s="6"/>
      <c r="Y80" s="6"/>
      <c r="Z80" s="6"/>
      <c r="AA80" s="6"/>
    </row>
    <row r="84" spans="2:24" ht="15">
      <c r="C84" s="105"/>
      <c r="H84" s="308" t="str">
        <f>"~FI_T: "&amp;Region</f>
        <v>~FI_T: FIN</v>
      </c>
      <c r="I84" s="226"/>
    </row>
    <row r="85" spans="2:24" ht="23.25" customHeight="1" thickBot="1">
      <c r="B85" s="174" t="s">
        <v>212</v>
      </c>
      <c r="C85" s="174" t="s">
        <v>213</v>
      </c>
      <c r="D85" s="174" t="s">
        <v>214</v>
      </c>
      <c r="E85" s="174" t="s">
        <v>215</v>
      </c>
      <c r="F85" s="174" t="s">
        <v>312</v>
      </c>
      <c r="G85" s="174" t="s">
        <v>65</v>
      </c>
      <c r="H85" s="250" t="s">
        <v>600</v>
      </c>
      <c r="I85" s="183" t="s">
        <v>601</v>
      </c>
      <c r="J85" s="183" t="str">
        <f ca="1">AuxYear&amp;"~UP"</f>
        <v>2017~UP</v>
      </c>
      <c r="K85" s="183" t="str">
        <f ca="1">CEILING(AuxYear+7,5)&amp;"~UP"</f>
        <v>2025~UP</v>
      </c>
      <c r="L85" s="255" t="str">
        <f ca="1">"CHPR~"&amp;BaseYear</f>
        <v>CHPR~2010</v>
      </c>
      <c r="M85" s="174" t="str">
        <f ca="1">"CHPR~"&amp;AuxYear</f>
        <v>CHPR~2017</v>
      </c>
      <c r="N85" s="255" t="s">
        <v>556</v>
      </c>
      <c r="O85" s="183" t="str">
        <f ca="1">"AFA~LO~"&amp;AuxYear</f>
        <v>AFA~LO~2017</v>
      </c>
      <c r="P85" s="183" t="s">
        <v>557</v>
      </c>
      <c r="Q85" s="183" t="s">
        <v>561</v>
      </c>
      <c r="R85" s="183" t="str">
        <f ca="1">"AFA~FX~"&amp;AuxYear</f>
        <v>AFA~FX~2017</v>
      </c>
      <c r="S85" s="183" t="str">
        <f ca="1">"AFA~FX~"&amp;CEILING(AuxYear+2,5)</f>
        <v>AFA~FX~2020</v>
      </c>
      <c r="T85" s="183" t="str">
        <f ca="1">"AFAC~"&amp;CEILING(AuxYear+2,5)</f>
        <v>AFAC~2020</v>
      </c>
      <c r="U85" s="183" t="str">
        <f>"AFAC~0"</f>
        <v>AFAC~0</v>
      </c>
      <c r="V85" s="183" t="s">
        <v>565</v>
      </c>
      <c r="W85" s="358" t="s">
        <v>679</v>
      </c>
      <c r="X85" s="183" t="str">
        <f ca="1">"VA_Attrib_TC~HET~"&amp;AuxYear</f>
        <v>VA_Attrib_TC~HET~2017</v>
      </c>
    </row>
    <row r="86" spans="2:24">
      <c r="B86" s="6" t="s">
        <v>265</v>
      </c>
      <c r="C86" s="6"/>
      <c r="D86" s="6"/>
      <c r="E86" s="6" t="s">
        <v>198</v>
      </c>
      <c r="F86" s="6"/>
      <c r="G86" s="6"/>
      <c r="H86" s="361" t="s">
        <v>558</v>
      </c>
      <c r="I86" s="284">
        <v>1</v>
      </c>
      <c r="J86" s="6"/>
      <c r="K86" s="6"/>
      <c r="L86" s="353"/>
      <c r="M86" s="162"/>
      <c r="N86" s="256"/>
      <c r="O86" s="41"/>
      <c r="P86" s="6"/>
      <c r="Q86" s="253">
        <f ca="1">OtherData!G27</f>
        <v>0.1688355965538624</v>
      </c>
      <c r="R86" s="253">
        <f ca="1">OtherData!H27</f>
        <v>0.33670033670033672</v>
      </c>
      <c r="S86" s="253">
        <f ca="1">OtherData!I27</f>
        <v>0.33670033670033672</v>
      </c>
      <c r="T86" s="6"/>
      <c r="U86" s="162"/>
      <c r="V86" s="6"/>
      <c r="W86" s="256"/>
      <c r="X86" s="6"/>
    </row>
    <row r="87" spans="2:24">
      <c r="B87" s="6" t="s">
        <v>545</v>
      </c>
      <c r="C87" s="6"/>
      <c r="D87" s="6"/>
      <c r="E87" s="6" t="s">
        <v>198</v>
      </c>
      <c r="F87" s="6"/>
      <c r="G87" s="6"/>
      <c r="H87" s="251" t="s">
        <v>558</v>
      </c>
      <c r="I87" s="284">
        <v>1</v>
      </c>
      <c r="J87" s="6"/>
      <c r="K87" s="6"/>
      <c r="L87" s="353"/>
      <c r="M87" s="162"/>
      <c r="N87" s="256"/>
      <c r="O87" s="41"/>
      <c r="P87" s="6"/>
      <c r="Q87" s="253">
        <f ca="1">OtherData!G28</f>
        <v>8.0808096504156712E-2</v>
      </c>
      <c r="R87" s="253">
        <f ca="1">OtherData!H28</f>
        <v>4.3706196498886754E-2</v>
      </c>
      <c r="S87" s="253">
        <f ca="1">OtherData!I28</f>
        <v>0.11986301369863013</v>
      </c>
      <c r="T87" s="6"/>
      <c r="U87" s="162"/>
      <c r="V87" s="6"/>
      <c r="W87" s="256"/>
      <c r="X87" s="6"/>
    </row>
    <row r="88" spans="2:24">
      <c r="B88" s="6" t="s">
        <v>260</v>
      </c>
      <c r="C88" s="6"/>
      <c r="D88" s="6"/>
      <c r="E88" s="6"/>
      <c r="F88" s="6"/>
      <c r="G88" s="6"/>
      <c r="H88" s="251"/>
      <c r="I88" s="41"/>
      <c r="J88" s="6"/>
      <c r="K88" s="6"/>
      <c r="L88" s="353"/>
      <c r="M88" s="162"/>
      <c r="N88" s="247">
        <f ca="1">MAX(0,OtherData!G19-0.001)</f>
        <v>6.105705225033382E-3</v>
      </c>
      <c r="O88" s="249">
        <f ca="1">MAX(0,OtherData!H19-0.001)</f>
        <v>1.4682298814526873E-2</v>
      </c>
      <c r="P88" s="162">
        <v>1</v>
      </c>
      <c r="Q88" s="6"/>
      <c r="R88" s="6"/>
      <c r="S88" s="6"/>
      <c r="T88" s="6"/>
      <c r="U88" s="162"/>
      <c r="V88" s="6"/>
      <c r="W88" s="256"/>
      <c r="X88" s="6"/>
    </row>
    <row r="89" spans="2:24">
      <c r="B89" s="6" t="s">
        <v>261</v>
      </c>
      <c r="C89" s="6"/>
      <c r="D89" s="6"/>
      <c r="E89" s="6"/>
      <c r="F89" s="6"/>
      <c r="G89" s="6"/>
      <c r="H89" s="251"/>
      <c r="I89" s="41"/>
      <c r="J89" s="6"/>
      <c r="K89" s="6"/>
      <c r="L89" s="353"/>
      <c r="M89" s="162"/>
      <c r="N89" s="247">
        <f ca="1">MAX(0,OtherData!G20-0.001)</f>
        <v>5.8843075995396919E-2</v>
      </c>
      <c r="O89" s="249">
        <f ca="1">MAX(0,OtherData!H20-0.001)</f>
        <v>1.3676032359785806E-3</v>
      </c>
      <c r="P89" s="162">
        <v>1</v>
      </c>
      <c r="Q89" s="6"/>
      <c r="R89" s="6"/>
      <c r="S89" s="6"/>
      <c r="T89" s="6"/>
      <c r="U89" s="162"/>
      <c r="V89" s="6"/>
      <c r="W89" s="256"/>
      <c r="X89" s="6"/>
    </row>
    <row r="90" spans="2:24">
      <c r="B90" s="6" t="s">
        <v>262</v>
      </c>
      <c r="C90" s="6"/>
      <c r="D90" s="6" t="s">
        <v>516</v>
      </c>
      <c r="E90" s="6"/>
      <c r="F90" s="6"/>
      <c r="G90" s="6"/>
      <c r="H90" s="251"/>
      <c r="I90" s="41"/>
      <c r="J90" s="6"/>
      <c r="K90" s="6"/>
      <c r="L90" s="353"/>
      <c r="M90" s="162"/>
      <c r="N90" s="247">
        <f ca="1">MAX(0,OtherData!G21-0.001)</f>
        <v>0.58089271310328872</v>
      </c>
      <c r="O90" s="249">
        <f ca="1">MAX(0,OtherData!H21-0.001)</f>
        <v>0.14057150146574035</v>
      </c>
      <c r="P90" s="162">
        <v>1</v>
      </c>
      <c r="Q90" s="6"/>
      <c r="R90" s="6"/>
      <c r="S90" s="6"/>
      <c r="T90" s="6"/>
      <c r="U90" s="162"/>
      <c r="V90" s="6"/>
      <c r="W90" s="256"/>
      <c r="X90" s="6"/>
    </row>
    <row r="91" spans="2:24">
      <c r="B91" s="6" t="s">
        <v>390</v>
      </c>
      <c r="C91" s="6"/>
      <c r="D91" s="6"/>
      <c r="E91" s="6"/>
      <c r="F91" s="6"/>
      <c r="G91" s="6"/>
      <c r="H91" s="251"/>
      <c r="I91" s="41"/>
      <c r="J91" s="6"/>
      <c r="K91" s="6"/>
      <c r="L91" s="353"/>
      <c r="M91" s="162"/>
      <c r="N91" s="247">
        <f ca="1">MAX(0,OtherData!G22-0.001)</f>
        <v>0.77677777777777768</v>
      </c>
      <c r="O91" s="249">
        <f ca="1">MAX(0,OtherData!H22-0.001)</f>
        <v>0.15422953481310525</v>
      </c>
      <c r="P91" s="162">
        <v>1</v>
      </c>
      <c r="Q91" s="6"/>
      <c r="R91" s="6"/>
      <c r="S91" s="6"/>
      <c r="T91" s="6"/>
      <c r="U91" s="162"/>
      <c r="V91" s="6"/>
      <c r="W91" s="256"/>
      <c r="X91" s="6"/>
    </row>
    <row r="92" spans="2:24">
      <c r="B92" s="6" t="s">
        <v>263</v>
      </c>
      <c r="C92" s="6"/>
      <c r="D92" s="6"/>
      <c r="E92" s="6"/>
      <c r="F92" s="6"/>
      <c r="G92" s="6"/>
      <c r="H92" s="251"/>
      <c r="I92" s="41"/>
      <c r="J92" s="6"/>
      <c r="K92" s="6"/>
      <c r="L92" s="353"/>
      <c r="M92" s="162"/>
      <c r="N92" s="247">
        <f ca="1">MAX(0,OtherData!G23-0.001)</f>
        <v>0.77677777777777768</v>
      </c>
      <c r="O92" s="249">
        <f ca="1">MAX(0,OtherData!H23-0.001)</f>
        <v>0.64615835441290803</v>
      </c>
      <c r="P92" s="162">
        <v>1</v>
      </c>
      <c r="Q92" s="6"/>
      <c r="R92" s="6"/>
      <c r="S92" s="6"/>
      <c r="T92" s="6"/>
      <c r="U92" s="162"/>
      <c r="V92" s="6"/>
      <c r="W92" s="256"/>
      <c r="X92" s="6"/>
    </row>
    <row r="93" spans="2:24">
      <c r="B93" s="6" t="s">
        <v>653</v>
      </c>
      <c r="C93" s="6"/>
      <c r="D93" s="6"/>
      <c r="E93" s="6" t="s">
        <v>409</v>
      </c>
      <c r="F93" s="6"/>
      <c r="G93" s="162" t="s">
        <v>336</v>
      </c>
      <c r="H93" s="251"/>
      <c r="I93" s="284"/>
      <c r="J93" s="6"/>
      <c r="K93" s="6"/>
      <c r="L93" s="354">
        <f ca="1">OtherData!I38</f>
        <v>1.8</v>
      </c>
      <c r="M93" s="253">
        <f ca="1">OtherData!J38</f>
        <v>1.8183295782204534</v>
      </c>
      <c r="N93" s="247">
        <f ca="1">MAX(0,OtherData!G38-0.02)</f>
        <v>0.35150337104167884</v>
      </c>
      <c r="O93" s="249">
        <f ca="1">MAX(0,OtherData!H38-0.02)</f>
        <v>0.45506948307953238</v>
      </c>
      <c r="P93" s="162">
        <v>1</v>
      </c>
      <c r="Q93" s="6"/>
      <c r="R93" s="6"/>
      <c r="S93" s="6"/>
      <c r="T93" s="6"/>
      <c r="U93" s="162"/>
      <c r="V93" s="6"/>
      <c r="W93" s="256"/>
      <c r="X93" s="6"/>
    </row>
    <row r="94" spans="2:24">
      <c r="B94" s="6" t="s">
        <v>654</v>
      </c>
      <c r="C94" s="6"/>
      <c r="D94" s="6"/>
      <c r="E94" s="6" t="s">
        <v>410</v>
      </c>
      <c r="F94" s="6"/>
      <c r="G94" s="162" t="s">
        <v>336</v>
      </c>
      <c r="H94" s="251"/>
      <c r="I94" s="284"/>
      <c r="J94" s="6"/>
      <c r="K94" s="6"/>
      <c r="L94" s="354">
        <f t="shared" ref="L94:O96" si="18">L$93</f>
        <v>1.8</v>
      </c>
      <c r="M94" s="253">
        <f t="shared" si="18"/>
        <v>1.8183295782204534</v>
      </c>
      <c r="N94" s="247">
        <f t="shared" ca="1" si="18"/>
        <v>0.35150337104167884</v>
      </c>
      <c r="O94" s="249">
        <f t="shared" ca="1" si="18"/>
        <v>0.45506948307953238</v>
      </c>
      <c r="P94" s="162">
        <v>1</v>
      </c>
      <c r="Q94" s="6"/>
      <c r="R94" s="6"/>
      <c r="S94" s="6"/>
      <c r="T94" s="6"/>
      <c r="U94" s="162"/>
      <c r="V94" s="6"/>
      <c r="W94" s="256"/>
      <c r="X94" s="6"/>
    </row>
    <row r="95" spans="2:24">
      <c r="B95" s="6" t="s">
        <v>655</v>
      </c>
      <c r="C95" s="6"/>
      <c r="D95" s="6"/>
      <c r="E95" s="6" t="s">
        <v>411</v>
      </c>
      <c r="F95" s="6"/>
      <c r="G95" s="162" t="s">
        <v>336</v>
      </c>
      <c r="H95" s="251"/>
      <c r="I95" s="284"/>
      <c r="J95" s="6"/>
      <c r="K95" s="6"/>
      <c r="L95" s="354">
        <f t="shared" si="18"/>
        <v>1.8</v>
      </c>
      <c r="M95" s="253">
        <f t="shared" si="18"/>
        <v>1.8183295782204534</v>
      </c>
      <c r="N95" s="247">
        <f t="shared" ca="1" si="18"/>
        <v>0.35150337104167884</v>
      </c>
      <c r="O95" s="249">
        <f t="shared" ca="1" si="18"/>
        <v>0.45506948307953238</v>
      </c>
      <c r="P95" s="162">
        <v>1</v>
      </c>
      <c r="Q95" s="6"/>
      <c r="R95" s="6"/>
      <c r="S95" s="6"/>
      <c r="T95" s="6"/>
      <c r="U95" s="162"/>
      <c r="V95" s="6"/>
      <c r="W95" s="256"/>
      <c r="X95" s="6"/>
    </row>
    <row r="96" spans="2:24">
      <c r="B96" s="6" t="s">
        <v>656</v>
      </c>
      <c r="C96" s="6"/>
      <c r="D96" s="6"/>
      <c r="E96" s="6" t="s">
        <v>412</v>
      </c>
      <c r="F96" s="6"/>
      <c r="G96" s="162" t="s">
        <v>336</v>
      </c>
      <c r="H96" s="251"/>
      <c r="I96" s="284"/>
      <c r="J96" s="6"/>
      <c r="K96" s="6"/>
      <c r="L96" s="354">
        <f t="shared" si="18"/>
        <v>1.8</v>
      </c>
      <c r="M96" s="253">
        <f t="shared" si="18"/>
        <v>1.8183295782204534</v>
      </c>
      <c r="N96" s="247">
        <f t="shared" ca="1" si="18"/>
        <v>0.35150337104167884</v>
      </c>
      <c r="O96" s="249">
        <f t="shared" ca="1" si="18"/>
        <v>0.45506948307953238</v>
      </c>
      <c r="P96" s="162">
        <v>1</v>
      </c>
      <c r="Q96" s="6"/>
      <c r="R96" s="6"/>
      <c r="S96" s="6"/>
      <c r="T96" s="6"/>
      <c r="U96" s="162"/>
      <c r="V96" s="6"/>
      <c r="W96" s="256"/>
      <c r="X96" s="6"/>
    </row>
    <row r="97" spans="2:29">
      <c r="B97" s="6" t="s">
        <v>493</v>
      </c>
      <c r="C97" s="6"/>
      <c r="D97" s="6" t="s">
        <v>570</v>
      </c>
      <c r="E97" s="6" t="s">
        <v>53</v>
      </c>
      <c r="F97" s="6"/>
      <c r="G97" s="162" t="s">
        <v>336</v>
      </c>
      <c r="H97" s="251" t="s">
        <v>564</v>
      </c>
      <c r="I97" s="284">
        <v>0.6</v>
      </c>
      <c r="J97" s="6"/>
      <c r="K97" s="6"/>
      <c r="L97" s="353">
        <f ca="1">OtherData!I39</f>
        <v>0.01</v>
      </c>
      <c r="M97" s="162">
        <f ca="1">OtherData!J39</f>
        <v>0.01</v>
      </c>
      <c r="N97" s="256"/>
      <c r="O97" s="41"/>
      <c r="P97" s="6"/>
      <c r="Q97" s="6"/>
      <c r="R97" s="6"/>
      <c r="S97" s="6"/>
      <c r="T97" s="6"/>
      <c r="U97" s="162"/>
      <c r="V97" s="6"/>
      <c r="W97" s="256"/>
      <c r="X97" s="6"/>
    </row>
    <row r="98" spans="2:29">
      <c r="B98" s="6" t="s">
        <v>593</v>
      </c>
      <c r="C98" s="6" t="str">
        <f>"HET: Existing " &amp;MID(B98,4,3)&amp; "-based capacity"</f>
        <v>HET: Existing REC-based capacity</v>
      </c>
      <c r="D98" s="6" t="s">
        <v>570</v>
      </c>
      <c r="E98" s="6" t="s">
        <v>53</v>
      </c>
      <c r="F98" s="6"/>
      <c r="G98" s="6"/>
      <c r="H98" s="251" t="s">
        <v>564</v>
      </c>
      <c r="I98" s="284">
        <v>0.6</v>
      </c>
      <c r="J98" s="6"/>
      <c r="K98" s="6"/>
      <c r="L98" s="353"/>
      <c r="M98" s="162"/>
      <c r="N98" s="256"/>
      <c r="O98" s="41"/>
      <c r="P98" s="6"/>
      <c r="Q98" s="6"/>
      <c r="R98" s="6"/>
      <c r="S98" s="6"/>
      <c r="T98" s="6"/>
      <c r="U98" s="162"/>
      <c r="V98" s="6"/>
      <c r="W98" s="256"/>
      <c r="X98" s="6"/>
    </row>
    <row r="99" spans="2:29">
      <c r="B99" s="6" t="s">
        <v>593</v>
      </c>
      <c r="C99" s="6" t="str">
        <f>"HET: Existing " &amp;MID(B99,4,3)&amp; "-based capacity"</f>
        <v>HET: Existing REC-based capacity</v>
      </c>
      <c r="D99" s="6" t="s">
        <v>591</v>
      </c>
      <c r="E99" s="6"/>
      <c r="F99" s="6"/>
      <c r="G99" s="6"/>
      <c r="H99" s="251" t="s">
        <v>564</v>
      </c>
      <c r="I99" s="284">
        <v>1</v>
      </c>
      <c r="J99" s="6"/>
      <c r="K99" s="6"/>
      <c r="L99" s="353"/>
      <c r="M99" s="162"/>
      <c r="N99" s="256"/>
      <c r="O99" s="41"/>
      <c r="P99" s="6"/>
      <c r="Q99" s="6"/>
      <c r="R99" s="6"/>
      <c r="S99" s="6"/>
      <c r="T99" s="6"/>
      <c r="U99" s="162"/>
      <c r="V99" s="6"/>
      <c r="W99" s="256"/>
      <c r="X99" s="6"/>
      <c r="AC99" s="243"/>
    </row>
    <row r="100" spans="2:29">
      <c r="B100" s="257" t="s">
        <v>59</v>
      </c>
      <c r="C100" s="257"/>
      <c r="D100" s="257"/>
      <c r="E100" s="257"/>
      <c r="F100" s="257"/>
      <c r="G100" s="257"/>
      <c r="H100" s="258"/>
      <c r="I100" s="42"/>
      <c r="J100" s="257"/>
      <c r="K100" s="257"/>
      <c r="L100" s="355"/>
      <c r="M100" s="182"/>
      <c r="N100" s="187"/>
      <c r="O100" s="186"/>
      <c r="P100" s="257"/>
      <c r="Q100" s="257"/>
      <c r="R100" s="257"/>
      <c r="S100" s="257"/>
      <c r="T100" s="257"/>
      <c r="U100" s="182"/>
      <c r="V100" s="257"/>
      <c r="W100" s="259"/>
      <c r="X100" s="257"/>
      <c r="AA100" s="257"/>
    </row>
    <row r="101" spans="2:29">
      <c r="B101" s="6" t="s">
        <v>494</v>
      </c>
      <c r="C101" s="6"/>
      <c r="D101" s="6"/>
      <c r="E101" s="6" t="s">
        <v>409</v>
      </c>
      <c r="F101" s="6"/>
      <c r="G101" s="162" t="s">
        <v>336</v>
      </c>
      <c r="H101" s="251"/>
      <c r="I101" s="41"/>
      <c r="J101" s="6"/>
      <c r="K101" s="6"/>
      <c r="L101" s="354">
        <f t="shared" ref="L101:M105" ca="1" si="19">AD25</f>
        <v>7.9736782410447322</v>
      </c>
      <c r="M101" s="253">
        <f t="shared" ca="1" si="19"/>
        <v>0.77626862800550478</v>
      </c>
      <c r="N101" s="256"/>
      <c r="O101" s="41"/>
      <c r="P101" s="6"/>
      <c r="Q101" s="6"/>
      <c r="R101" s="6"/>
      <c r="S101" s="6"/>
      <c r="T101" s="254" t="str">
        <f>IF(Y25&lt;0,1/(1-K25)/(1+1/M101/ABS(Y25)),"")</f>
        <v/>
      </c>
      <c r="U101" s="339" t="str">
        <f>IF(SUM(T101),5,"")</f>
        <v/>
      </c>
      <c r="V101" s="6"/>
      <c r="W101" s="256"/>
      <c r="X101" s="6"/>
      <c r="AA101" s="135">
        <v>1</v>
      </c>
    </row>
    <row r="102" spans="2:29">
      <c r="B102" s="6" t="s">
        <v>495</v>
      </c>
      <c r="C102" s="6"/>
      <c r="D102" s="6"/>
      <c r="E102" s="6" t="s">
        <v>409</v>
      </c>
      <c r="F102" s="6"/>
      <c r="G102" s="162" t="s">
        <v>599</v>
      </c>
      <c r="H102" s="251"/>
      <c r="I102" s="41"/>
      <c r="J102" s="6"/>
      <c r="K102" s="6"/>
      <c r="L102" s="354">
        <f t="shared" ca="1" si="19"/>
        <v>1.5102606658028332</v>
      </c>
      <c r="M102" s="253">
        <f t="shared" ca="1" si="19"/>
        <v>0.5439102822831684</v>
      </c>
      <c r="N102" s="247">
        <f ca="1">I26*0.98</f>
        <v>0.28234216433080561</v>
      </c>
      <c r="O102" s="249">
        <f ca="1">J26*0.98</f>
        <v>4.7531902728673872E-2</v>
      </c>
      <c r="P102" s="6">
        <v>1</v>
      </c>
      <c r="Q102" s="6"/>
      <c r="R102" s="6"/>
      <c r="S102" s="6"/>
      <c r="T102" s="254">
        <f ca="1">IF(Y26&lt;0,1/(1-K26)/(1+1/M102/ABS(Y26)),"")</f>
        <v>0.11463389613773252</v>
      </c>
      <c r="U102" s="339">
        <f ca="1">IF(SUM(T102),5,"")</f>
        <v>5</v>
      </c>
      <c r="V102" s="6"/>
      <c r="W102" s="256"/>
      <c r="X102" s="6"/>
      <c r="AA102" s="135">
        <v>2</v>
      </c>
    </row>
    <row r="103" spans="2:29">
      <c r="B103" s="6" t="s">
        <v>496</v>
      </c>
      <c r="C103" s="6"/>
      <c r="D103" s="6" t="s">
        <v>152</v>
      </c>
      <c r="E103" s="6" t="s">
        <v>409</v>
      </c>
      <c r="F103" s="6" t="s">
        <v>382</v>
      </c>
      <c r="G103" s="162" t="s">
        <v>599</v>
      </c>
      <c r="H103" s="251" t="s">
        <v>607</v>
      </c>
      <c r="I103" s="41">
        <v>0.05</v>
      </c>
      <c r="J103" s="6">
        <v>0.17</v>
      </c>
      <c r="K103" s="6">
        <v>0.25</v>
      </c>
      <c r="L103" s="354">
        <f t="shared" ca="1" si="19"/>
        <v>1.8048204398270575</v>
      </c>
      <c r="M103" s="253">
        <f t="shared" ca="1" si="19"/>
        <v>1.9316026647453399</v>
      </c>
      <c r="N103" s="256"/>
      <c r="O103" s="41"/>
      <c r="P103" s="6"/>
      <c r="Q103" s="6"/>
      <c r="R103" s="6"/>
      <c r="S103" s="6"/>
      <c r="T103" s="254">
        <f ca="1">IF(Y27&lt;0,1/(1-K27)/(1+1/M103/ABS(Y27)),"")</f>
        <v>0.48059128100758863</v>
      </c>
      <c r="U103" s="339">
        <f ca="1">IF(SUM(T103),5,"")</f>
        <v>5</v>
      </c>
      <c r="V103" s="6"/>
      <c r="W103" s="256"/>
      <c r="X103" s="6"/>
      <c r="AA103" s="135">
        <v>3</v>
      </c>
    </row>
    <row r="104" spans="2:29">
      <c r="B104" s="6" t="s">
        <v>497</v>
      </c>
      <c r="C104" s="6"/>
      <c r="D104" s="6" t="s">
        <v>152</v>
      </c>
      <c r="E104" s="6" t="s">
        <v>409</v>
      </c>
      <c r="F104" s="6" t="s">
        <v>382</v>
      </c>
      <c r="G104" s="162" t="s">
        <v>336</v>
      </c>
      <c r="H104" s="251" t="s">
        <v>607</v>
      </c>
      <c r="I104" s="41">
        <v>0.15</v>
      </c>
      <c r="J104" s="6">
        <v>0.3</v>
      </c>
      <c r="K104" s="6">
        <v>0.4</v>
      </c>
      <c r="L104" s="354">
        <f t="shared" ca="1" si="19"/>
        <v>2.0512260789412031</v>
      </c>
      <c r="M104" s="253">
        <f t="shared" ca="1" si="19"/>
        <v>2.1621282376110602</v>
      </c>
      <c r="N104" s="256"/>
      <c r="O104" s="41"/>
      <c r="P104" s="6"/>
      <c r="Q104" s="6"/>
      <c r="R104" s="6"/>
      <c r="S104" s="6"/>
      <c r="T104" s="254" t="str">
        <f>IF(Y28&lt;0,1/(1-K28)/(1+1/M104/ABS(Y28)),"")</f>
        <v/>
      </c>
      <c r="U104" s="339" t="str">
        <f>IF(SUM(T104),5,"")</f>
        <v/>
      </c>
      <c r="V104" s="6"/>
      <c r="W104" s="256"/>
      <c r="X104" s="6"/>
      <c r="AA104" s="135">
        <v>4</v>
      </c>
    </row>
    <row r="105" spans="2:29">
      <c r="B105" s="6" t="s">
        <v>498</v>
      </c>
      <c r="C105" s="6"/>
      <c r="D105" s="6" t="s">
        <v>354</v>
      </c>
      <c r="E105" s="6" t="s">
        <v>409</v>
      </c>
      <c r="F105" s="6"/>
      <c r="G105" s="162" t="s">
        <v>336</v>
      </c>
      <c r="H105" s="251"/>
      <c r="I105" s="41"/>
      <c r="J105" s="6"/>
      <c r="K105" s="6"/>
      <c r="L105" s="354">
        <f t="shared" ca="1" si="19"/>
        <v>1.9879315563405366</v>
      </c>
      <c r="M105" s="253">
        <f t="shared" ca="1" si="19"/>
        <v>2.0225726199714846</v>
      </c>
      <c r="N105" s="256"/>
      <c r="O105" s="41"/>
      <c r="P105" s="6"/>
      <c r="Q105" s="6"/>
      <c r="R105" s="6"/>
      <c r="S105" s="6"/>
      <c r="T105" s="254" t="str">
        <f>IF(Y29&lt;0,1/(1-K29)/(1+1/M105/ABS(Y29)),"")</f>
        <v/>
      </c>
      <c r="U105" s="339" t="str">
        <f>IF(SUM(T105),5,"")</f>
        <v/>
      </c>
      <c r="V105" s="6"/>
      <c r="W105" s="256"/>
      <c r="X105" s="6"/>
      <c r="AA105" s="135">
        <v>5</v>
      </c>
    </row>
    <row r="106" spans="2:29">
      <c r="B106" s="257" t="s">
        <v>59</v>
      </c>
      <c r="C106" s="257"/>
      <c r="D106" s="257"/>
      <c r="E106" s="257"/>
      <c r="F106" s="257"/>
      <c r="G106" s="257"/>
      <c r="H106" s="258"/>
      <c r="I106" s="42"/>
      <c r="J106" s="257"/>
      <c r="K106" s="257"/>
      <c r="L106" s="355"/>
      <c r="M106" s="182"/>
      <c r="N106" s="187"/>
      <c r="O106" s="186"/>
      <c r="P106" s="257"/>
      <c r="Q106" s="257"/>
      <c r="R106" s="257"/>
      <c r="S106" s="257"/>
      <c r="T106" s="257"/>
      <c r="U106" s="182"/>
      <c r="V106" s="257"/>
      <c r="W106" s="259"/>
      <c r="X106" s="257"/>
      <c r="AA106" s="257"/>
    </row>
    <row r="107" spans="2:29">
      <c r="B107" s="6" t="s">
        <v>499</v>
      </c>
      <c r="C107" s="6"/>
      <c r="D107" s="6"/>
      <c r="E107" s="6" t="s">
        <v>410</v>
      </c>
      <c r="F107" s="6"/>
      <c r="G107" s="162" t="s">
        <v>336</v>
      </c>
      <c r="H107" s="251"/>
      <c r="I107" s="41"/>
      <c r="J107" s="6"/>
      <c r="K107" s="6"/>
      <c r="L107" s="354">
        <f t="shared" ref="L107:M111" ca="1" si="20">AD31</f>
        <v>7.9736782410447322</v>
      </c>
      <c r="M107" s="253">
        <f t="shared" ca="1" si="20"/>
        <v>0.79010536942140475</v>
      </c>
      <c r="N107" s="256"/>
      <c r="O107" s="41"/>
      <c r="P107" s="6"/>
      <c r="Q107" s="6"/>
      <c r="R107" s="6"/>
      <c r="S107" s="6"/>
      <c r="T107" s="6"/>
      <c r="U107" s="162"/>
      <c r="V107" s="6"/>
      <c r="W107" s="256"/>
      <c r="X107" s="6"/>
      <c r="AA107" s="135">
        <v>1</v>
      </c>
    </row>
    <row r="108" spans="2:29">
      <c r="B108" s="6" t="s">
        <v>500</v>
      </c>
      <c r="C108" s="6"/>
      <c r="D108" s="6"/>
      <c r="E108" s="6" t="s">
        <v>410</v>
      </c>
      <c r="F108" s="6"/>
      <c r="G108" s="162" t="s">
        <v>336</v>
      </c>
      <c r="H108" s="251"/>
      <c r="I108" s="41"/>
      <c r="J108" s="6"/>
      <c r="K108" s="6"/>
      <c r="L108" s="354">
        <f t="shared" ca="1" si="20"/>
        <v>1.7188016017011873</v>
      </c>
      <c r="M108" s="253">
        <f t="shared" ca="1" si="20"/>
        <v>0.58777113399071446</v>
      </c>
      <c r="N108" s="247">
        <f ca="1">I32*0.98</f>
        <v>0.19411225773069976</v>
      </c>
      <c r="O108" s="249">
        <f ca="1">J32*0.98</f>
        <v>7.4398098075906995E-3</v>
      </c>
      <c r="P108" s="6">
        <v>1</v>
      </c>
      <c r="Q108" s="6"/>
      <c r="R108" s="6"/>
      <c r="S108" s="6"/>
      <c r="T108" s="6"/>
      <c r="U108" s="162"/>
      <c r="V108" s="6"/>
      <c r="W108" s="256"/>
      <c r="X108" s="6"/>
      <c r="AA108" s="135">
        <v>2</v>
      </c>
    </row>
    <row r="109" spans="2:29">
      <c r="B109" s="6" t="s">
        <v>501</v>
      </c>
      <c r="C109" s="6"/>
      <c r="D109" s="6" t="s">
        <v>152</v>
      </c>
      <c r="E109" s="6" t="s">
        <v>410</v>
      </c>
      <c r="F109" s="6" t="s">
        <v>382</v>
      </c>
      <c r="G109" s="162" t="s">
        <v>336</v>
      </c>
      <c r="H109" s="251" t="s">
        <v>607</v>
      </c>
      <c r="I109" s="41">
        <v>0.1</v>
      </c>
      <c r="J109" s="6">
        <v>0.25</v>
      </c>
      <c r="K109" s="6">
        <v>0.3</v>
      </c>
      <c r="L109" s="354">
        <f t="shared" ca="1" si="20"/>
        <v>2.087864557121645</v>
      </c>
      <c r="M109" s="253">
        <f t="shared" ca="1" si="20"/>
        <v>2.2504828751035042</v>
      </c>
      <c r="N109" s="256"/>
      <c r="O109" s="41"/>
      <c r="P109" s="6"/>
      <c r="Q109" s="6"/>
      <c r="R109" s="6"/>
      <c r="S109" s="6"/>
      <c r="T109" s="6"/>
      <c r="U109" s="162"/>
      <c r="V109" s="6"/>
      <c r="W109" s="256"/>
      <c r="X109" s="6"/>
      <c r="AA109" s="135">
        <v>3</v>
      </c>
    </row>
    <row r="110" spans="2:29">
      <c r="B110" s="6" t="s">
        <v>502</v>
      </c>
      <c r="C110" s="6"/>
      <c r="D110" s="6" t="s">
        <v>152</v>
      </c>
      <c r="E110" s="6" t="s">
        <v>410</v>
      </c>
      <c r="F110" s="6" t="s">
        <v>382</v>
      </c>
      <c r="G110" s="162" t="s">
        <v>336</v>
      </c>
      <c r="H110" s="251" t="s">
        <v>607</v>
      </c>
      <c r="I110" s="41">
        <v>0.2</v>
      </c>
      <c r="J110" s="6">
        <v>0.4</v>
      </c>
      <c r="K110" s="6">
        <v>0.5</v>
      </c>
      <c r="L110" s="354">
        <f t="shared" ca="1" si="20"/>
        <v>2.4060623556131362</v>
      </c>
      <c r="M110" s="253">
        <f t="shared" ca="1" si="20"/>
        <v>2.5521962020716216</v>
      </c>
      <c r="N110" s="256"/>
      <c r="O110" s="41"/>
      <c r="P110" s="6"/>
      <c r="Q110" s="6"/>
      <c r="R110" s="6"/>
      <c r="S110" s="6"/>
      <c r="T110" s="6"/>
      <c r="U110" s="162"/>
      <c r="V110" s="6"/>
      <c r="W110" s="256"/>
      <c r="X110" s="6"/>
      <c r="AA110" s="135">
        <v>4</v>
      </c>
    </row>
    <row r="111" spans="2:29">
      <c r="B111" s="6" t="s">
        <v>503</v>
      </c>
      <c r="C111" s="6"/>
      <c r="D111" s="6" t="s">
        <v>354</v>
      </c>
      <c r="E111" s="6" t="s">
        <v>410</v>
      </c>
      <c r="F111" s="6"/>
      <c r="G111" s="162" t="s">
        <v>336</v>
      </c>
      <c r="H111" s="251"/>
      <c r="I111" s="41"/>
      <c r="J111" s="6"/>
      <c r="K111" s="6"/>
      <c r="L111" s="354">
        <f t="shared" ca="1" si="20"/>
        <v>2.3234809953591</v>
      </c>
      <c r="M111" s="253">
        <f t="shared" ca="1" si="20"/>
        <v>2.3686044339330206</v>
      </c>
      <c r="N111" s="256"/>
      <c r="O111" s="41"/>
      <c r="P111" s="6"/>
      <c r="Q111" s="6"/>
      <c r="R111" s="6"/>
      <c r="S111" s="6"/>
      <c r="T111" s="6"/>
      <c r="U111" s="162"/>
      <c r="V111" s="6"/>
      <c r="W111" s="256"/>
      <c r="X111" s="6"/>
      <c r="AA111" s="135">
        <v>5</v>
      </c>
    </row>
    <row r="112" spans="2:29">
      <c r="B112" s="257" t="s">
        <v>59</v>
      </c>
      <c r="C112" s="257"/>
      <c r="D112" s="257"/>
      <c r="E112" s="257"/>
      <c r="F112" s="257"/>
      <c r="G112" s="257"/>
      <c r="H112" s="258"/>
      <c r="I112" s="42"/>
      <c r="J112" s="257"/>
      <c r="K112" s="257"/>
      <c r="L112" s="355"/>
      <c r="M112" s="182"/>
      <c r="N112" s="187"/>
      <c r="O112" s="186"/>
      <c r="P112" s="257"/>
      <c r="Q112" s="257"/>
      <c r="R112" s="257"/>
      <c r="S112" s="257"/>
      <c r="T112" s="257"/>
      <c r="U112" s="182"/>
      <c r="V112" s="257"/>
      <c r="W112" s="259"/>
      <c r="X112" s="257"/>
      <c r="AA112" s="257"/>
    </row>
    <row r="113" spans="2:27">
      <c r="B113" s="6" t="s">
        <v>504</v>
      </c>
      <c r="C113" s="6"/>
      <c r="D113" s="6"/>
      <c r="E113" s="6" t="s">
        <v>411</v>
      </c>
      <c r="F113" s="6"/>
      <c r="G113" s="162" t="s">
        <v>336</v>
      </c>
      <c r="H113" s="251"/>
      <c r="I113" s="41"/>
      <c r="J113" s="6"/>
      <c r="K113" s="6"/>
      <c r="L113" s="354">
        <f t="shared" ref="L113:M117" ca="1" si="21">AD37</f>
        <v>7.9736782410447322</v>
      </c>
      <c r="M113" s="253">
        <f t="shared" ca="1" si="21"/>
        <v>0.77093069851242868</v>
      </c>
      <c r="N113" s="256"/>
      <c r="O113" s="41"/>
      <c r="P113" s="6"/>
      <c r="Q113" s="6"/>
      <c r="R113" s="6"/>
      <c r="S113" s="6"/>
      <c r="T113" s="254" t="str">
        <f>IF(Y37&lt;0,1/(1-K37)/(1+1/M113/ABS(Y37)),"")</f>
        <v/>
      </c>
      <c r="U113" s="339" t="str">
        <f>IF(SUM(T113),5,"")</f>
        <v/>
      </c>
      <c r="V113" s="6"/>
      <c r="W113" s="256"/>
      <c r="X113" s="6"/>
      <c r="AA113" s="135">
        <v>1</v>
      </c>
    </row>
    <row r="114" spans="2:27">
      <c r="B114" s="6" t="s">
        <v>505</v>
      </c>
      <c r="C114" s="6"/>
      <c r="D114" s="6"/>
      <c r="E114" s="6" t="s">
        <v>411</v>
      </c>
      <c r="F114" s="6"/>
      <c r="G114" s="162" t="s">
        <v>336</v>
      </c>
      <c r="H114" s="251"/>
      <c r="I114" s="41"/>
      <c r="J114" s="6"/>
      <c r="K114" s="6"/>
      <c r="L114" s="354">
        <f t="shared" ca="1" si="21"/>
        <v>1.4392911045351555</v>
      </c>
      <c r="M114" s="253">
        <f t="shared" ca="1" si="21"/>
        <v>0.52790073738805932</v>
      </c>
      <c r="N114" s="256"/>
      <c r="O114" s="41"/>
      <c r="P114" s="6"/>
      <c r="Q114" s="6"/>
      <c r="R114" s="6"/>
      <c r="S114" s="6"/>
      <c r="T114" s="254" t="str">
        <f>IF(Y38&lt;0,1/(1-K38)/(1+1/M114/ABS(Y38)),"")</f>
        <v/>
      </c>
      <c r="U114" s="339" t="str">
        <f>IF(SUM(T114),5,"")</f>
        <v/>
      </c>
      <c r="V114" s="6"/>
      <c r="W114" s="256"/>
      <c r="X114" s="6"/>
      <c r="AA114" s="135">
        <v>2</v>
      </c>
    </row>
    <row r="115" spans="2:27">
      <c r="B115" s="6" t="s">
        <v>506</v>
      </c>
      <c r="C115" s="6"/>
      <c r="D115" s="6" t="s">
        <v>152</v>
      </c>
      <c r="E115" s="6" t="s">
        <v>411</v>
      </c>
      <c r="F115" s="6" t="s">
        <v>382</v>
      </c>
      <c r="G115" s="162" t="s">
        <v>599</v>
      </c>
      <c r="H115" s="251" t="s">
        <v>607</v>
      </c>
      <c r="I115" s="41">
        <v>0.15</v>
      </c>
      <c r="J115" s="6">
        <v>0.3</v>
      </c>
      <c r="K115" s="6">
        <v>0.4</v>
      </c>
      <c r="L115" s="354">
        <f t="shared" ca="1" si="21"/>
        <v>1.7105767488963923</v>
      </c>
      <c r="M115" s="253">
        <f t="shared" ca="1" si="21"/>
        <v>1.8264277284040971</v>
      </c>
      <c r="N115" s="256"/>
      <c r="O115" s="41"/>
      <c r="P115" s="6"/>
      <c r="Q115" s="6"/>
      <c r="R115" s="6"/>
      <c r="S115" s="6"/>
      <c r="T115" s="254">
        <f ca="1">IF(Y39&lt;0,1/(1-K39)/(1+1/M115/ABS(Y39)),"")</f>
        <v>0.45617142809661038</v>
      </c>
      <c r="U115" s="339">
        <f ca="1">IF(SUM(T115),5,"")</f>
        <v>5</v>
      </c>
      <c r="V115" s="6"/>
      <c r="W115" s="256"/>
      <c r="X115" s="6"/>
      <c r="AA115" s="135">
        <v>3</v>
      </c>
    </row>
    <row r="116" spans="2:27">
      <c r="B116" s="6" t="s">
        <v>507</v>
      </c>
      <c r="C116" s="6"/>
      <c r="D116" s="6" t="s">
        <v>152</v>
      </c>
      <c r="E116" s="6" t="s">
        <v>411</v>
      </c>
      <c r="F116" s="6" t="s">
        <v>382</v>
      </c>
      <c r="G116" s="162" t="s">
        <v>599</v>
      </c>
      <c r="H116" s="251" t="s">
        <v>607</v>
      </c>
      <c r="I116" s="41">
        <v>0.25</v>
      </c>
      <c r="J116" s="6">
        <v>0.5</v>
      </c>
      <c r="K116" s="6">
        <v>0.6</v>
      </c>
      <c r="L116" s="354">
        <f t="shared" ca="1" si="21"/>
        <v>1.9352379814795493</v>
      </c>
      <c r="M116" s="253">
        <f t="shared" ca="1" si="21"/>
        <v>2.0356852451766434</v>
      </c>
      <c r="N116" s="256"/>
      <c r="O116" s="41"/>
      <c r="P116" s="6"/>
      <c r="Q116" s="6"/>
      <c r="R116" s="6"/>
      <c r="S116" s="6"/>
      <c r="T116" s="254">
        <f ca="1">IF(Y40&lt;0,1/(1-K40)/(1+1/M116/ABS(Y40)),"")</f>
        <v>0.50065322845284577</v>
      </c>
      <c r="U116" s="339">
        <f ca="1">IF(SUM(T116),5,"")</f>
        <v>5</v>
      </c>
      <c r="V116" s="6"/>
      <c r="W116" s="256"/>
      <c r="X116" s="6"/>
      <c r="AA116" s="135">
        <v>4</v>
      </c>
    </row>
    <row r="117" spans="2:27">
      <c r="B117" s="6" t="s">
        <v>508</v>
      </c>
      <c r="C117" s="6"/>
      <c r="D117" s="6" t="s">
        <v>354</v>
      </c>
      <c r="E117" s="6" t="s">
        <v>411</v>
      </c>
      <c r="F117" s="6"/>
      <c r="G117" s="162" t="s">
        <v>336</v>
      </c>
      <c r="H117" s="251"/>
      <c r="I117" s="41"/>
      <c r="J117" s="6"/>
      <c r="K117" s="6"/>
      <c r="L117" s="354">
        <f t="shared" ca="1" si="21"/>
        <v>1.8777250336547116</v>
      </c>
      <c r="M117" s="253">
        <f t="shared" ca="1" si="21"/>
        <v>1.9092185673983537</v>
      </c>
      <c r="N117" s="256"/>
      <c r="O117" s="41"/>
      <c r="P117" s="6"/>
      <c r="Q117" s="6"/>
      <c r="R117" s="6"/>
      <c r="S117" s="6"/>
      <c r="T117" s="254" t="str">
        <f>IF(Y41&lt;0,1/(1-K41)/(1+1/M117/ABS(Y41)),"")</f>
        <v/>
      </c>
      <c r="U117" s="339" t="str">
        <f>IF(SUM(T117),5,"")</f>
        <v/>
      </c>
      <c r="V117" s="6"/>
      <c r="W117" s="256"/>
      <c r="X117" s="6"/>
      <c r="AA117" s="135">
        <v>5</v>
      </c>
    </row>
    <row r="118" spans="2:27">
      <c r="B118" s="257" t="s">
        <v>59</v>
      </c>
      <c r="C118" s="257"/>
      <c r="D118" s="257"/>
      <c r="E118" s="257"/>
      <c r="F118" s="257"/>
      <c r="G118" s="257"/>
      <c r="H118" s="258"/>
      <c r="I118" s="42"/>
      <c r="J118" s="257"/>
      <c r="K118" s="257"/>
      <c r="L118" s="355"/>
      <c r="M118" s="182"/>
      <c r="N118" s="187"/>
      <c r="O118" s="186"/>
      <c r="P118" s="257"/>
      <c r="Q118" s="257"/>
      <c r="R118" s="257"/>
      <c r="S118" s="257"/>
      <c r="T118" s="257"/>
      <c r="U118" s="182"/>
      <c r="V118" s="257"/>
      <c r="W118" s="259"/>
      <c r="X118" s="257"/>
      <c r="AA118" s="257"/>
    </row>
    <row r="119" spans="2:27">
      <c r="B119" s="6" t="s">
        <v>509</v>
      </c>
      <c r="C119" s="6"/>
      <c r="D119" s="6"/>
      <c r="E119" s="6" t="s">
        <v>412</v>
      </c>
      <c r="F119" s="6"/>
      <c r="G119" s="162" t="s">
        <v>336</v>
      </c>
      <c r="H119" s="251"/>
      <c r="I119" s="41"/>
      <c r="J119" s="6"/>
      <c r="K119" s="6"/>
      <c r="L119" s="354">
        <f t="shared" ref="L119:M123" ca="1" si="22">AD43</f>
        <v>7.9736782410447322</v>
      </c>
      <c r="M119" s="253">
        <f t="shared" ca="1" si="22"/>
        <v>0.8355131025008492</v>
      </c>
      <c r="N119" s="256"/>
      <c r="O119" s="41"/>
      <c r="P119" s="6"/>
      <c r="Q119" s="6"/>
      <c r="R119" s="6"/>
      <c r="S119" s="6"/>
      <c r="T119" s="6"/>
      <c r="U119" s="162"/>
      <c r="V119" s="6"/>
      <c r="W119" s="256"/>
      <c r="X119" s="6"/>
      <c r="AA119" s="135">
        <v>1</v>
      </c>
    </row>
    <row r="120" spans="2:27">
      <c r="B120" s="6" t="s">
        <v>510</v>
      </c>
      <c r="C120" s="6"/>
      <c r="D120" s="6"/>
      <c r="E120" s="6" t="s">
        <v>412</v>
      </c>
      <c r="F120" s="6"/>
      <c r="G120" s="162" t="s">
        <v>336</v>
      </c>
      <c r="H120" s="251"/>
      <c r="I120" s="41"/>
      <c r="J120" s="6"/>
      <c r="K120" s="6"/>
      <c r="L120" s="354">
        <f t="shared" ca="1" si="22"/>
        <v>2.8103372216268272</v>
      </c>
      <c r="M120" s="253">
        <f t="shared" ca="1" si="22"/>
        <v>0.76020398246180576</v>
      </c>
      <c r="N120" s="256"/>
      <c r="O120" s="41"/>
      <c r="P120" s="6"/>
      <c r="Q120" s="6"/>
      <c r="R120" s="6"/>
      <c r="S120" s="6"/>
      <c r="T120" s="6"/>
      <c r="U120" s="162"/>
      <c r="V120" s="6"/>
      <c r="W120" s="256"/>
      <c r="X120" s="6"/>
      <c r="AA120" s="135">
        <v>2</v>
      </c>
    </row>
    <row r="121" spans="2:27">
      <c r="B121" s="6" t="s">
        <v>511</v>
      </c>
      <c r="C121" s="6"/>
      <c r="D121" s="6" t="s">
        <v>152</v>
      </c>
      <c r="E121" s="6" t="s">
        <v>412</v>
      </c>
      <c r="F121" s="6" t="s">
        <v>382</v>
      </c>
      <c r="G121" s="162" t="s">
        <v>336</v>
      </c>
      <c r="H121" s="251" t="s">
        <v>607</v>
      </c>
      <c r="I121" s="41">
        <v>0.15</v>
      </c>
      <c r="J121" s="6">
        <v>0.3</v>
      </c>
      <c r="K121" s="6">
        <v>0.4</v>
      </c>
      <c r="L121" s="354">
        <f t="shared" ca="1" si="22"/>
        <v>3.735824618868127</v>
      </c>
      <c r="M121" s="253">
        <f t="shared" ca="1" si="22"/>
        <v>4.2014423727053618</v>
      </c>
      <c r="N121" s="256"/>
      <c r="O121" s="41"/>
      <c r="P121" s="6"/>
      <c r="Q121" s="6"/>
      <c r="R121" s="6"/>
      <c r="S121" s="6"/>
      <c r="T121" s="6"/>
      <c r="U121" s="162"/>
      <c r="V121" s="6"/>
      <c r="W121" s="256"/>
      <c r="X121" s="6"/>
      <c r="AA121" s="135">
        <v>3</v>
      </c>
    </row>
    <row r="122" spans="2:27">
      <c r="B122" s="6" t="s">
        <v>512</v>
      </c>
      <c r="C122" s="6"/>
      <c r="D122" s="6" t="s">
        <v>152</v>
      </c>
      <c r="E122" s="6" t="s">
        <v>412</v>
      </c>
      <c r="F122" s="6" t="s">
        <v>382</v>
      </c>
      <c r="G122" s="162" t="s">
        <v>336</v>
      </c>
      <c r="H122" s="251" t="s">
        <v>607</v>
      </c>
      <c r="I122" s="41">
        <v>0.25</v>
      </c>
      <c r="J122" s="6">
        <v>0.5</v>
      </c>
      <c r="K122" s="6">
        <v>0.6</v>
      </c>
      <c r="L122" s="354">
        <f t="shared" ca="1" si="22"/>
        <v>4.6863463297970833</v>
      </c>
      <c r="M122" s="253">
        <f t="shared" ca="1" si="22"/>
        <v>5.1816676532567776</v>
      </c>
      <c r="N122" s="256"/>
      <c r="O122" s="41"/>
      <c r="P122" s="6"/>
      <c r="Q122" s="6"/>
      <c r="R122" s="6"/>
      <c r="S122" s="6"/>
      <c r="T122" s="6"/>
      <c r="U122" s="162"/>
      <c r="V122" s="6"/>
      <c r="W122" s="256"/>
      <c r="X122" s="6"/>
      <c r="AA122" s="135">
        <v>4</v>
      </c>
    </row>
    <row r="123" spans="2:27">
      <c r="B123" s="6" t="s">
        <v>513</v>
      </c>
      <c r="C123" s="6"/>
      <c r="D123" s="6" t="s">
        <v>354</v>
      </c>
      <c r="E123" s="6" t="s">
        <v>412</v>
      </c>
      <c r="F123" s="6"/>
      <c r="G123" s="162" t="s">
        <v>336</v>
      </c>
      <c r="H123" s="251"/>
      <c r="I123" s="41"/>
      <c r="J123" s="6"/>
      <c r="K123" s="6"/>
      <c r="L123" s="354">
        <f t="shared" ca="1" si="22"/>
        <v>4.4238495563284337</v>
      </c>
      <c r="M123" s="253">
        <f t="shared" ca="1" si="22"/>
        <v>4.5658014214872571</v>
      </c>
      <c r="N123" s="256"/>
      <c r="O123" s="41"/>
      <c r="P123" s="6"/>
      <c r="Q123" s="6"/>
      <c r="R123" s="6"/>
      <c r="S123" s="6"/>
      <c r="T123" s="6"/>
      <c r="U123" s="162"/>
      <c r="V123" s="6"/>
      <c r="W123" s="256"/>
      <c r="X123" s="6"/>
      <c r="AA123" s="135">
        <v>5</v>
      </c>
    </row>
    <row r="124" spans="2:27">
      <c r="B124" s="257" t="s">
        <v>59</v>
      </c>
      <c r="C124" s="257"/>
      <c r="D124" s="257"/>
      <c r="E124" s="257"/>
      <c r="F124" s="257"/>
      <c r="G124" s="257"/>
      <c r="H124" s="258"/>
      <c r="I124" s="42"/>
      <c r="J124" s="257"/>
      <c r="K124" s="257"/>
      <c r="L124" s="259"/>
      <c r="M124" s="257"/>
      <c r="N124" s="187"/>
      <c r="O124" s="186"/>
      <c r="P124" s="257"/>
      <c r="Q124" s="257"/>
      <c r="R124" s="257"/>
      <c r="S124" s="257"/>
      <c r="T124" s="257"/>
      <c r="U124" s="182"/>
      <c r="V124" s="257"/>
      <c r="W124" s="259"/>
      <c r="X124" s="257"/>
      <c r="AA124" s="257"/>
    </row>
    <row r="125" spans="2:27">
      <c r="B125" s="6" t="s">
        <v>356</v>
      </c>
      <c r="C125" s="6"/>
      <c r="D125" s="6"/>
      <c r="E125" s="6"/>
      <c r="F125" s="6"/>
      <c r="G125" s="6"/>
      <c r="H125" s="251"/>
      <c r="I125" s="41"/>
      <c r="J125" s="6"/>
      <c r="K125" s="6"/>
      <c r="L125" s="256"/>
      <c r="M125" s="6"/>
      <c r="N125" s="247">
        <f ca="1">I50/1.2</f>
        <v>9.4520261546433046E-2</v>
      </c>
      <c r="O125" s="249">
        <f ca="1">J50/1.2</f>
        <v>2.2800336143000574E-2</v>
      </c>
      <c r="P125" s="6"/>
      <c r="Q125" s="6"/>
      <c r="R125" s="6"/>
      <c r="S125" s="6"/>
      <c r="T125" s="6"/>
      <c r="U125" s="162"/>
      <c r="V125" s="6"/>
      <c r="W125" s="256"/>
      <c r="X125" s="6"/>
    </row>
    <row r="126" spans="2:27">
      <c r="B126" s="6" t="s">
        <v>360</v>
      </c>
      <c r="C126" s="6"/>
      <c r="D126" s="6"/>
      <c r="E126" s="6"/>
      <c r="F126" s="6"/>
      <c r="G126" s="6"/>
      <c r="H126" s="251"/>
      <c r="I126" s="41"/>
      <c r="J126" s="6"/>
      <c r="K126" s="6"/>
      <c r="L126" s="256"/>
      <c r="M126" s="6"/>
      <c r="N126" s="247">
        <f ca="1">IF(L56,I56*0.8,"")</f>
        <v>0.15116773179170934</v>
      </c>
      <c r="O126" s="249">
        <f ca="1">IF(M56,J56*0.8,"")</f>
        <v>4.1098832260847096E-2</v>
      </c>
      <c r="P126" s="6"/>
      <c r="Q126" s="6"/>
      <c r="R126" s="6"/>
      <c r="S126" s="6"/>
      <c r="T126" s="6"/>
      <c r="U126" s="162"/>
      <c r="V126" s="6"/>
      <c r="W126" s="256"/>
      <c r="X126" s="6"/>
    </row>
    <row r="127" spans="2:27">
      <c r="B127" s="6" t="s">
        <v>649</v>
      </c>
      <c r="C127" s="6"/>
      <c r="D127" s="6" t="s">
        <v>684</v>
      </c>
      <c r="E127" s="6"/>
      <c r="F127" s="6"/>
      <c r="G127" s="6"/>
      <c r="H127" s="251" t="s">
        <v>564</v>
      </c>
      <c r="I127" s="360">
        <f ca="1">IF(OtherData!O39&gt;2,MIN((OtherData!O39-1)/2,1-1/OtherData!O39),MAX(0,1-1/OtherData!O39))</f>
        <v>0.4621916185269056</v>
      </c>
      <c r="J127" s="348">
        <f ca="1">IF(OtherData!P39&gt;2,MIN((OtherData!P39-1)/2,1-1/OtherData!P39),MAX(0,1-1/OtherData!P39))</f>
        <v>0.44501918240734917</v>
      </c>
      <c r="K127" s="6"/>
      <c r="L127" s="256"/>
      <c r="M127" s="6"/>
      <c r="N127" s="256"/>
      <c r="O127" s="41"/>
      <c r="P127" s="6"/>
      <c r="Q127" s="6"/>
      <c r="R127" s="6"/>
      <c r="S127" s="6"/>
      <c r="T127" s="162"/>
      <c r="U127" s="162"/>
      <c r="V127" s="162">
        <v>0</v>
      </c>
      <c r="W127" s="353"/>
      <c r="X127" s="162"/>
    </row>
    <row r="128" spans="2:27">
      <c r="B128" s="6" t="s">
        <v>650</v>
      </c>
      <c r="C128" s="6"/>
      <c r="D128" s="6" t="s">
        <v>684</v>
      </c>
      <c r="E128" s="6"/>
      <c r="F128" s="6"/>
      <c r="G128" s="6"/>
      <c r="H128" s="251" t="s">
        <v>564</v>
      </c>
      <c r="I128" s="360">
        <f t="shared" ref="I128:J130" si="23">I$127</f>
        <v>0.4621916185269056</v>
      </c>
      <c r="J128" s="348">
        <f t="shared" si="23"/>
        <v>0.44501918240734917</v>
      </c>
      <c r="K128" s="6"/>
      <c r="L128" s="256"/>
      <c r="M128" s="6"/>
      <c r="N128" s="256"/>
      <c r="O128" s="41"/>
      <c r="P128" s="6"/>
      <c r="Q128" s="6"/>
      <c r="R128" s="6"/>
      <c r="S128" s="6"/>
      <c r="T128" s="162"/>
      <c r="U128" s="162"/>
      <c r="V128" s="162">
        <v>0</v>
      </c>
      <c r="W128" s="353"/>
      <c r="X128" s="162"/>
    </row>
    <row r="129" spans="2:24">
      <c r="B129" s="6" t="s">
        <v>652</v>
      </c>
      <c r="C129" s="6"/>
      <c r="D129" s="6" t="s">
        <v>684</v>
      </c>
      <c r="E129" s="6"/>
      <c r="F129" s="6"/>
      <c r="G129" s="6"/>
      <c r="H129" s="251" t="s">
        <v>564</v>
      </c>
      <c r="I129" s="360">
        <f t="shared" si="23"/>
        <v>0.4621916185269056</v>
      </c>
      <c r="J129" s="348">
        <f t="shared" si="23"/>
        <v>0.44501918240734917</v>
      </c>
      <c r="K129" s="6"/>
      <c r="L129" s="256"/>
      <c r="M129" s="6"/>
      <c r="N129" s="256"/>
      <c r="O129" s="41"/>
      <c r="P129" s="6"/>
      <c r="Q129" s="6"/>
      <c r="R129" s="6"/>
      <c r="S129" s="6"/>
      <c r="T129" s="162"/>
      <c r="U129" s="162"/>
      <c r="V129" s="162">
        <v>0</v>
      </c>
      <c r="W129" s="353"/>
      <c r="X129" s="162"/>
    </row>
    <row r="130" spans="2:24">
      <c r="B130" s="6" t="s">
        <v>651</v>
      </c>
      <c r="C130" s="6"/>
      <c r="D130" s="6" t="s">
        <v>684</v>
      </c>
      <c r="E130" s="6"/>
      <c r="F130" s="6"/>
      <c r="G130" s="6"/>
      <c r="H130" s="251" t="s">
        <v>564</v>
      </c>
      <c r="I130" s="360">
        <f t="shared" si="23"/>
        <v>0.4621916185269056</v>
      </c>
      <c r="J130" s="348">
        <f t="shared" si="23"/>
        <v>0.44501918240734917</v>
      </c>
      <c r="K130" s="6"/>
      <c r="L130" s="256"/>
      <c r="M130" s="6"/>
      <c r="N130" s="256"/>
      <c r="O130" s="41"/>
      <c r="P130" s="6"/>
      <c r="Q130" s="6"/>
      <c r="R130" s="6"/>
      <c r="S130" s="6"/>
      <c r="T130" s="162"/>
      <c r="U130" s="162"/>
      <c r="V130" s="162">
        <v>0</v>
      </c>
      <c r="W130" s="353"/>
      <c r="X130" s="162"/>
    </row>
    <row r="131" spans="2:24">
      <c r="B131" s="257" t="s">
        <v>59</v>
      </c>
      <c r="C131" s="257"/>
      <c r="D131" s="257"/>
      <c r="E131" s="257"/>
      <c r="F131" s="257"/>
      <c r="G131" s="257"/>
      <c r="H131" s="258"/>
      <c r="I131" s="42"/>
      <c r="J131" s="257"/>
      <c r="K131" s="257"/>
      <c r="L131" s="259"/>
      <c r="M131" s="257"/>
      <c r="N131" s="187"/>
      <c r="O131" s="186"/>
      <c r="P131" s="257"/>
      <c r="Q131" s="257"/>
      <c r="R131" s="257"/>
      <c r="S131" s="257"/>
      <c r="T131" s="257"/>
      <c r="U131" s="182"/>
      <c r="V131" s="257"/>
      <c r="W131" s="259"/>
      <c r="X131" s="257"/>
    </row>
    <row r="132" spans="2:24">
      <c r="B132" s="6" t="s">
        <v>494</v>
      </c>
      <c r="C132" s="6"/>
      <c r="D132" s="6"/>
      <c r="E132" s="6"/>
      <c r="F132" s="6"/>
      <c r="G132" s="162" t="s">
        <v>599</v>
      </c>
      <c r="H132" s="251"/>
      <c r="I132" s="41"/>
      <c r="J132" s="6"/>
      <c r="K132" s="6"/>
      <c r="L132" s="354"/>
      <c r="M132" s="253"/>
      <c r="N132" s="256"/>
      <c r="O132" s="41"/>
      <c r="P132" s="6"/>
      <c r="Q132" s="6"/>
      <c r="R132" s="6"/>
      <c r="S132" s="6"/>
      <c r="T132" s="254"/>
      <c r="U132" s="339"/>
      <c r="V132" s="6"/>
      <c r="W132" s="354">
        <f t="shared" ref="W132:X136" ca="1" si="24">L101*G25/(1+L101*MAX(0,X25))</f>
        <v>0.78270263645474258</v>
      </c>
      <c r="X132" s="359">
        <f t="shared" ca="1" si="24"/>
        <v>0.39216956188436702</v>
      </c>
    </row>
    <row r="133" spans="2:24">
      <c r="B133" s="6" t="s">
        <v>495</v>
      </c>
      <c r="C133" s="6"/>
      <c r="D133" s="6" t="s">
        <v>676</v>
      </c>
      <c r="E133" s="6"/>
      <c r="F133" s="6" t="s">
        <v>676</v>
      </c>
      <c r="G133" s="162" t="s">
        <v>599</v>
      </c>
      <c r="H133" s="251" t="s">
        <v>699</v>
      </c>
      <c r="I133" s="359">
        <f t="shared" ref="I133:J135" ca="1" si="25">(1+L102*MAX(0,X26))/L102</f>
        <v>0.66213735326836054</v>
      </c>
      <c r="J133" s="359">
        <f t="shared" ca="1" si="25"/>
        <v>1.8385385100688059</v>
      </c>
      <c r="K133" s="6"/>
      <c r="L133" s="354"/>
      <c r="M133" s="253"/>
      <c r="N133" s="247"/>
      <c r="O133" s="249"/>
      <c r="P133" s="6"/>
      <c r="Q133" s="6"/>
      <c r="R133" s="6"/>
      <c r="S133" s="6"/>
      <c r="T133" s="254"/>
      <c r="U133" s="339"/>
      <c r="V133" s="6"/>
      <c r="W133" s="354">
        <f t="shared" ca="1" si="24"/>
        <v>0.5055335053634229</v>
      </c>
      <c r="X133" s="359">
        <f t="shared" ca="1" si="24"/>
        <v>0.2664664304670542</v>
      </c>
    </row>
    <row r="134" spans="2:24">
      <c r="B134" s="6" t="s">
        <v>496</v>
      </c>
      <c r="C134" s="6"/>
      <c r="D134" s="6" t="s">
        <v>677</v>
      </c>
      <c r="E134" s="6"/>
      <c r="F134" s="6" t="s">
        <v>677</v>
      </c>
      <c r="G134" s="162" t="s">
        <v>599</v>
      </c>
      <c r="H134" s="251" t="s">
        <v>699</v>
      </c>
      <c r="I134" s="359">
        <f t="shared" ca="1" si="25"/>
        <v>0.55407173917856478</v>
      </c>
      <c r="J134" s="359">
        <f t="shared" ca="1" si="25"/>
        <v>0.5177048148936152</v>
      </c>
      <c r="K134" s="6"/>
      <c r="L134" s="354"/>
      <c r="M134" s="253"/>
      <c r="N134" s="256"/>
      <c r="O134" s="41"/>
      <c r="P134" s="6"/>
      <c r="Q134" s="6"/>
      <c r="R134" s="6"/>
      <c r="S134" s="6"/>
      <c r="T134" s="254"/>
      <c r="U134" s="339"/>
      <c r="V134" s="6"/>
      <c r="W134" s="354">
        <f t="shared" ca="1" si="24"/>
        <v>0.56416115924432386</v>
      </c>
      <c r="X134" s="359">
        <f t="shared" ca="1" si="24"/>
        <v>0.59200621843885193</v>
      </c>
    </row>
    <row r="135" spans="2:24">
      <c r="B135" s="6" t="s">
        <v>497</v>
      </c>
      <c r="C135" s="6"/>
      <c r="D135" s="6" t="s">
        <v>678</v>
      </c>
      <c r="E135" s="6"/>
      <c r="F135" s="6" t="s">
        <v>678</v>
      </c>
      <c r="G135" s="162" t="s">
        <v>599</v>
      </c>
      <c r="H135" s="251" t="s">
        <v>699</v>
      </c>
      <c r="I135" s="359">
        <f t="shared" ca="1" si="25"/>
        <v>0.48751330253960967</v>
      </c>
      <c r="J135" s="359">
        <f t="shared" ca="1" si="25"/>
        <v>0.46250725678736893</v>
      </c>
      <c r="K135" s="6"/>
      <c r="L135" s="354"/>
      <c r="M135" s="253"/>
      <c r="N135" s="256"/>
      <c r="O135" s="41"/>
      <c r="P135" s="6"/>
      <c r="Q135" s="6"/>
      <c r="R135" s="6"/>
      <c r="S135" s="6"/>
      <c r="T135" s="254"/>
      <c r="U135" s="339"/>
      <c r="V135" s="6"/>
      <c r="W135" s="354">
        <f t="shared" ca="1" si="24"/>
        <v>0.57165303673114731</v>
      </c>
      <c r="X135" s="359">
        <f t="shared" ca="1" si="24"/>
        <v>0.58438272001604796</v>
      </c>
    </row>
    <row r="136" spans="2:24">
      <c r="B136" s="6" t="s">
        <v>498</v>
      </c>
      <c r="C136" s="6"/>
      <c r="D136" s="6"/>
      <c r="E136" s="6"/>
      <c r="F136" s="6"/>
      <c r="G136" s="162" t="s">
        <v>599</v>
      </c>
      <c r="H136" s="251"/>
      <c r="I136" s="41"/>
      <c r="J136" s="6"/>
      <c r="K136" s="6"/>
      <c r="L136" s="354"/>
      <c r="M136" s="253"/>
      <c r="N136" s="256"/>
      <c r="O136" s="41"/>
      <c r="P136" s="6"/>
      <c r="Q136" s="6"/>
      <c r="R136" s="6"/>
      <c r="S136" s="6"/>
      <c r="T136" s="254"/>
      <c r="U136" s="339"/>
      <c r="V136" s="6"/>
      <c r="W136" s="354">
        <f t="shared" ca="1" si="24"/>
        <v>0.55206796842063821</v>
      </c>
      <c r="X136" s="359">
        <f t="shared" ca="1" si="24"/>
        <v>0.56776819098789122</v>
      </c>
    </row>
    <row r="137" spans="2:24">
      <c r="B137" s="257" t="s">
        <v>59</v>
      </c>
      <c r="C137" s="257"/>
      <c r="D137" s="257"/>
      <c r="E137" s="257"/>
      <c r="F137" s="257"/>
      <c r="G137" s="257"/>
      <c r="H137" s="258"/>
      <c r="I137" s="42"/>
      <c r="J137" s="257"/>
      <c r="K137" s="257"/>
      <c r="L137" s="355"/>
      <c r="M137" s="182"/>
      <c r="N137" s="187"/>
      <c r="O137" s="186"/>
      <c r="P137" s="257"/>
      <c r="Q137" s="257"/>
      <c r="R137" s="257"/>
      <c r="S137" s="257"/>
      <c r="T137" s="257"/>
      <c r="U137" s="182"/>
      <c r="V137" s="257"/>
      <c r="W137" s="259"/>
      <c r="X137" s="42"/>
    </row>
    <row r="138" spans="2:24">
      <c r="B138" s="6" t="s">
        <v>499</v>
      </c>
      <c r="C138" s="6"/>
      <c r="D138" s="6"/>
      <c r="E138" s="6"/>
      <c r="F138" s="6"/>
      <c r="G138" s="162" t="s">
        <v>599</v>
      </c>
      <c r="H138" s="251"/>
      <c r="I138" s="41"/>
      <c r="J138" s="6"/>
      <c r="K138" s="6"/>
      <c r="L138" s="354"/>
      <c r="M138" s="253"/>
      <c r="N138" s="256"/>
      <c r="O138" s="41"/>
      <c r="P138" s="6"/>
      <c r="Q138" s="6"/>
      <c r="R138" s="6"/>
      <c r="S138" s="6"/>
      <c r="T138" s="6"/>
      <c r="U138" s="162"/>
      <c r="V138" s="6"/>
      <c r="W138" s="354">
        <f t="shared" ref="W138:X142" ca="1" si="26">L107*G31/(1+L107*MAX(0,X31))</f>
        <v>0.78270263645474258</v>
      </c>
      <c r="X138" s="359">
        <f t="shared" ca="1" si="26"/>
        <v>0.39607452627222378</v>
      </c>
    </row>
    <row r="139" spans="2:24">
      <c r="B139" s="6" t="s">
        <v>500</v>
      </c>
      <c r="C139" s="6"/>
      <c r="D139" s="6"/>
      <c r="E139" s="6"/>
      <c r="F139" s="6"/>
      <c r="G139" s="162" t="s">
        <v>599</v>
      </c>
      <c r="H139" s="251"/>
      <c r="I139" s="359"/>
      <c r="J139" s="253"/>
      <c r="K139" s="6"/>
      <c r="L139" s="354"/>
      <c r="M139" s="253"/>
      <c r="N139" s="247"/>
      <c r="O139" s="249"/>
      <c r="P139" s="6"/>
      <c r="Q139" s="6"/>
      <c r="R139" s="6"/>
      <c r="S139" s="6"/>
      <c r="T139" s="6"/>
      <c r="U139" s="162"/>
      <c r="V139" s="6"/>
      <c r="W139" s="354">
        <f t="shared" ca="1" si="26"/>
        <v>0.53120858707189789</v>
      </c>
      <c r="X139" s="359">
        <f t="shared" ca="1" si="26"/>
        <v>0.27999975180426018</v>
      </c>
    </row>
    <row r="140" spans="2:24">
      <c r="B140" s="6" t="s">
        <v>501</v>
      </c>
      <c r="C140" s="6"/>
      <c r="D140" s="6"/>
      <c r="E140" s="6"/>
      <c r="F140" s="6"/>
      <c r="G140" s="162" t="s">
        <v>599</v>
      </c>
      <c r="H140" s="251"/>
      <c r="I140" s="359"/>
      <c r="J140" s="253"/>
      <c r="K140" s="6"/>
      <c r="L140" s="354"/>
      <c r="M140" s="253"/>
      <c r="N140" s="256"/>
      <c r="O140" s="41"/>
      <c r="P140" s="6"/>
      <c r="Q140" s="6"/>
      <c r="R140" s="6"/>
      <c r="S140" s="6"/>
      <c r="T140" s="6"/>
      <c r="U140" s="162"/>
      <c r="V140" s="6"/>
      <c r="W140" s="354">
        <f t="shared" ca="1" si="26"/>
        <v>0.59281382757722312</v>
      </c>
      <c r="X140" s="359">
        <f t="shared" ca="1" si="26"/>
        <v>0.62207308417392493</v>
      </c>
    </row>
    <row r="141" spans="2:24">
      <c r="B141" s="6" t="s">
        <v>502</v>
      </c>
      <c r="C141" s="6"/>
      <c r="D141" s="6"/>
      <c r="E141" s="6"/>
      <c r="F141" s="6"/>
      <c r="G141" s="162" t="s">
        <v>599</v>
      </c>
      <c r="H141" s="251"/>
      <c r="I141" s="359"/>
      <c r="J141" s="253"/>
      <c r="K141" s="6"/>
      <c r="L141" s="354"/>
      <c r="M141" s="253"/>
      <c r="N141" s="256"/>
      <c r="O141" s="41"/>
      <c r="P141" s="6"/>
      <c r="Q141" s="6"/>
      <c r="R141" s="6"/>
      <c r="S141" s="6"/>
      <c r="T141" s="6"/>
      <c r="U141" s="162"/>
      <c r="V141" s="6"/>
      <c r="W141" s="354">
        <f t="shared" ca="1" si="26"/>
        <v>0.60068620322011979</v>
      </c>
      <c r="X141" s="359">
        <f t="shared" ca="1" si="26"/>
        <v>0.61406240281896451</v>
      </c>
    </row>
    <row r="142" spans="2:24">
      <c r="B142" s="6" t="s">
        <v>503</v>
      </c>
      <c r="C142" s="6"/>
      <c r="D142" s="6"/>
      <c r="E142" s="6"/>
      <c r="F142" s="6"/>
      <c r="G142" s="162" t="s">
        <v>599</v>
      </c>
      <c r="H142" s="251"/>
      <c r="I142" s="41"/>
      <c r="J142" s="6"/>
      <c r="K142" s="6"/>
      <c r="L142" s="354"/>
      <c r="M142" s="253"/>
      <c r="N142" s="256"/>
      <c r="O142" s="41"/>
      <c r="P142" s="6"/>
      <c r="Q142" s="6"/>
      <c r="R142" s="6"/>
      <c r="S142" s="6"/>
      <c r="T142" s="6"/>
      <c r="U142" s="162"/>
      <c r="V142" s="6"/>
      <c r="W142" s="354">
        <f t="shared" ca="1" si="26"/>
        <v>0.58010644667667766</v>
      </c>
      <c r="X142" s="359">
        <f t="shared" ca="1" si="26"/>
        <v>0.59660405357746893</v>
      </c>
    </row>
    <row r="143" spans="2:24">
      <c r="B143" s="257" t="s">
        <v>59</v>
      </c>
      <c r="C143" s="257"/>
      <c r="D143" s="257"/>
      <c r="E143" s="257"/>
      <c r="F143" s="257"/>
      <c r="G143" s="257"/>
      <c r="H143" s="258"/>
      <c r="I143" s="42"/>
      <c r="J143" s="257"/>
      <c r="K143" s="257"/>
      <c r="L143" s="355"/>
      <c r="M143" s="182"/>
      <c r="N143" s="187"/>
      <c r="O143" s="186"/>
      <c r="P143" s="257"/>
      <c r="Q143" s="257"/>
      <c r="R143" s="257"/>
      <c r="S143" s="257"/>
      <c r="T143" s="257"/>
      <c r="U143" s="182"/>
      <c r="V143" s="257"/>
      <c r="W143" s="259"/>
      <c r="X143" s="42"/>
    </row>
    <row r="144" spans="2:24">
      <c r="B144" s="6" t="s">
        <v>504</v>
      </c>
      <c r="C144" s="6"/>
      <c r="D144" s="6"/>
      <c r="E144" s="6"/>
      <c r="F144" s="6"/>
      <c r="G144" s="162" t="s">
        <v>599</v>
      </c>
      <c r="H144" s="251"/>
      <c r="I144" s="41"/>
      <c r="J144" s="6"/>
      <c r="K144" s="6"/>
      <c r="L144" s="354"/>
      <c r="M144" s="253"/>
      <c r="N144" s="256"/>
      <c r="O144" s="41"/>
      <c r="P144" s="6"/>
      <c r="Q144" s="6"/>
      <c r="R144" s="6"/>
      <c r="S144" s="6"/>
      <c r="T144" s="254"/>
      <c r="U144" s="339"/>
      <c r="V144" s="6"/>
      <c r="W144" s="354">
        <f t="shared" ref="W144:X148" ca="1" si="27">L113*G37/(1+L113*MAX(0,X37))</f>
        <v>0.78270263645474258</v>
      </c>
      <c r="X144" s="359">
        <f t="shared" ca="1" si="27"/>
        <v>0.39064679608329944</v>
      </c>
    </row>
    <row r="145" spans="2:24">
      <c r="B145" s="6" t="s">
        <v>505</v>
      </c>
      <c r="C145" s="6"/>
      <c r="D145" s="6" t="s">
        <v>676</v>
      </c>
      <c r="E145" s="6"/>
      <c r="F145" s="6" t="s">
        <v>676</v>
      </c>
      <c r="G145" s="162" t="s">
        <v>599</v>
      </c>
      <c r="H145" s="251" t="s">
        <v>699</v>
      </c>
      <c r="I145" s="359">
        <f t="shared" ref="I145:J147" ca="1" si="28">(1+L114*MAX(0,X38))/L114</f>
        <v>0.69478647985041753</v>
      </c>
      <c r="J145" s="359">
        <f t="shared" ca="1" si="28"/>
        <v>1.8942955165165851</v>
      </c>
      <c r="K145" s="6"/>
      <c r="L145" s="354"/>
      <c r="M145" s="253"/>
      <c r="N145" s="256"/>
      <c r="O145" s="41"/>
      <c r="P145" s="6"/>
      <c r="Q145" s="6"/>
      <c r="R145" s="6"/>
      <c r="S145" s="6"/>
      <c r="T145" s="254"/>
      <c r="U145" s="339"/>
      <c r="V145" s="6"/>
      <c r="W145" s="354">
        <f t="shared" ca="1" si="27"/>
        <v>0.49579468126710474</v>
      </c>
      <c r="X145" s="359">
        <f t="shared" ca="1" si="27"/>
        <v>0.26133310168397622</v>
      </c>
    </row>
    <row r="146" spans="2:24">
      <c r="B146" s="6" t="s">
        <v>506</v>
      </c>
      <c r="C146" s="6"/>
      <c r="D146" s="6" t="s">
        <v>677</v>
      </c>
      <c r="E146" s="6"/>
      <c r="F146" s="6" t="s">
        <v>677</v>
      </c>
      <c r="G146" s="162" t="s">
        <v>599</v>
      </c>
      <c r="H146" s="251" t="s">
        <v>699</v>
      </c>
      <c r="I146" s="359">
        <f t="shared" ca="1" si="28"/>
        <v>0.58459814834100077</v>
      </c>
      <c r="J146" s="359">
        <f t="shared" ca="1" si="28"/>
        <v>0.54751687375759661</v>
      </c>
      <c r="K146" s="6"/>
      <c r="L146" s="354"/>
      <c r="M146" s="253"/>
      <c r="N146" s="256"/>
      <c r="O146" s="41"/>
      <c r="P146" s="6"/>
      <c r="Q146" s="6"/>
      <c r="R146" s="6"/>
      <c r="S146" s="6"/>
      <c r="T146" s="254"/>
      <c r="U146" s="339"/>
      <c r="V146" s="6"/>
      <c r="W146" s="354">
        <f t="shared" ca="1" si="27"/>
        <v>0.55329290573874157</v>
      </c>
      <c r="X146" s="359">
        <f t="shared" ca="1" si="27"/>
        <v>0.58060154522899676</v>
      </c>
    </row>
    <row r="147" spans="2:24">
      <c r="B147" s="6" t="s">
        <v>507</v>
      </c>
      <c r="C147" s="6"/>
      <c r="D147" s="6" t="s">
        <v>678</v>
      </c>
      <c r="E147" s="6"/>
      <c r="F147" s="6" t="s">
        <v>678</v>
      </c>
      <c r="G147" s="162" t="s">
        <v>599</v>
      </c>
      <c r="H147" s="251" t="s">
        <v>699</v>
      </c>
      <c r="I147" s="359">
        <f t="shared" ca="1" si="28"/>
        <v>0.51673231383949436</v>
      </c>
      <c r="J147" s="359">
        <f t="shared" ca="1" si="28"/>
        <v>0.49123507790283488</v>
      </c>
      <c r="K147" s="6"/>
      <c r="L147" s="354"/>
      <c r="M147" s="253"/>
      <c r="N147" s="256"/>
      <c r="O147" s="41"/>
      <c r="P147" s="6"/>
      <c r="Q147" s="6"/>
      <c r="R147" s="6"/>
      <c r="S147" s="6"/>
      <c r="T147" s="254"/>
      <c r="U147" s="339"/>
      <c r="V147" s="6"/>
      <c r="W147" s="354">
        <f t="shared" ca="1" si="27"/>
        <v>0.56064045633877879</v>
      </c>
      <c r="X147" s="359">
        <f t="shared" ca="1" si="27"/>
        <v>0.57312490929770044</v>
      </c>
    </row>
    <row r="148" spans="2:24">
      <c r="B148" s="6" t="s">
        <v>508</v>
      </c>
      <c r="C148" s="6"/>
      <c r="D148" s="6"/>
      <c r="E148" s="6"/>
      <c r="F148" s="6"/>
      <c r="G148" s="162" t="s">
        <v>599</v>
      </c>
      <c r="H148" s="251"/>
      <c r="I148" s="41"/>
      <c r="J148" s="6"/>
      <c r="K148" s="6"/>
      <c r="L148" s="354"/>
      <c r="M148" s="253"/>
      <c r="N148" s="256"/>
      <c r="O148" s="41"/>
      <c r="P148" s="6"/>
      <c r="Q148" s="6"/>
      <c r="R148" s="6"/>
      <c r="S148" s="6"/>
      <c r="T148" s="254"/>
      <c r="U148" s="339"/>
      <c r="V148" s="6"/>
      <c r="W148" s="354">
        <f t="shared" ca="1" si="27"/>
        <v>0.54143268356489926</v>
      </c>
      <c r="X148" s="359">
        <f t="shared" ca="1" si="27"/>
        <v>0.55683045000563758</v>
      </c>
    </row>
    <row r="149" spans="2:24">
      <c r="B149" s="257" t="s">
        <v>59</v>
      </c>
      <c r="C149" s="257"/>
      <c r="D149" s="257"/>
      <c r="E149" s="257"/>
      <c r="F149" s="257"/>
      <c r="G149" s="257"/>
      <c r="H149" s="258"/>
      <c r="I149" s="42"/>
      <c r="J149" s="257"/>
      <c r="K149" s="257"/>
      <c r="L149" s="355"/>
      <c r="M149" s="182"/>
      <c r="N149" s="187"/>
      <c r="O149" s="186"/>
      <c r="P149" s="257"/>
      <c r="Q149" s="257"/>
      <c r="R149" s="257"/>
      <c r="S149" s="257"/>
      <c r="T149" s="257"/>
      <c r="U149" s="182"/>
      <c r="V149" s="257"/>
      <c r="W149" s="259"/>
      <c r="X149" s="42"/>
    </row>
    <row r="150" spans="2:24">
      <c r="B150" s="6" t="s">
        <v>509</v>
      </c>
      <c r="C150" s="6"/>
      <c r="D150" s="6"/>
      <c r="E150" s="6"/>
      <c r="F150" s="6"/>
      <c r="G150" s="162" t="s">
        <v>599</v>
      </c>
      <c r="H150" s="251"/>
      <c r="I150" s="41"/>
      <c r="J150" s="6"/>
      <c r="K150" s="6"/>
      <c r="L150" s="354"/>
      <c r="M150" s="253"/>
      <c r="N150" s="256"/>
      <c r="O150" s="41"/>
      <c r="P150" s="6"/>
      <c r="Q150" s="6"/>
      <c r="R150" s="6"/>
      <c r="S150" s="6"/>
      <c r="T150" s="6"/>
      <c r="U150" s="162"/>
      <c r="V150" s="6"/>
      <c r="W150" s="354">
        <f t="shared" ref="W150:X154" ca="1" si="29">L119*G43/(1+L119*MAX(0,X43))</f>
        <v>0.78270263645474258</v>
      </c>
      <c r="X150" s="359">
        <f t="shared" ca="1" si="29"/>
        <v>0.40847574107775558</v>
      </c>
    </row>
    <row r="151" spans="2:24">
      <c r="B151" s="6" t="s">
        <v>510</v>
      </c>
      <c r="C151" s="6"/>
      <c r="D151" s="6"/>
      <c r="E151" s="6"/>
      <c r="F151" s="6"/>
      <c r="G151" s="162" t="s">
        <v>599</v>
      </c>
      <c r="H151" s="251"/>
      <c r="I151" s="359"/>
      <c r="J151" s="253"/>
      <c r="K151" s="6"/>
      <c r="L151" s="354"/>
      <c r="M151" s="253"/>
      <c r="N151" s="256"/>
      <c r="O151" s="41"/>
      <c r="P151" s="6"/>
      <c r="Q151" s="6"/>
      <c r="R151" s="6"/>
      <c r="S151" s="6"/>
      <c r="T151" s="6"/>
      <c r="U151" s="162"/>
      <c r="V151" s="6"/>
      <c r="W151" s="354">
        <f t="shared" ca="1" si="29"/>
        <v>0.61974335158388083</v>
      </c>
      <c r="X151" s="359">
        <f t="shared" ca="1" si="29"/>
        <v>0.32666637710497021</v>
      </c>
    </row>
    <row r="152" spans="2:24">
      <c r="B152" s="6" t="s">
        <v>511</v>
      </c>
      <c r="C152" s="6"/>
      <c r="D152" s="6"/>
      <c r="E152" s="6"/>
      <c r="F152" s="6"/>
      <c r="G152" s="162" t="s">
        <v>599</v>
      </c>
      <c r="H152" s="251"/>
      <c r="I152" s="359"/>
      <c r="J152" s="253"/>
      <c r="K152" s="6"/>
      <c r="L152" s="354"/>
      <c r="M152" s="253"/>
      <c r="N152" s="256"/>
      <c r="O152" s="41"/>
      <c r="P152" s="6"/>
      <c r="Q152" s="6"/>
      <c r="R152" s="6"/>
      <c r="S152" s="6"/>
      <c r="T152" s="6"/>
      <c r="U152" s="162"/>
      <c r="V152" s="6"/>
      <c r="W152" s="354">
        <f t="shared" ca="1" si="29"/>
        <v>0.69161613217342699</v>
      </c>
      <c r="X152" s="359">
        <f t="shared" ca="1" si="29"/>
        <v>0.72575193153624573</v>
      </c>
    </row>
    <row r="153" spans="2:24">
      <c r="B153" s="6" t="s">
        <v>512</v>
      </c>
      <c r="C153" s="6"/>
      <c r="D153" s="6"/>
      <c r="E153" s="6"/>
      <c r="F153" s="6"/>
      <c r="G153" s="162" t="s">
        <v>599</v>
      </c>
      <c r="H153" s="251"/>
      <c r="I153" s="359"/>
      <c r="J153" s="253"/>
      <c r="K153" s="6"/>
      <c r="L153" s="354"/>
      <c r="M153" s="253"/>
      <c r="N153" s="256"/>
      <c r="O153" s="41"/>
      <c r="P153" s="6"/>
      <c r="Q153" s="6"/>
      <c r="R153" s="6"/>
      <c r="S153" s="6"/>
      <c r="T153" s="6"/>
      <c r="U153" s="162"/>
      <c r="V153" s="6"/>
      <c r="W153" s="354">
        <f t="shared" ca="1" si="29"/>
        <v>0.7008005704234731</v>
      </c>
      <c r="X153" s="359">
        <f t="shared" ca="1" si="29"/>
        <v>0.71640613662212527</v>
      </c>
    </row>
    <row r="154" spans="2:24">
      <c r="B154" s="6" t="s">
        <v>513</v>
      </c>
      <c r="C154" s="6"/>
      <c r="D154" s="6"/>
      <c r="E154" s="6"/>
      <c r="F154" s="6"/>
      <c r="G154" s="162" t="s">
        <v>599</v>
      </c>
      <c r="H154" s="251"/>
      <c r="I154" s="41"/>
      <c r="J154" s="6"/>
      <c r="K154" s="6"/>
      <c r="L154" s="354"/>
      <c r="M154" s="253"/>
      <c r="N154" s="256"/>
      <c r="O154" s="41"/>
      <c r="P154" s="6"/>
      <c r="Q154" s="6"/>
      <c r="R154" s="6"/>
      <c r="S154" s="6"/>
      <c r="T154" s="6"/>
      <c r="U154" s="162"/>
      <c r="V154" s="6"/>
      <c r="W154" s="354">
        <f t="shared" ca="1" si="29"/>
        <v>0.67679085445612397</v>
      </c>
      <c r="X154" s="359">
        <f t="shared" ca="1" si="29"/>
        <v>0.69603806250704692</v>
      </c>
    </row>
    <row r="155" spans="2:24">
      <c r="B155" s="257" t="s">
        <v>59</v>
      </c>
      <c r="C155" s="257"/>
      <c r="D155" s="257"/>
      <c r="E155" s="257"/>
      <c r="F155" s="257"/>
      <c r="G155" s="257"/>
      <c r="H155" s="258"/>
      <c r="I155" s="42"/>
      <c r="J155" s="257"/>
      <c r="K155" s="257"/>
      <c r="L155" s="355"/>
      <c r="M155" s="182"/>
      <c r="N155" s="187"/>
      <c r="O155" s="186"/>
      <c r="P155" s="257"/>
      <c r="Q155" s="257"/>
      <c r="R155" s="257"/>
      <c r="S155" s="257"/>
      <c r="T155" s="257"/>
      <c r="U155" s="182"/>
      <c r="V155" s="257"/>
      <c r="W155" s="259"/>
      <c r="X155" s="42"/>
    </row>
    <row r="156" spans="2:24">
      <c r="B156" s="6" t="s">
        <v>496</v>
      </c>
      <c r="C156" s="6"/>
      <c r="D156" s="6" t="s">
        <v>516</v>
      </c>
      <c r="E156" s="6"/>
      <c r="F156" s="6"/>
      <c r="G156" s="162"/>
      <c r="H156" s="251"/>
      <c r="I156" s="359"/>
      <c r="J156" s="253"/>
      <c r="K156" s="6"/>
      <c r="L156" s="354"/>
      <c r="M156" s="253"/>
      <c r="N156" s="256"/>
      <c r="O156" s="41"/>
      <c r="P156" s="6"/>
      <c r="Q156" s="6"/>
      <c r="R156" s="6"/>
      <c r="S156" s="6"/>
      <c r="T156" s="6"/>
      <c r="U156" s="162"/>
      <c r="V156" s="6"/>
      <c r="W156" s="354"/>
      <c r="X156" s="359"/>
    </row>
    <row r="157" spans="2:24">
      <c r="B157" s="6" t="s">
        <v>506</v>
      </c>
      <c r="C157" s="6"/>
      <c r="D157" s="6" t="s">
        <v>516</v>
      </c>
      <c r="E157" s="6"/>
      <c r="F157" s="6"/>
      <c r="G157" s="162"/>
      <c r="H157" s="251"/>
      <c r="I157" s="359"/>
      <c r="J157" s="253"/>
      <c r="K157" s="6"/>
      <c r="L157" s="354"/>
      <c r="M157" s="253"/>
      <c r="N157" s="256"/>
      <c r="O157" s="41"/>
      <c r="P157" s="6"/>
      <c r="Q157" s="6"/>
      <c r="R157" s="6"/>
      <c r="S157" s="6"/>
      <c r="T157" s="6"/>
      <c r="U157" s="162"/>
      <c r="V157" s="6"/>
      <c r="W157" s="354"/>
      <c r="X157" s="359"/>
    </row>
  </sheetData>
  <phoneticPr fontId="3" type="noConversion"/>
  <pageMargins left="0.7" right="0.7" top="0.75" bottom="0.75" header="0.3" footer="0.3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X51"/>
  <sheetViews>
    <sheetView zoomScale="75" workbookViewId="0">
      <selection activeCell="D25" sqref="D25"/>
    </sheetView>
  </sheetViews>
  <sheetFormatPr defaultRowHeight="12.75"/>
  <cols>
    <col min="1" max="10" width="9.140625" customWidth="1"/>
    <col min="11" max="11" width="12.5703125" customWidth="1"/>
    <col min="12" max="12" width="10.85546875" customWidth="1"/>
  </cols>
  <sheetData>
    <row r="1" spans="1:24">
      <c r="I1" s="8"/>
      <c r="J1" s="8"/>
      <c r="K1" s="8"/>
      <c r="L1" s="8"/>
      <c r="P1" s="27"/>
    </row>
    <row r="2" spans="1:24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24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24" ht="18">
      <c r="A4" s="60" t="s">
        <v>208</v>
      </c>
      <c r="B4" s="48"/>
      <c r="C4" s="48"/>
      <c r="D4" s="48"/>
      <c r="F4" s="217">
        <f>1.54/310*1000</f>
        <v>4.967741935483871</v>
      </c>
      <c r="G4" s="8"/>
      <c r="H4" s="8"/>
      <c r="I4" s="8"/>
      <c r="K4" s="60" t="s">
        <v>313</v>
      </c>
      <c r="L4" s="137"/>
      <c r="M4" s="105" t="s">
        <v>637</v>
      </c>
      <c r="S4" s="137" t="s">
        <v>594</v>
      </c>
      <c r="T4" s="137"/>
      <c r="V4" s="105" t="str">
        <f>IF(LEFT(Region,2)="FI","~FI_T: FLO_EMIS")</f>
        <v>~FI_T: FLO_EMIS</v>
      </c>
    </row>
    <row r="5" spans="1:24" ht="13.5" thickBot="1">
      <c r="A5" s="100" t="s">
        <v>44</v>
      </c>
      <c r="B5" s="101" t="s">
        <v>48</v>
      </c>
      <c r="C5" s="101" t="s">
        <v>49</v>
      </c>
      <c r="D5" s="101" t="s">
        <v>50</v>
      </c>
      <c r="E5" s="139" t="s">
        <v>514</v>
      </c>
      <c r="F5" s="139" t="s">
        <v>515</v>
      </c>
      <c r="G5" s="8" t="s">
        <v>233</v>
      </c>
      <c r="H5" s="8" t="s">
        <v>234</v>
      </c>
      <c r="I5" s="8"/>
      <c r="K5" s="138" t="s">
        <v>212</v>
      </c>
      <c r="L5" s="138" t="s">
        <v>213</v>
      </c>
      <c r="M5" s="138" t="s">
        <v>312</v>
      </c>
      <c r="N5" s="139" t="str">
        <f>B5</f>
        <v>ELCCO2N</v>
      </c>
      <c r="O5" s="139" t="str">
        <f>C5</f>
        <v>ELCCH4N</v>
      </c>
      <c r="P5" s="139" t="str">
        <f>D5</f>
        <v>ELCN2ON</v>
      </c>
      <c r="S5" s="138" t="s">
        <v>212</v>
      </c>
      <c r="T5" s="138" t="s">
        <v>213</v>
      </c>
      <c r="U5" s="138" t="s">
        <v>218</v>
      </c>
      <c r="V5" s="138" t="s">
        <v>312</v>
      </c>
      <c r="W5" s="244">
        <v>2017</v>
      </c>
      <c r="X5" s="244">
        <v>2025</v>
      </c>
    </row>
    <row r="6" spans="1:24">
      <c r="A6" s="86" t="s">
        <v>0</v>
      </c>
      <c r="B6" s="89">
        <v>92.7</v>
      </c>
      <c r="C6" s="122">
        <v>1.2</v>
      </c>
      <c r="D6" s="31">
        <v>1.6</v>
      </c>
      <c r="E6" s="218">
        <v>130</v>
      </c>
      <c r="F6" s="219">
        <f t="shared" ref="F6:F44" si="0">D6+E6*F$4/1000</f>
        <v>2.2458064516129035</v>
      </c>
      <c r="G6" s="31">
        <v>0.79</v>
      </c>
      <c r="H6" s="31">
        <f>0.05/27.7*1000</f>
        <v>1.8050541516245489</v>
      </c>
      <c r="I6" s="8"/>
      <c r="K6" s="140" t="s">
        <v>623</v>
      </c>
      <c r="L6" s="6"/>
      <c r="M6" s="141" t="s">
        <v>4</v>
      </c>
      <c r="N6" s="142">
        <f>B35</f>
        <v>56.1</v>
      </c>
      <c r="O6" s="142">
        <f>C35</f>
        <v>1.5</v>
      </c>
      <c r="P6" s="142">
        <f>F35</f>
        <v>1.5467741935483872</v>
      </c>
      <c r="S6" s="6" t="s">
        <v>498</v>
      </c>
      <c r="T6" s="6"/>
      <c r="U6" s="6" t="s">
        <v>591</v>
      </c>
      <c r="V6" s="6" t="s">
        <v>152</v>
      </c>
      <c r="W6" s="162">
        <v>0</v>
      </c>
      <c r="X6" s="162">
        <v>0.05</v>
      </c>
    </row>
    <row r="7" spans="1:24">
      <c r="A7" s="86" t="s">
        <v>1</v>
      </c>
      <c r="B7" s="89">
        <v>104.7</v>
      </c>
      <c r="C7" s="123">
        <v>3.5</v>
      </c>
      <c r="D7" s="31">
        <f>$D$6*2.5</f>
        <v>4</v>
      </c>
      <c r="E7" s="220">
        <v>130</v>
      </c>
      <c r="F7" s="219">
        <f t="shared" si="0"/>
        <v>4.645806451612903</v>
      </c>
      <c r="G7" s="117">
        <f>G6</f>
        <v>0.79</v>
      </c>
      <c r="H7" s="31">
        <f>H6</f>
        <v>1.8050541516245489</v>
      </c>
      <c r="I7" s="8"/>
      <c r="J7" s="8"/>
      <c r="K7" s="140"/>
      <c r="L7" s="6"/>
      <c r="M7" s="141" t="s">
        <v>10</v>
      </c>
      <c r="N7" s="142">
        <f>B34</f>
        <v>56.1</v>
      </c>
      <c r="O7" s="142">
        <f>C34</f>
        <v>1.5</v>
      </c>
      <c r="P7" s="142">
        <f>F34</f>
        <v>1.5467741935483872</v>
      </c>
      <c r="S7" s="6" t="s">
        <v>503</v>
      </c>
      <c r="T7" s="6"/>
      <c r="U7" s="6" t="s">
        <v>591</v>
      </c>
      <c r="V7" s="6" t="s">
        <v>152</v>
      </c>
      <c r="W7" s="162">
        <v>0</v>
      </c>
      <c r="X7" s="162">
        <v>0.05</v>
      </c>
    </row>
    <row r="8" spans="1:24">
      <c r="A8" s="86" t="s">
        <v>2</v>
      </c>
      <c r="B8" s="122">
        <f>108*0.982</f>
        <v>106.056</v>
      </c>
      <c r="C8" s="123">
        <f>C6</f>
        <v>1.2</v>
      </c>
      <c r="D8" s="31">
        <f>$D$6</f>
        <v>1.6</v>
      </c>
      <c r="E8" s="220">
        <v>80</v>
      </c>
      <c r="F8" s="219">
        <f t="shared" si="0"/>
        <v>1.9974193548387098</v>
      </c>
      <c r="G8" s="117">
        <f>G6</f>
        <v>0.79</v>
      </c>
      <c r="H8" s="31">
        <f t="shared" ref="H8:H13" si="1">H7</f>
        <v>1.8050541516245489</v>
      </c>
      <c r="I8" s="8"/>
      <c r="J8" s="8"/>
      <c r="K8" s="140"/>
      <c r="L8" s="6"/>
      <c r="M8" s="141" t="s">
        <v>532</v>
      </c>
      <c r="N8" s="142">
        <f>B43</f>
        <v>0.1</v>
      </c>
      <c r="O8" s="142">
        <f>C43</f>
        <v>5</v>
      </c>
      <c r="P8" s="142">
        <f>D43</f>
        <v>0.9</v>
      </c>
      <c r="S8" s="6" t="s">
        <v>508</v>
      </c>
      <c r="T8" s="6"/>
      <c r="U8" s="6" t="s">
        <v>591</v>
      </c>
      <c r="V8" s="6" t="s">
        <v>152</v>
      </c>
      <c r="W8" s="162">
        <v>0</v>
      </c>
      <c r="X8" s="162">
        <v>0.05</v>
      </c>
    </row>
    <row r="9" spans="1:24">
      <c r="A9" s="86" t="s">
        <v>3</v>
      </c>
      <c r="B9" s="122">
        <f>108*0.982</f>
        <v>106.056</v>
      </c>
      <c r="C9" s="123">
        <f>C6</f>
        <v>1.2</v>
      </c>
      <c r="D9" s="31">
        <f>$D$6</f>
        <v>1.6</v>
      </c>
      <c r="E9" s="220">
        <v>80</v>
      </c>
      <c r="F9" s="219">
        <f t="shared" si="0"/>
        <v>1.9974193548387098</v>
      </c>
      <c r="G9" s="117">
        <f>G6</f>
        <v>0.79</v>
      </c>
      <c r="H9" s="31">
        <f t="shared" si="1"/>
        <v>1.8050541516245489</v>
      </c>
      <c r="I9" s="8"/>
      <c r="J9" s="8"/>
      <c r="K9" s="140" t="s">
        <v>624</v>
      </c>
      <c r="L9" s="6"/>
      <c r="M9" s="141" t="s">
        <v>13</v>
      </c>
      <c r="N9" s="142">
        <f>B16</f>
        <v>73.3333333333333</v>
      </c>
      <c r="O9" s="142">
        <f>C16</f>
        <v>3</v>
      </c>
      <c r="P9" s="142">
        <f>F16</f>
        <v>1.6451612903225805</v>
      </c>
      <c r="S9" s="6" t="s">
        <v>513</v>
      </c>
      <c r="T9" s="6"/>
      <c r="U9" s="6" t="s">
        <v>591</v>
      </c>
      <c r="V9" s="6" t="s">
        <v>152</v>
      </c>
      <c r="W9" s="162">
        <v>0</v>
      </c>
      <c r="X9" s="162">
        <v>0.05</v>
      </c>
    </row>
    <row r="10" spans="1:24">
      <c r="A10" s="86" t="s">
        <v>5</v>
      </c>
      <c r="B10" s="89">
        <v>44.4</v>
      </c>
      <c r="C10" s="123">
        <f>C6</f>
        <v>1.2</v>
      </c>
      <c r="D10" s="31">
        <f>$D$6</f>
        <v>1.6</v>
      </c>
      <c r="E10" s="220">
        <v>80</v>
      </c>
      <c r="F10" s="219">
        <f t="shared" si="0"/>
        <v>1.9974193548387098</v>
      </c>
      <c r="G10" s="117">
        <f>G6</f>
        <v>0.79</v>
      </c>
      <c r="H10" s="31">
        <f t="shared" si="1"/>
        <v>1.8050541516245489</v>
      </c>
      <c r="I10" s="8"/>
      <c r="J10" s="8"/>
      <c r="K10" s="140"/>
      <c r="L10" s="6"/>
      <c r="M10" s="141" t="s">
        <v>25</v>
      </c>
      <c r="N10" s="142">
        <f>B26</f>
        <v>74.066666666666706</v>
      </c>
      <c r="O10" s="142">
        <f>C26</f>
        <v>2</v>
      </c>
      <c r="P10" s="142">
        <f>F26</f>
        <v>3.9412903225806453</v>
      </c>
      <c r="S10" s="6" t="s">
        <v>496</v>
      </c>
      <c r="T10" s="6"/>
      <c r="U10" s="6" t="s">
        <v>591</v>
      </c>
      <c r="V10" s="6" t="s">
        <v>152</v>
      </c>
      <c r="W10" s="162">
        <v>0</v>
      </c>
      <c r="X10" s="162">
        <v>0.05</v>
      </c>
    </row>
    <row r="11" spans="1:24">
      <c r="A11" s="86" t="s">
        <v>6</v>
      </c>
      <c r="B11" s="89">
        <v>0</v>
      </c>
      <c r="C11" s="123">
        <f>C6</f>
        <v>1.2</v>
      </c>
      <c r="D11" s="31">
        <f>$D$6</f>
        <v>1.6</v>
      </c>
      <c r="E11" s="220">
        <v>80</v>
      </c>
      <c r="F11" s="219">
        <f t="shared" si="0"/>
        <v>1.9974193548387098</v>
      </c>
      <c r="G11" s="117">
        <f>G6</f>
        <v>0.79</v>
      </c>
      <c r="H11" s="31">
        <f t="shared" si="1"/>
        <v>1.8050541516245489</v>
      </c>
      <c r="I11" s="8"/>
      <c r="J11" s="8"/>
      <c r="K11" s="140"/>
      <c r="L11" s="6"/>
      <c r="M11" s="141" t="s">
        <v>20</v>
      </c>
      <c r="N11" s="142">
        <f>B21</f>
        <v>69.3</v>
      </c>
      <c r="O11" s="142">
        <f>C21</f>
        <v>5</v>
      </c>
      <c r="P11" s="142">
        <f>F21</f>
        <v>2.2412903225806451</v>
      </c>
      <c r="S11" s="6" t="s">
        <v>497</v>
      </c>
      <c r="T11" s="6"/>
      <c r="U11" s="6" t="s">
        <v>591</v>
      </c>
      <c r="V11" s="6" t="s">
        <v>152</v>
      </c>
      <c r="W11" s="162">
        <v>0</v>
      </c>
      <c r="X11" s="162">
        <v>0.05</v>
      </c>
    </row>
    <row r="12" spans="1:24">
      <c r="A12" s="86" t="s">
        <v>7</v>
      </c>
      <c r="B12" s="89">
        <v>0</v>
      </c>
      <c r="C12" s="123">
        <f>C6</f>
        <v>1.2</v>
      </c>
      <c r="D12" s="31">
        <f>$D$6</f>
        <v>1.6</v>
      </c>
      <c r="E12" s="220">
        <v>80</v>
      </c>
      <c r="F12" s="219">
        <f t="shared" si="0"/>
        <v>1.9974193548387098</v>
      </c>
      <c r="G12" s="117">
        <f>G6</f>
        <v>0.79</v>
      </c>
      <c r="H12" s="31">
        <f t="shared" si="1"/>
        <v>1.8050541516245489</v>
      </c>
      <c r="I12" s="8"/>
      <c r="J12" s="8"/>
      <c r="K12" s="140"/>
      <c r="L12" s="6"/>
      <c r="M12" s="141" t="s">
        <v>27</v>
      </c>
      <c r="N12" s="142">
        <f>B28</f>
        <v>73.3333333333333</v>
      </c>
      <c r="O12" s="142">
        <f>C28</f>
        <v>2</v>
      </c>
      <c r="P12" s="142">
        <f>F28</f>
        <v>3.5935483870967744</v>
      </c>
      <c r="S12" s="6" t="s">
        <v>501</v>
      </c>
      <c r="T12" s="6"/>
      <c r="U12" s="6" t="s">
        <v>591</v>
      </c>
      <c r="V12" s="6" t="s">
        <v>152</v>
      </c>
      <c r="W12" s="162">
        <v>0</v>
      </c>
      <c r="X12" s="162">
        <v>0.05</v>
      </c>
    </row>
    <row r="13" spans="1:24">
      <c r="A13" s="86" t="s">
        <v>32</v>
      </c>
      <c r="B13" s="89">
        <v>100.833333333333</v>
      </c>
      <c r="C13" s="123">
        <v>3</v>
      </c>
      <c r="D13" s="31">
        <f>D6</f>
        <v>1.6</v>
      </c>
      <c r="E13" s="221">
        <v>80</v>
      </c>
      <c r="F13" s="219">
        <f t="shared" si="0"/>
        <v>1.9974193548387098</v>
      </c>
      <c r="G13" s="117">
        <f>G6</f>
        <v>0.79</v>
      </c>
      <c r="H13" s="31">
        <f t="shared" si="1"/>
        <v>1.8050541516245489</v>
      </c>
      <c r="I13" s="8"/>
      <c r="J13" s="8"/>
      <c r="K13" s="140"/>
      <c r="L13" s="6"/>
      <c r="M13" s="141" t="s">
        <v>14</v>
      </c>
      <c r="N13" s="142">
        <f>B17</f>
        <v>63.066666666666698</v>
      </c>
      <c r="O13" s="142">
        <f>C17</f>
        <v>3</v>
      </c>
      <c r="P13" s="142">
        <f>F17</f>
        <v>1.6451612903225805</v>
      </c>
      <c r="S13" s="6" t="s">
        <v>502</v>
      </c>
      <c r="T13" s="6"/>
      <c r="U13" s="6" t="s">
        <v>591</v>
      </c>
      <c r="V13" s="6" t="s">
        <v>152</v>
      </c>
      <c r="W13" s="162">
        <v>0</v>
      </c>
      <c r="X13" s="162">
        <v>0.05</v>
      </c>
    </row>
    <row r="14" spans="1:24">
      <c r="A14" s="86" t="s">
        <v>11</v>
      </c>
      <c r="B14" s="89">
        <v>73.3333333333333</v>
      </c>
      <c r="C14" s="123">
        <v>3</v>
      </c>
      <c r="D14" s="31">
        <v>0.9</v>
      </c>
      <c r="E14" s="218">
        <v>150</v>
      </c>
      <c r="F14" s="219">
        <f t="shared" si="0"/>
        <v>1.6451612903225805</v>
      </c>
      <c r="G14" s="117">
        <f>0.006/(38.51)*1000</f>
        <v>0.15580368735393407</v>
      </c>
      <c r="H14" s="31">
        <f>0.013/(38.51)*1000</f>
        <v>0.33757465593352376</v>
      </c>
      <c r="I14" s="8"/>
      <c r="J14" s="8"/>
      <c r="K14" s="140"/>
      <c r="L14" s="6"/>
      <c r="M14" s="141" t="s">
        <v>24</v>
      </c>
      <c r="N14" s="142">
        <f>B25</f>
        <v>71.866666666666703</v>
      </c>
      <c r="O14" s="142">
        <f>C25</f>
        <v>1</v>
      </c>
      <c r="P14" s="142">
        <f>F25</f>
        <v>2.2412903225806451</v>
      </c>
      <c r="S14" s="6" t="s">
        <v>506</v>
      </c>
      <c r="T14" s="6"/>
      <c r="U14" s="6" t="s">
        <v>591</v>
      </c>
      <c r="V14" s="6" t="s">
        <v>152</v>
      </c>
      <c r="W14" s="162">
        <v>0</v>
      </c>
      <c r="X14" s="162">
        <v>0.05</v>
      </c>
    </row>
    <row r="15" spans="1:24">
      <c r="A15" s="86" t="s">
        <v>12</v>
      </c>
      <c r="B15" s="89">
        <v>73.3333333333333</v>
      </c>
      <c r="C15" s="123">
        <v>3</v>
      </c>
      <c r="D15" s="31">
        <v>0.9</v>
      </c>
      <c r="E15" s="220">
        <v>150</v>
      </c>
      <c r="F15" s="219">
        <f t="shared" si="0"/>
        <v>1.6451612903225805</v>
      </c>
      <c r="G15" s="117">
        <f>0.12/40.9*1000</f>
        <v>2.9339853300733498</v>
      </c>
      <c r="H15" s="31">
        <f>0.013/40.9*1000</f>
        <v>0.31784841075794618</v>
      </c>
      <c r="I15" s="8"/>
      <c r="J15" s="8"/>
      <c r="K15" s="140"/>
      <c r="L15" s="6"/>
      <c r="M15" s="141" t="s">
        <v>26</v>
      </c>
      <c r="N15" s="142">
        <f>B27</f>
        <v>77.366666666666703</v>
      </c>
      <c r="O15" s="142">
        <f>C27</f>
        <v>2</v>
      </c>
      <c r="P15" s="142">
        <f>F27</f>
        <v>3.5935483870967744</v>
      </c>
      <c r="S15" s="6" t="s">
        <v>506</v>
      </c>
      <c r="T15" s="6"/>
      <c r="U15" s="6" t="s">
        <v>591</v>
      </c>
      <c r="V15" s="6" t="s">
        <v>516</v>
      </c>
      <c r="W15" s="162">
        <v>0</v>
      </c>
      <c r="X15" s="162">
        <v>0.05</v>
      </c>
    </row>
    <row r="16" spans="1:24">
      <c r="A16" s="86" t="s">
        <v>13</v>
      </c>
      <c r="B16" s="89">
        <v>73.3333333333333</v>
      </c>
      <c r="C16" s="123">
        <v>3</v>
      </c>
      <c r="D16" s="31">
        <v>0.9</v>
      </c>
      <c r="E16" s="220">
        <v>150</v>
      </c>
      <c r="F16" s="219">
        <f t="shared" si="0"/>
        <v>1.6451612903225805</v>
      </c>
      <c r="G16" s="117">
        <f>(G14+G15)/2</f>
        <v>1.5448945087136419</v>
      </c>
      <c r="H16" s="31">
        <f>(H14+H15)/2</f>
        <v>0.327711533345735</v>
      </c>
      <c r="I16" s="8"/>
      <c r="J16" s="8"/>
      <c r="K16" s="140"/>
      <c r="L16" s="6"/>
      <c r="M16" s="141" t="s">
        <v>32</v>
      </c>
      <c r="N16" s="142">
        <f>B13</f>
        <v>100.833333333333</v>
      </c>
      <c r="O16" s="142">
        <f>C13</f>
        <v>3</v>
      </c>
      <c r="P16" s="142">
        <f>F13</f>
        <v>1.9974193548387098</v>
      </c>
      <c r="S16" s="6" t="s">
        <v>507</v>
      </c>
      <c r="T16" s="6"/>
      <c r="U16" s="6" t="s">
        <v>591</v>
      </c>
      <c r="V16" s="6" t="s">
        <v>152</v>
      </c>
      <c r="W16" s="162">
        <v>0</v>
      </c>
      <c r="X16" s="162">
        <v>0.05</v>
      </c>
    </row>
    <row r="17" spans="1:24">
      <c r="A17" s="86" t="s">
        <v>14</v>
      </c>
      <c r="B17" s="89">
        <v>63.066666666666698</v>
      </c>
      <c r="C17" s="123">
        <v>3</v>
      </c>
      <c r="D17" s="31">
        <v>0.9</v>
      </c>
      <c r="E17" s="220">
        <v>150</v>
      </c>
      <c r="F17" s="219">
        <f t="shared" si="0"/>
        <v>1.6451612903225805</v>
      </c>
      <c r="G17" s="117">
        <f>(0.03/28.62+0.03/18.36)/2*1000</f>
        <v>1.34110247872734</v>
      </c>
      <c r="H17" s="31">
        <v>0</v>
      </c>
      <c r="I17" s="8"/>
      <c r="J17" s="8"/>
      <c r="K17" s="140"/>
      <c r="L17" s="6"/>
      <c r="M17" s="141" t="s">
        <v>235</v>
      </c>
      <c r="N17" s="142">
        <f>B38</f>
        <v>63.066666666666698</v>
      </c>
      <c r="O17" s="142">
        <f>C38</f>
        <v>1.5</v>
      </c>
      <c r="P17" s="142">
        <f>F38</f>
        <v>1.5467741935483872</v>
      </c>
      <c r="S17" s="6" t="s">
        <v>511</v>
      </c>
      <c r="T17" s="6"/>
      <c r="U17" s="6" t="s">
        <v>591</v>
      </c>
      <c r="V17" s="6" t="s">
        <v>152</v>
      </c>
      <c r="W17" s="162">
        <v>0</v>
      </c>
      <c r="X17" s="162">
        <v>0.05</v>
      </c>
    </row>
    <row r="18" spans="1:24">
      <c r="A18" s="86" t="s">
        <v>35</v>
      </c>
      <c r="B18" s="89">
        <v>73.3333333333333</v>
      </c>
      <c r="C18" s="123">
        <v>3</v>
      </c>
      <c r="D18" s="31">
        <v>0.9</v>
      </c>
      <c r="E18" s="220">
        <v>150</v>
      </c>
      <c r="F18" s="219">
        <f t="shared" si="0"/>
        <v>1.6451612903225805</v>
      </c>
      <c r="G18" s="117">
        <f>G14</f>
        <v>0.15580368735393407</v>
      </c>
      <c r="H18" s="31">
        <f>H14</f>
        <v>0.33757465593352376</v>
      </c>
      <c r="I18" s="8"/>
      <c r="J18" s="8"/>
      <c r="K18" s="140"/>
      <c r="L18" s="6"/>
      <c r="M18" s="141" t="s">
        <v>17</v>
      </c>
      <c r="N18" s="142">
        <f>B36</f>
        <v>56.1</v>
      </c>
      <c r="O18" s="142">
        <f>C36</f>
        <v>1.5</v>
      </c>
      <c r="P18" s="142">
        <f>F36</f>
        <v>1.5467741935483872</v>
      </c>
      <c r="S18" s="6" t="s">
        <v>512</v>
      </c>
      <c r="T18" s="6"/>
      <c r="U18" s="6" t="s">
        <v>591</v>
      </c>
      <c r="V18" s="6" t="s">
        <v>152</v>
      </c>
      <c r="W18" s="162">
        <v>0</v>
      </c>
      <c r="X18" s="162">
        <v>0.05</v>
      </c>
    </row>
    <row r="19" spans="1:24">
      <c r="A19" s="86" t="s">
        <v>15</v>
      </c>
      <c r="B19" s="89">
        <v>73.3333333333333</v>
      </c>
      <c r="C19" s="123">
        <v>3</v>
      </c>
      <c r="D19" s="31">
        <v>0.9</v>
      </c>
      <c r="E19" s="220">
        <v>150</v>
      </c>
      <c r="F19" s="219">
        <f t="shared" si="0"/>
        <v>1.6451612903225805</v>
      </c>
      <c r="G19" s="117">
        <f>G14</f>
        <v>0.15580368735393407</v>
      </c>
      <c r="H19" s="31">
        <f>H14</f>
        <v>0.33757465593352376</v>
      </c>
      <c r="I19" s="8"/>
      <c r="J19" s="8"/>
      <c r="K19" s="140" t="s">
        <v>625</v>
      </c>
      <c r="L19" s="6"/>
      <c r="M19" s="141" t="s">
        <v>0</v>
      </c>
      <c r="N19" s="142">
        <f>B6</f>
        <v>92.7</v>
      </c>
      <c r="O19" s="142">
        <f>C6</f>
        <v>1.2</v>
      </c>
      <c r="P19" s="142">
        <f>F6</f>
        <v>2.2458064516129035</v>
      </c>
      <c r="S19" s="6" t="s">
        <v>358</v>
      </c>
      <c r="T19" s="6"/>
      <c r="U19" s="6" t="s">
        <v>591</v>
      </c>
      <c r="V19" s="6" t="s">
        <v>152</v>
      </c>
      <c r="W19" s="162">
        <v>0</v>
      </c>
      <c r="X19" s="162">
        <v>0.05</v>
      </c>
    </row>
    <row r="20" spans="1:24">
      <c r="A20" s="86" t="s">
        <v>16</v>
      </c>
      <c r="B20" s="89">
        <v>73.3333333333333</v>
      </c>
      <c r="C20" s="123">
        <v>3</v>
      </c>
      <c r="D20" s="31">
        <v>0.9</v>
      </c>
      <c r="E20" s="218">
        <v>150</v>
      </c>
      <c r="F20" s="219">
        <f t="shared" si="0"/>
        <v>1.6451612903225805</v>
      </c>
      <c r="G20" s="117">
        <f>G14</f>
        <v>0.15580368735393407</v>
      </c>
      <c r="H20" s="31">
        <f>H14</f>
        <v>0.33757465593352376</v>
      </c>
      <c r="I20" s="8"/>
      <c r="J20" s="8"/>
      <c r="K20" s="140"/>
      <c r="L20" s="6"/>
      <c r="M20" s="141" t="s">
        <v>2</v>
      </c>
      <c r="N20" s="142">
        <f>B8</f>
        <v>106.056</v>
      </c>
      <c r="O20" s="142">
        <f>C8</f>
        <v>1.2</v>
      </c>
      <c r="P20" s="142">
        <f>F8</f>
        <v>1.9974193548387098</v>
      </c>
      <c r="S20" s="6" t="s">
        <v>362</v>
      </c>
      <c r="T20" s="6"/>
      <c r="U20" s="6" t="s">
        <v>591</v>
      </c>
      <c r="V20" s="6" t="s">
        <v>152</v>
      </c>
      <c r="W20" s="162">
        <v>0</v>
      </c>
      <c r="X20" s="162">
        <v>0.05</v>
      </c>
    </row>
    <row r="21" spans="1:24">
      <c r="A21" s="86" t="s">
        <v>20</v>
      </c>
      <c r="B21" s="89">
        <v>69.3</v>
      </c>
      <c r="C21" s="123">
        <v>5</v>
      </c>
      <c r="D21" s="31">
        <v>0.9</v>
      </c>
      <c r="E21" s="220">
        <v>270</v>
      </c>
      <c r="F21" s="219">
        <f t="shared" si="0"/>
        <v>2.2412903225806451</v>
      </c>
      <c r="G21" s="117">
        <v>6.92</v>
      </c>
      <c r="H21" s="31">
        <v>6.6</v>
      </c>
      <c r="I21" s="8"/>
      <c r="J21" s="8"/>
      <c r="K21" s="140"/>
      <c r="L21" s="6"/>
      <c r="M21" s="141" t="s">
        <v>6</v>
      </c>
      <c r="N21" s="142">
        <f>B11</f>
        <v>0</v>
      </c>
      <c r="O21" s="142">
        <f>C11</f>
        <v>1.2</v>
      </c>
      <c r="P21" s="142">
        <f>F11</f>
        <v>1.9974193548387098</v>
      </c>
      <c r="S21" s="6" t="s">
        <v>366</v>
      </c>
      <c r="T21" s="6"/>
      <c r="U21" s="6" t="s">
        <v>591</v>
      </c>
      <c r="V21" s="6" t="s">
        <v>152</v>
      </c>
      <c r="W21" s="162">
        <v>0</v>
      </c>
      <c r="X21" s="162">
        <v>0.05</v>
      </c>
    </row>
    <row r="22" spans="1:24">
      <c r="A22" s="86" t="s">
        <v>21</v>
      </c>
      <c r="B22" s="89">
        <v>69.3</v>
      </c>
      <c r="C22" s="123">
        <v>1</v>
      </c>
      <c r="D22" s="31">
        <v>0.9</v>
      </c>
      <c r="E22" s="220">
        <v>270</v>
      </c>
      <c r="F22" s="219">
        <f t="shared" si="0"/>
        <v>2.2412903225806451</v>
      </c>
      <c r="G22" s="117">
        <v>60</v>
      </c>
      <c r="H22" s="31">
        <v>6.86</v>
      </c>
      <c r="I22" s="8"/>
      <c r="J22" s="8"/>
      <c r="K22" s="140"/>
      <c r="L22" s="6"/>
      <c r="M22" s="141" t="s">
        <v>5</v>
      </c>
      <c r="N22" s="142">
        <f>B10</f>
        <v>44.4</v>
      </c>
      <c r="O22" s="142">
        <f>C10</f>
        <v>1.2</v>
      </c>
      <c r="P22" s="142">
        <f>F10</f>
        <v>1.9974193548387098</v>
      </c>
      <c r="S22" s="6" t="s">
        <v>370</v>
      </c>
      <c r="T22" s="6"/>
      <c r="U22" s="6" t="s">
        <v>591</v>
      </c>
      <c r="V22" s="6" t="s">
        <v>152</v>
      </c>
      <c r="W22" s="162">
        <v>0</v>
      </c>
      <c r="X22" s="162">
        <v>0.05</v>
      </c>
    </row>
    <row r="23" spans="1:24">
      <c r="A23" s="86" t="s">
        <v>22</v>
      </c>
      <c r="B23" s="89">
        <v>69.3</v>
      </c>
      <c r="C23" s="123">
        <v>1</v>
      </c>
      <c r="D23" s="31">
        <v>0.9</v>
      </c>
      <c r="E23" s="220">
        <v>270</v>
      </c>
      <c r="F23" s="219">
        <f t="shared" si="0"/>
        <v>2.2412903225806451</v>
      </c>
      <c r="G23" s="117">
        <v>2</v>
      </c>
      <c r="H23" s="31">
        <v>6.4</v>
      </c>
      <c r="I23" s="8"/>
      <c r="J23" s="8"/>
      <c r="K23" s="140"/>
      <c r="L23" s="6"/>
      <c r="M23" s="141" t="s">
        <v>7</v>
      </c>
      <c r="N23" s="142">
        <f>B12</f>
        <v>0</v>
      </c>
      <c r="O23" s="142">
        <f>C12</f>
        <v>1.2</v>
      </c>
      <c r="P23" s="142">
        <f>F12</f>
        <v>1.9974193548387098</v>
      </c>
    </row>
    <row r="24" spans="1:24">
      <c r="A24" s="86" t="s">
        <v>23</v>
      </c>
      <c r="B24" s="89">
        <v>71.5</v>
      </c>
      <c r="C24" s="123">
        <v>1</v>
      </c>
      <c r="D24" s="31">
        <v>0.9</v>
      </c>
      <c r="E24" s="220">
        <v>270</v>
      </c>
      <c r="F24" s="219">
        <f t="shared" si="0"/>
        <v>2.2412903225806451</v>
      </c>
      <c r="G24" s="117">
        <f>G25</f>
        <v>5.53</v>
      </c>
      <c r="H24" s="31">
        <f>H25</f>
        <v>6.1</v>
      </c>
      <c r="I24" s="8"/>
      <c r="J24" s="8"/>
      <c r="K24" s="140" t="s">
        <v>626</v>
      </c>
      <c r="L24" s="6"/>
      <c r="M24" s="141" t="s">
        <v>481</v>
      </c>
      <c r="N24" s="142">
        <f>B43</f>
        <v>0.1</v>
      </c>
      <c r="O24" s="142">
        <f>C43</f>
        <v>5</v>
      </c>
      <c r="P24" s="142">
        <f>F43</f>
        <v>1.6451612903225805</v>
      </c>
    </row>
    <row r="25" spans="1:24">
      <c r="A25" s="86" t="s">
        <v>24</v>
      </c>
      <c r="B25" s="89">
        <v>71.866666666666703</v>
      </c>
      <c r="C25" s="123">
        <v>1</v>
      </c>
      <c r="D25" s="31">
        <v>0.9</v>
      </c>
      <c r="E25" s="220">
        <v>270</v>
      </c>
      <c r="F25" s="219">
        <f t="shared" si="0"/>
        <v>2.2412903225806451</v>
      </c>
      <c r="G25" s="117">
        <v>5.53</v>
      </c>
      <c r="H25" s="31">
        <v>6.1</v>
      </c>
      <c r="I25" s="8"/>
      <c r="J25" s="8"/>
      <c r="K25" s="140"/>
      <c r="L25" s="6"/>
      <c r="M25" s="141" t="s">
        <v>539</v>
      </c>
      <c r="N25" s="142">
        <f>B40</f>
        <v>0.1</v>
      </c>
      <c r="O25" s="142">
        <f>C40</f>
        <v>15</v>
      </c>
      <c r="P25" s="142">
        <f>F40</f>
        <v>4.4470967741935485</v>
      </c>
    </row>
    <row r="26" spans="1:24">
      <c r="A26" s="86" t="s">
        <v>25</v>
      </c>
      <c r="B26" s="89">
        <v>74.066666666666706</v>
      </c>
      <c r="C26" s="123">
        <v>2</v>
      </c>
      <c r="D26" s="31">
        <v>2.6</v>
      </c>
      <c r="E26" s="220">
        <v>270</v>
      </c>
      <c r="F26" s="219">
        <f t="shared" si="0"/>
        <v>3.9412903225806453</v>
      </c>
      <c r="G26" s="117">
        <v>1.32</v>
      </c>
      <c r="H26" s="31">
        <v>3.36</v>
      </c>
      <c r="I26" s="8"/>
      <c r="J26" s="8"/>
      <c r="K26" s="140"/>
      <c r="L26" s="6"/>
      <c r="M26" s="141" t="s">
        <v>538</v>
      </c>
      <c r="N26" s="142">
        <f>N25</f>
        <v>0.1</v>
      </c>
      <c r="O26" s="142">
        <f>O25</f>
        <v>15</v>
      </c>
      <c r="P26" s="142">
        <f>P25</f>
        <v>4.4470967741935485</v>
      </c>
    </row>
    <row r="27" spans="1:24">
      <c r="A27" s="86" t="s">
        <v>26</v>
      </c>
      <c r="B27" s="89">
        <v>77.366666666666703</v>
      </c>
      <c r="C27" s="123">
        <v>2</v>
      </c>
      <c r="D27" s="31">
        <v>2.6</v>
      </c>
      <c r="E27" s="220">
        <v>200</v>
      </c>
      <c r="F27" s="219">
        <f t="shared" si="0"/>
        <v>3.5935483870967744</v>
      </c>
      <c r="G27" s="117">
        <v>0.72</v>
      </c>
      <c r="H27" s="31">
        <v>3.11</v>
      </c>
      <c r="I27" s="8"/>
      <c r="J27" s="8"/>
      <c r="K27" s="140" t="s">
        <v>627</v>
      </c>
      <c r="L27" s="6"/>
      <c r="M27" s="141" t="s">
        <v>120</v>
      </c>
      <c r="N27" s="142">
        <f>B41</f>
        <v>52.908411429563827</v>
      </c>
      <c r="O27" s="142">
        <f>C41</f>
        <v>1</v>
      </c>
      <c r="P27" s="142">
        <f>F41</f>
        <v>3.0470967741935486</v>
      </c>
    </row>
    <row r="28" spans="1:24">
      <c r="A28" s="86" t="s">
        <v>27</v>
      </c>
      <c r="B28" s="89">
        <v>73.3333333333333</v>
      </c>
      <c r="C28" s="123">
        <v>2</v>
      </c>
      <c r="D28" s="31">
        <v>2.6</v>
      </c>
      <c r="E28" s="220">
        <v>200</v>
      </c>
      <c r="F28" s="219">
        <f t="shared" si="0"/>
        <v>3.5935483870967744</v>
      </c>
      <c r="G28" s="117">
        <f>G26</f>
        <v>1.32</v>
      </c>
      <c r="H28" s="31">
        <f>H26</f>
        <v>3.36</v>
      </c>
      <c r="I28" s="8"/>
      <c r="J28" s="8"/>
      <c r="K28" s="140"/>
      <c r="L28" s="6"/>
      <c r="M28" s="141" t="s">
        <v>121</v>
      </c>
      <c r="N28" s="142">
        <f>SQRT(B42*B41)</f>
        <v>39.906680944797593</v>
      </c>
      <c r="O28" s="142">
        <f>C42</f>
        <v>1</v>
      </c>
      <c r="P28" s="142">
        <f>F42</f>
        <v>4.7451612903225806</v>
      </c>
    </row>
    <row r="29" spans="1:24">
      <c r="A29" s="86" t="s">
        <v>28</v>
      </c>
      <c r="B29" s="89">
        <v>73.3333333333333</v>
      </c>
      <c r="C29" s="123">
        <v>2</v>
      </c>
      <c r="D29" s="31">
        <v>2.6</v>
      </c>
      <c r="E29" s="220">
        <v>200</v>
      </c>
      <c r="F29" s="219">
        <f t="shared" si="0"/>
        <v>3.5935483870967744</v>
      </c>
      <c r="G29" s="117">
        <f>G26</f>
        <v>1.32</v>
      </c>
      <c r="H29" s="31">
        <f>H26</f>
        <v>3.36</v>
      </c>
      <c r="I29" s="8"/>
      <c r="J29" s="8"/>
      <c r="K29" s="140" t="s">
        <v>610</v>
      </c>
      <c r="L29" s="6"/>
      <c r="M29" s="141" t="s">
        <v>25</v>
      </c>
      <c r="N29" s="142">
        <f>B26</f>
        <v>74.066666666666706</v>
      </c>
      <c r="O29" s="142">
        <f>C26</f>
        <v>2</v>
      </c>
      <c r="P29" s="142">
        <f>F26</f>
        <v>3.9412903225806453</v>
      </c>
    </row>
    <row r="30" spans="1:24">
      <c r="A30" s="86" t="s">
        <v>29</v>
      </c>
      <c r="B30" s="89">
        <v>73.3333333333333</v>
      </c>
      <c r="C30" s="123">
        <v>2</v>
      </c>
      <c r="D30" s="31">
        <v>2.6</v>
      </c>
      <c r="E30" s="220">
        <v>200</v>
      </c>
      <c r="F30" s="219">
        <f t="shared" si="0"/>
        <v>3.5935483870967744</v>
      </c>
      <c r="G30" s="117">
        <f>G26</f>
        <v>1.32</v>
      </c>
      <c r="H30" s="31">
        <f>H26</f>
        <v>3.36</v>
      </c>
      <c r="I30" s="8"/>
      <c r="J30" s="8"/>
      <c r="K30" s="140"/>
      <c r="L30" s="6"/>
      <c r="M30" s="141" t="s">
        <v>464</v>
      </c>
      <c r="N30" s="142">
        <f>B43</f>
        <v>0.1</v>
      </c>
      <c r="O30" s="142">
        <f>C43</f>
        <v>5</v>
      </c>
      <c r="P30" s="142">
        <f>F43</f>
        <v>1.6451612903225805</v>
      </c>
    </row>
    <row r="31" spans="1:24">
      <c r="A31" s="86" t="s">
        <v>30</v>
      </c>
      <c r="B31" s="89">
        <v>80.6666666666667</v>
      </c>
      <c r="C31" s="123">
        <v>2</v>
      </c>
      <c r="D31" s="31">
        <v>2.6</v>
      </c>
      <c r="E31" s="220">
        <v>200</v>
      </c>
      <c r="F31" s="219">
        <f t="shared" si="0"/>
        <v>3.5935483870967744</v>
      </c>
      <c r="G31" s="117">
        <f>G26</f>
        <v>1.32</v>
      </c>
      <c r="H31" s="31">
        <f>H26</f>
        <v>3.36</v>
      </c>
      <c r="I31" s="8"/>
      <c r="J31" s="8"/>
      <c r="K31" s="140"/>
      <c r="L31" s="6"/>
      <c r="M31" s="141" t="s">
        <v>26</v>
      </c>
      <c r="N31" s="142">
        <f>B27</f>
        <v>77.366666666666703</v>
      </c>
      <c r="O31" s="142">
        <f>C27</f>
        <v>2</v>
      </c>
      <c r="P31" s="142">
        <f>F27</f>
        <v>3.5935483870967744</v>
      </c>
    </row>
    <row r="32" spans="1:24">
      <c r="A32" s="86" t="s">
        <v>31</v>
      </c>
      <c r="B32" s="89">
        <v>80.6666666666667</v>
      </c>
      <c r="C32" s="123">
        <v>2</v>
      </c>
      <c r="D32" s="31">
        <v>2.6</v>
      </c>
      <c r="E32" s="220">
        <v>200</v>
      </c>
      <c r="F32" s="219">
        <f t="shared" si="0"/>
        <v>3.5935483870967744</v>
      </c>
      <c r="G32" s="117">
        <f>G26</f>
        <v>1.32</v>
      </c>
      <c r="H32" s="31">
        <f>H26</f>
        <v>3.36</v>
      </c>
      <c r="I32" s="8"/>
      <c r="J32" s="8"/>
      <c r="K32" s="140" t="s">
        <v>611</v>
      </c>
      <c r="L32" s="6"/>
      <c r="M32" s="141" t="s">
        <v>481</v>
      </c>
      <c r="N32" s="142">
        <f>B43</f>
        <v>0.1</v>
      </c>
      <c r="O32" s="142">
        <f>C43</f>
        <v>5</v>
      </c>
      <c r="P32" s="142">
        <f>F43</f>
        <v>1.6451612903225805</v>
      </c>
    </row>
    <row r="33" spans="1:16">
      <c r="A33" s="86" t="s">
        <v>34</v>
      </c>
      <c r="B33" s="89">
        <v>73.3333333333333</v>
      </c>
      <c r="C33" s="123">
        <v>2</v>
      </c>
      <c r="D33" s="31">
        <v>2.6</v>
      </c>
      <c r="E33" s="221">
        <v>200</v>
      </c>
      <c r="F33" s="219">
        <f t="shared" si="0"/>
        <v>3.5935483870967744</v>
      </c>
      <c r="G33" s="117">
        <f>G26</f>
        <v>1.32</v>
      </c>
      <c r="H33" s="31">
        <f>H26</f>
        <v>3.36</v>
      </c>
      <c r="I33" s="8"/>
      <c r="J33" s="8"/>
      <c r="K33" s="140"/>
      <c r="L33" s="6"/>
      <c r="M33" s="141" t="s">
        <v>464</v>
      </c>
      <c r="N33" s="142">
        <f>B43</f>
        <v>0.1</v>
      </c>
      <c r="O33" s="142">
        <f>C43</f>
        <v>5</v>
      </c>
      <c r="P33" s="142">
        <f>F43</f>
        <v>1.6451612903225805</v>
      </c>
    </row>
    <row r="34" spans="1:16">
      <c r="A34" s="86" t="s">
        <v>10</v>
      </c>
      <c r="B34" s="89">
        <v>56.1</v>
      </c>
      <c r="C34" s="123">
        <v>1.5</v>
      </c>
      <c r="D34" s="31">
        <v>1.05</v>
      </c>
      <c r="E34" s="218">
        <v>100</v>
      </c>
      <c r="F34" s="219">
        <f t="shared" si="0"/>
        <v>1.5467741935483872</v>
      </c>
      <c r="G34" s="31">
        <f>0.49/35*1000</f>
        <v>14</v>
      </c>
      <c r="H34" s="31">
        <v>0.62</v>
      </c>
      <c r="I34" s="8"/>
      <c r="J34" s="8"/>
      <c r="K34" s="140" t="s">
        <v>612</v>
      </c>
      <c r="L34" s="6"/>
      <c r="M34" s="141" t="s">
        <v>464</v>
      </c>
      <c r="N34" s="142">
        <f>B43</f>
        <v>0.1</v>
      </c>
      <c r="O34" s="142">
        <f>C43</f>
        <v>5</v>
      </c>
      <c r="P34" s="142">
        <f>F43</f>
        <v>1.6451612903225805</v>
      </c>
    </row>
    <row r="35" spans="1:16">
      <c r="A35" s="86" t="s">
        <v>4</v>
      </c>
      <c r="B35" s="89">
        <v>56.1</v>
      </c>
      <c r="C35" s="123">
        <v>1.5</v>
      </c>
      <c r="D35" s="31">
        <v>1.05</v>
      </c>
      <c r="E35" s="220">
        <v>100</v>
      </c>
      <c r="F35" s="219">
        <f t="shared" si="0"/>
        <v>1.5467741935483872</v>
      </c>
      <c r="G35" s="31">
        <f>G34</f>
        <v>14</v>
      </c>
      <c r="H35" s="31">
        <f>H34</f>
        <v>0.62</v>
      </c>
      <c r="I35" s="8"/>
      <c r="J35" s="8"/>
      <c r="K35" s="140"/>
      <c r="L35" s="6"/>
      <c r="M35" s="141" t="s">
        <v>25</v>
      </c>
      <c r="N35" s="142">
        <f>B26</f>
        <v>74.066666666666706</v>
      </c>
      <c r="O35" s="142">
        <f>C26</f>
        <v>2</v>
      </c>
      <c r="P35" s="142">
        <f>F26</f>
        <v>3.9412903225806453</v>
      </c>
    </row>
    <row r="36" spans="1:16">
      <c r="A36" s="86" t="s">
        <v>17</v>
      </c>
      <c r="B36" s="89">
        <v>56.1</v>
      </c>
      <c r="C36" s="123">
        <v>1.5</v>
      </c>
      <c r="D36" s="31">
        <v>1.05</v>
      </c>
      <c r="E36" s="220">
        <v>100</v>
      </c>
      <c r="F36" s="219">
        <f t="shared" si="0"/>
        <v>1.5467741935483872</v>
      </c>
      <c r="G36" s="118">
        <v>0</v>
      </c>
      <c r="H36" s="18">
        <v>0.62</v>
      </c>
      <c r="I36" s="8"/>
      <c r="J36" s="8"/>
      <c r="K36" s="140" t="s">
        <v>613</v>
      </c>
      <c r="L36" s="6"/>
      <c r="M36" s="141" t="s">
        <v>10</v>
      </c>
      <c r="N36" s="142">
        <f>B34</f>
        <v>56.1</v>
      </c>
      <c r="O36" s="142">
        <f>C34</f>
        <v>1.5</v>
      </c>
      <c r="P36" s="142">
        <f>F34</f>
        <v>1.5467741935483872</v>
      </c>
    </row>
    <row r="37" spans="1:16">
      <c r="A37" s="86" t="s">
        <v>18</v>
      </c>
      <c r="B37" s="89">
        <v>61.6</v>
      </c>
      <c r="C37" s="123">
        <v>1.5</v>
      </c>
      <c r="D37" s="31">
        <v>1.05</v>
      </c>
      <c r="E37" s="220">
        <v>100</v>
      </c>
      <c r="F37" s="219">
        <f t="shared" si="0"/>
        <v>1.5467741935483872</v>
      </c>
      <c r="G37" s="117">
        <v>0.13</v>
      </c>
      <c r="H37" s="18">
        <v>0.62</v>
      </c>
      <c r="I37" s="8"/>
      <c r="J37" s="8"/>
      <c r="K37" s="140"/>
      <c r="L37" s="6"/>
      <c r="M37" s="141" t="s">
        <v>129</v>
      </c>
      <c r="N37" s="142">
        <f>B43</f>
        <v>0.1</v>
      </c>
      <c r="O37" s="142">
        <f>C43</f>
        <v>5</v>
      </c>
      <c r="P37" s="142">
        <f>F43</f>
        <v>1.6451612903225805</v>
      </c>
    </row>
    <row r="38" spans="1:16">
      <c r="A38" s="86" t="s">
        <v>19</v>
      </c>
      <c r="B38" s="89">
        <v>63.066666666666698</v>
      </c>
      <c r="C38" s="123">
        <v>1.5</v>
      </c>
      <c r="D38" s="31">
        <v>1.05</v>
      </c>
      <c r="E38" s="220">
        <v>100</v>
      </c>
      <c r="F38" s="219">
        <f t="shared" si="0"/>
        <v>1.5467741935483872</v>
      </c>
      <c r="G38" s="118">
        <v>1.18</v>
      </c>
      <c r="H38" s="31">
        <v>9</v>
      </c>
      <c r="I38" s="8"/>
      <c r="J38" s="8"/>
      <c r="K38" s="140"/>
      <c r="L38" s="6"/>
      <c r="M38" s="141" t="s">
        <v>532</v>
      </c>
      <c r="N38" s="142">
        <f>B43</f>
        <v>0.1</v>
      </c>
      <c r="O38" s="142">
        <f>C43</f>
        <v>5</v>
      </c>
      <c r="P38" s="142">
        <f>F43</f>
        <v>1.6451612903225805</v>
      </c>
    </row>
    <row r="39" spans="1:16">
      <c r="A39" s="86" t="s">
        <v>8</v>
      </c>
      <c r="B39" s="18">
        <v>0.1</v>
      </c>
      <c r="C39" s="18">
        <v>15</v>
      </c>
      <c r="D39" s="31">
        <v>4</v>
      </c>
      <c r="E39" s="222">
        <v>90</v>
      </c>
      <c r="F39" s="219">
        <f t="shared" si="0"/>
        <v>4.4470967741935485</v>
      </c>
      <c r="G39" s="18">
        <v>0.02</v>
      </c>
      <c r="H39" s="18">
        <v>8.89</v>
      </c>
      <c r="I39" s="8"/>
      <c r="J39" s="8"/>
      <c r="K39" s="140" t="s">
        <v>614</v>
      </c>
      <c r="L39" s="6"/>
      <c r="M39" s="141" t="s">
        <v>26</v>
      </c>
      <c r="N39" s="142">
        <f>B27</f>
        <v>77.366666666666703</v>
      </c>
      <c r="O39" s="142">
        <f>C27</f>
        <v>2</v>
      </c>
      <c r="P39" s="142">
        <f>F27</f>
        <v>3.5935483870967744</v>
      </c>
    </row>
    <row r="40" spans="1:16">
      <c r="A40" s="86" t="s">
        <v>119</v>
      </c>
      <c r="B40" s="18">
        <v>0.1</v>
      </c>
      <c r="C40" s="18">
        <v>15</v>
      </c>
      <c r="D40" s="31">
        <v>4</v>
      </c>
      <c r="E40" s="222">
        <v>90</v>
      </c>
      <c r="F40" s="219">
        <f t="shared" si="0"/>
        <v>4.4470967741935485</v>
      </c>
      <c r="G40" s="18">
        <v>0.02</v>
      </c>
      <c r="H40" s="18">
        <v>8.89</v>
      </c>
      <c r="I40" s="8"/>
      <c r="J40" s="8"/>
      <c r="K40" s="140" t="s">
        <v>615</v>
      </c>
      <c r="L40" s="6"/>
      <c r="M40" s="141" t="s">
        <v>538</v>
      </c>
      <c r="N40" s="142">
        <f>B40</f>
        <v>0.1</v>
      </c>
      <c r="O40" s="142">
        <f>C40</f>
        <v>15</v>
      </c>
      <c r="P40" s="142">
        <f>F40</f>
        <v>4.4470967741935485</v>
      </c>
    </row>
    <row r="41" spans="1:16">
      <c r="A41" s="86" t="s">
        <v>120</v>
      </c>
      <c r="B41" s="122">
        <f>SQRT(93*B42)</f>
        <v>52.908411429563827</v>
      </c>
      <c r="C41" s="18">
        <f>C42</f>
        <v>1</v>
      </c>
      <c r="D41" s="31">
        <v>2.6</v>
      </c>
      <c r="E41" s="222">
        <v>90</v>
      </c>
      <c r="F41" s="219">
        <f t="shared" si="0"/>
        <v>3.0470967741935486</v>
      </c>
      <c r="G41" s="18">
        <f>G42</f>
        <v>0.02</v>
      </c>
      <c r="H41" s="18">
        <f>H42</f>
        <v>0</v>
      </c>
      <c r="I41" s="8"/>
      <c r="J41" s="8"/>
      <c r="K41" s="140" t="s">
        <v>616</v>
      </c>
      <c r="L41" s="6"/>
      <c r="M41" s="141" t="s">
        <v>543</v>
      </c>
      <c r="N41" s="142">
        <f t="array" ref="N41:P41">N40:P40</f>
        <v>0.1</v>
      </c>
      <c r="O41" s="142">
        <v>15</v>
      </c>
      <c r="P41" s="142">
        <v>4.4470967741935485</v>
      </c>
    </row>
    <row r="42" spans="1:16">
      <c r="A42" s="86" t="s">
        <v>121</v>
      </c>
      <c r="B42" s="18">
        <f ca="1">OtherData!$C$11</f>
        <v>30.1</v>
      </c>
      <c r="C42" s="18">
        <v>1</v>
      </c>
      <c r="D42" s="31">
        <v>4</v>
      </c>
      <c r="E42" s="222">
        <v>150</v>
      </c>
      <c r="F42" s="219">
        <f t="shared" si="0"/>
        <v>4.7451612903225806</v>
      </c>
      <c r="G42" s="18">
        <v>0.02</v>
      </c>
      <c r="H42" s="18">
        <v>0</v>
      </c>
      <c r="I42" s="8"/>
      <c r="J42" s="8"/>
      <c r="K42" s="140" t="s">
        <v>618</v>
      </c>
      <c r="L42" s="6"/>
      <c r="M42" s="141" t="s">
        <v>129</v>
      </c>
      <c r="N42" s="142">
        <f>B43</f>
        <v>0.1</v>
      </c>
      <c r="O42" s="142">
        <f>C43</f>
        <v>5</v>
      </c>
      <c r="P42" s="142">
        <f>F43</f>
        <v>1.6451612903225805</v>
      </c>
    </row>
    <row r="43" spans="1:16">
      <c r="A43" s="86" t="s">
        <v>481</v>
      </c>
      <c r="B43" s="18">
        <v>0.1</v>
      </c>
      <c r="C43" s="18">
        <v>5</v>
      </c>
      <c r="D43" s="31">
        <v>0.9</v>
      </c>
      <c r="E43" s="222">
        <v>150</v>
      </c>
      <c r="F43" s="219">
        <f t="shared" si="0"/>
        <v>1.6451612903225805</v>
      </c>
      <c r="G43" s="18">
        <v>0.02</v>
      </c>
      <c r="H43" s="18">
        <v>0</v>
      </c>
      <c r="I43" s="8"/>
      <c r="J43" s="8"/>
      <c r="K43" s="140" t="s">
        <v>619</v>
      </c>
      <c r="L43" s="6"/>
      <c r="M43" s="6" t="s">
        <v>455</v>
      </c>
      <c r="N43" s="142">
        <f>B42</f>
        <v>30.1</v>
      </c>
      <c r="O43" s="142">
        <f>O28</f>
        <v>1</v>
      </c>
      <c r="P43" s="142">
        <f>P28</f>
        <v>4.7451612903225806</v>
      </c>
    </row>
    <row r="44" spans="1:16">
      <c r="A44" s="86" t="s">
        <v>9</v>
      </c>
      <c r="B44" s="18">
        <v>0.1</v>
      </c>
      <c r="C44" s="18">
        <v>10</v>
      </c>
      <c r="D44" s="31">
        <v>2.6</v>
      </c>
      <c r="E44" s="222">
        <v>150</v>
      </c>
      <c r="F44" s="219">
        <f t="shared" si="0"/>
        <v>3.3451612903225807</v>
      </c>
      <c r="G44" s="18">
        <v>0.02</v>
      </c>
      <c r="H44" s="31">
        <v>0</v>
      </c>
      <c r="I44" s="8"/>
      <c r="J44" s="8"/>
      <c r="K44" s="140" t="s">
        <v>620</v>
      </c>
      <c r="L44" s="6"/>
      <c r="M44" s="141" t="s">
        <v>0</v>
      </c>
      <c r="N44" s="142">
        <f>B6</f>
        <v>92.7</v>
      </c>
      <c r="O44" s="142">
        <f>C6</f>
        <v>1.2</v>
      </c>
      <c r="P44" s="142">
        <f>F6</f>
        <v>2.2458064516129035</v>
      </c>
    </row>
    <row r="45" spans="1:16">
      <c r="A45" s="71" t="s">
        <v>106</v>
      </c>
      <c r="B45" s="39"/>
      <c r="C45" s="39"/>
      <c r="D45" s="39"/>
      <c r="E45" s="8"/>
      <c r="F45" s="8"/>
      <c r="G45" s="8"/>
      <c r="H45" s="8"/>
      <c r="I45" s="8"/>
      <c r="J45" s="8"/>
      <c r="K45" s="140" t="s">
        <v>621</v>
      </c>
      <c r="L45" s="6"/>
      <c r="M45" s="141" t="s">
        <v>1</v>
      </c>
      <c r="N45" s="142">
        <f>B7</f>
        <v>104.7</v>
      </c>
      <c r="O45" s="142">
        <f>C7</f>
        <v>3.5</v>
      </c>
      <c r="P45" s="142">
        <f>F7</f>
        <v>4.645806451612903</v>
      </c>
    </row>
    <row r="46" spans="1:16">
      <c r="A46" s="39" t="s">
        <v>45</v>
      </c>
      <c r="B46" s="39"/>
      <c r="C46" s="39"/>
      <c r="D46" s="39"/>
      <c r="E46" s="8"/>
      <c r="F46" s="8"/>
      <c r="G46" s="8"/>
      <c r="H46" s="8"/>
      <c r="I46" s="8"/>
      <c r="J46" s="8"/>
      <c r="K46" s="140" t="s">
        <v>617</v>
      </c>
      <c r="L46" s="6"/>
      <c r="M46" s="141" t="s">
        <v>8</v>
      </c>
      <c r="N46" s="142">
        <f>N40</f>
        <v>0.1</v>
      </c>
      <c r="O46" s="142">
        <f>C7</f>
        <v>3.5</v>
      </c>
      <c r="P46" s="142">
        <f>F7</f>
        <v>4.645806451612903</v>
      </c>
    </row>
    <row r="47" spans="1:16">
      <c r="A47" s="39" t="s">
        <v>46</v>
      </c>
      <c r="B47" s="39"/>
      <c r="C47" s="39"/>
      <c r="D47" s="39"/>
      <c r="E47" s="8"/>
      <c r="F47" s="8"/>
      <c r="G47" s="8"/>
      <c r="H47" s="8"/>
      <c r="I47" s="8"/>
      <c r="J47" s="8"/>
      <c r="K47" s="140" t="s">
        <v>622</v>
      </c>
      <c r="L47" s="6"/>
      <c r="M47" s="141" t="s">
        <v>531</v>
      </c>
      <c r="N47" s="142">
        <f>N40</f>
        <v>0.1</v>
      </c>
      <c r="O47" s="142">
        <f>O40</f>
        <v>15</v>
      </c>
      <c r="P47" s="142">
        <f>P40</f>
        <v>4.4470967741935485</v>
      </c>
    </row>
    <row r="49" spans="1:1">
      <c r="A49" s="1" t="s">
        <v>202</v>
      </c>
    </row>
    <row r="50" spans="1:1">
      <c r="A50" s="1" t="s">
        <v>203</v>
      </c>
    </row>
    <row r="51" spans="1:1">
      <c r="A51" s="1" t="s">
        <v>204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4"/>
  <sheetViews>
    <sheetView zoomScale="80" workbookViewId="0">
      <selection activeCell="D25" sqref="D25"/>
    </sheetView>
  </sheetViews>
  <sheetFormatPr defaultRowHeight="12.75"/>
  <cols>
    <col min="1" max="2" width="12.85546875" customWidth="1"/>
    <col min="3" max="3" width="9.28515625" bestFit="1" customWidth="1"/>
    <col min="13" max="13" width="7.5703125" customWidth="1"/>
    <col min="14" max="14" width="10.42578125" customWidth="1"/>
  </cols>
  <sheetData>
    <row r="1" spans="1:19" ht="18">
      <c r="A1" s="32" t="s">
        <v>335</v>
      </c>
      <c r="B1" s="48"/>
      <c r="C1" s="48"/>
      <c r="D1" s="48"/>
      <c r="E1" s="48"/>
      <c r="F1" s="48"/>
      <c r="G1" s="48"/>
      <c r="H1" s="48"/>
    </row>
    <row r="3" spans="1:19" ht="20.25" thickBot="1">
      <c r="A3" s="126" t="s">
        <v>394</v>
      </c>
      <c r="B3" s="126"/>
      <c r="C3" s="126"/>
      <c r="D3" s="126"/>
      <c r="E3" s="126"/>
      <c r="F3" s="126"/>
      <c r="G3" s="126"/>
      <c r="H3" s="126"/>
    </row>
    <row r="4" spans="1:19" ht="13.5" thickTop="1">
      <c r="B4">
        <f ca="1">BaseYear</f>
        <v>2010</v>
      </c>
      <c r="C4">
        <f ca="1">AuxYear</f>
        <v>2017</v>
      </c>
      <c r="L4" s="127"/>
      <c r="M4" s="143"/>
    </row>
    <row r="5" spans="1:19">
      <c r="A5" t="s">
        <v>404</v>
      </c>
      <c r="B5" s="198">
        <f ca="1">-IEAData!F63</f>
        <v>8.8621516201130994</v>
      </c>
      <c r="C5" s="198">
        <f ca="1">-AuxData!F63</f>
        <v>9.1563816316198636</v>
      </c>
      <c r="I5" s="143">
        <f ca="1">B5/H12</f>
        <v>0.63941970230832856</v>
      </c>
      <c r="Q5" s="143">
        <f ca="1">C5/P12</f>
        <v>0.64370624543595878</v>
      </c>
    </row>
    <row r="6" spans="1:19">
      <c r="A6" t="s">
        <v>395</v>
      </c>
      <c r="B6" s="195">
        <f ca="1">SUM(IEAData!F86,IEAData!F97)+IEAData!H68-B7</f>
        <v>252.90996343765099</v>
      </c>
      <c r="C6" s="195">
        <f ca="1">SUM(AuxData!F86,AuxData!F97)+AuxData!H68-C7</f>
        <v>252.77397577972664</v>
      </c>
      <c r="E6" s="185">
        <f ca="1">BaseYear</f>
        <v>2010</v>
      </c>
      <c r="F6" s="194" t="s">
        <v>400</v>
      </c>
      <c r="G6" s="194" t="s">
        <v>401</v>
      </c>
      <c r="H6" s="194" t="s">
        <v>402</v>
      </c>
      <c r="I6" s="194" t="s">
        <v>400</v>
      </c>
      <c r="J6" s="194" t="s">
        <v>401</v>
      </c>
      <c r="K6" s="194" t="s">
        <v>402</v>
      </c>
      <c r="M6" s="185">
        <f ca="1">AuxYear</f>
        <v>2017</v>
      </c>
      <c r="N6" s="194" t="s">
        <v>400</v>
      </c>
      <c r="O6" s="194" t="s">
        <v>401</v>
      </c>
      <c r="P6" s="194" t="s">
        <v>402</v>
      </c>
      <c r="Q6" s="194" t="s">
        <v>400</v>
      </c>
      <c r="R6" s="194" t="s">
        <v>401</v>
      </c>
      <c r="S6" s="194" t="s">
        <v>402</v>
      </c>
    </row>
    <row r="7" spans="1:19">
      <c r="A7" t="s">
        <v>396</v>
      </c>
      <c r="B7" s="195">
        <f ca="1">MAX(OtherData!E99+OtherData!G99,IEAData!J56*0.04)</f>
        <v>10.326680942450672</v>
      </c>
      <c r="C7" s="195">
        <f ca="1">MAX(OtherData!E69+OtherData!G69,AuxData!J56*0.04)</f>
        <v>8.8895747297007084</v>
      </c>
      <c r="E7" t="s">
        <v>198</v>
      </c>
      <c r="F7" s="616">
        <v>0.02</v>
      </c>
      <c r="G7" s="195">
        <f ca="1">$B6*0.97</f>
        <v>245.32266453452144</v>
      </c>
      <c r="H7" s="195">
        <f ca="1">G7*F7</f>
        <v>4.906453290690429</v>
      </c>
      <c r="I7" s="617">
        <f ca="1">F7*$B$5/H$12</f>
        <v>1.2788394046166572E-2</v>
      </c>
      <c r="J7" s="195">
        <f ca="1">$G$7</f>
        <v>245.32266453452144</v>
      </c>
      <c r="K7" s="195">
        <f ca="1">J7*I7</f>
        <v>3.1372829025229931</v>
      </c>
      <c r="M7" t="s">
        <v>198</v>
      </c>
      <c r="N7" s="616">
        <v>0.02</v>
      </c>
      <c r="O7" s="195">
        <f ca="1">$C6*0.97</f>
        <v>245.19075650633482</v>
      </c>
      <c r="P7" s="195">
        <f ca="1">O7*N7</f>
        <v>4.9038151301266968</v>
      </c>
      <c r="Q7" s="617">
        <f ca="1">N7*$C$5/P$12</f>
        <v>1.2874124908719177E-2</v>
      </c>
      <c r="R7" s="195">
        <f ca="1">$O$7</f>
        <v>245.19075650633482</v>
      </c>
      <c r="S7" s="195">
        <f ca="1">R7*Q7</f>
        <v>3.156616425725904</v>
      </c>
    </row>
    <row r="8" spans="1:19">
      <c r="A8" t="s">
        <v>397</v>
      </c>
      <c r="B8" s="198">
        <f ca="1">IEAData!E63*IEAData!Q63</f>
        <v>40.569621365747579</v>
      </c>
      <c r="C8" s="198">
        <f ca="1">AuxData!E63*AuxData!Q63</f>
        <v>32.533861953995242</v>
      </c>
      <c r="E8" t="s">
        <v>396</v>
      </c>
      <c r="F8" s="616">
        <v>0.02</v>
      </c>
      <c r="G8" s="195">
        <f ca="1">$B7+G7*(1-F7)-G10</f>
        <v>128.64784706776004</v>
      </c>
      <c r="H8" s="195">
        <f ca="1">G8*F8</f>
        <v>2.5729569413552009</v>
      </c>
      <c r="I8" s="617">
        <f ca="1">F8*$B$5/H$12*G8/J8</f>
        <v>1.2544052989695884E-2</v>
      </c>
      <c r="J8" s="195">
        <f ca="1">$B7+J7*(1-I7)-J10</f>
        <v>131.15373179983482</v>
      </c>
      <c r="K8" s="195">
        <f ca="1">J8*I8</f>
        <v>1.6451993614934901</v>
      </c>
      <c r="M8" t="s">
        <v>396</v>
      </c>
      <c r="N8" s="616">
        <v>0.02</v>
      </c>
      <c r="O8" s="195">
        <f ca="1">$C7+O7*(1-N7)-O10</f>
        <v>137.4241440599136</v>
      </c>
      <c r="P8" s="195">
        <f ca="1">O8*N8</f>
        <v>2.7484828811982722</v>
      </c>
      <c r="Q8" s="617">
        <f ca="1">N8*$C$5/P$12*O8/R8</f>
        <v>1.2649931327811481E-2</v>
      </c>
      <c r="R8" s="195">
        <f ca="1">$C7+R7*(1-Q7)-R10</f>
        <v>139.85969965002425</v>
      </c>
      <c r="S8" s="195">
        <f ca="1">R8*Q8</f>
        <v>1.7692155961011462</v>
      </c>
    </row>
    <row r="9" spans="1:19">
      <c r="A9" t="s">
        <v>398</v>
      </c>
      <c r="B9" s="198">
        <f ca="1">-IEAData!I68</f>
        <v>18.788181264000002</v>
      </c>
      <c r="C9" s="198">
        <f ca="1">-AuxData!I68</f>
        <v>6.4044013999999994</v>
      </c>
      <c r="E9" t="s">
        <v>199</v>
      </c>
      <c r="F9" s="616">
        <v>3.5000000000000003E-2</v>
      </c>
      <c r="G9" s="195">
        <f ca="1">G8*(1-F8)-$B12</f>
        <v>123.91808941107381</v>
      </c>
      <c r="H9" s="195">
        <f ca="1">G9*F9</f>
        <v>4.3371331293875839</v>
      </c>
      <c r="I9" s="617">
        <f ca="1">F9*$B$5/H$12*G9/J9</f>
        <v>2.1776291040128192E-2</v>
      </c>
      <c r="J9" s="195">
        <f ca="1">J8*(1-I8)-$B12</f>
        <v>127.35173172301029</v>
      </c>
      <c r="K9" s="195">
        <f ca="1">J9*I9</f>
        <v>2.7732483744645982</v>
      </c>
      <c r="M9" t="s">
        <v>199</v>
      </c>
      <c r="N9" s="616">
        <v>3.5000000000000003E-2</v>
      </c>
      <c r="O9" s="195">
        <f ca="1">O8*(1-N8)-$C12</f>
        <v>132.57661945083382</v>
      </c>
      <c r="P9" s="195">
        <f ca="1">O9*N9</f>
        <v>4.6401816807791842</v>
      </c>
      <c r="Q9" s="617">
        <f ca="1">N9*$C$5/P$12*O9/R9</f>
        <v>2.1963984474213553E-2</v>
      </c>
      <c r="R9" s="195">
        <f ca="1">R8*(1-Q8)-$C12</f>
        <v>135.99144232604161</v>
      </c>
      <c r="S9" s="195">
        <f ca="1">R9*Q9</f>
        <v>2.9869139278750856</v>
      </c>
    </row>
    <row r="10" spans="1:19">
      <c r="A10" t="s">
        <v>399</v>
      </c>
      <c r="B10" s="198">
        <f ca="1">SUM(B6:B8)-B9</f>
        <v>285.01808448184926</v>
      </c>
      <c r="C10" s="198">
        <f ca="1">SUM(C6:C8)-C9</f>
        <v>287.79301106342263</v>
      </c>
      <c r="E10" t="s">
        <v>417</v>
      </c>
      <c r="F10" s="616">
        <v>5.0000000000000001E-3</v>
      </c>
      <c r="G10" s="195">
        <f>($B11/(1-F11)-$B8)/(1-F10)+$B9/(1-F10)</f>
        <v>122.09504511852164</v>
      </c>
      <c r="H10" s="195">
        <f>G10*F10</f>
        <v>0.61047522559260825</v>
      </c>
      <c r="I10" s="617">
        <f ca="1">H10*I$5/(H10*I$5+($B11/(1-I11)-$B8)+$B9)</f>
        <v>3.2165067245361998E-3</v>
      </c>
      <c r="J10" s="195">
        <f ca="1">H10*I$5+($B11/(1-I11)-$B8)+$B9</f>
        <v>121.3583307746143</v>
      </c>
      <c r="K10" s="195">
        <f ca="1">J10*I10</f>
        <v>0.39034988701503531</v>
      </c>
      <c r="M10" t="s">
        <v>417</v>
      </c>
      <c r="N10" s="616">
        <v>5.0000000000000001E-3</v>
      </c>
      <c r="O10" s="195">
        <f>($C11/(1-N11)-$C8)/(1-N10)+$C9/(1-N10)</f>
        <v>111.75237204599524</v>
      </c>
      <c r="P10" s="195">
        <f>O10*N10</f>
        <v>0.5587618602299762</v>
      </c>
      <c r="Q10" s="617">
        <f ca="1">P10*Q$5/(P10*Q$5+($C11/(1-Q11)-$C8)+$C9)</f>
        <v>3.238479165572837E-3</v>
      </c>
      <c r="R10" s="195">
        <f ca="1">P10*Q$5+($C11/(1-Q11)-$C8)+$C9</f>
        <v>111.06401516028539</v>
      </c>
      <c r="S10" s="195">
        <f ca="1">R10*Q10</f>
        <v>0.35967849914144995</v>
      </c>
    </row>
    <row r="11" spans="1:19">
      <c r="A11" t="s">
        <v>393</v>
      </c>
      <c r="B11" s="198">
        <f ca="1">IEAData!J68</f>
        <v>141.83334989472985</v>
      </c>
      <c r="C11" s="198">
        <f ca="1">AuxData!J68</f>
        <v>135.94984003236291</v>
      </c>
      <c r="E11" t="s">
        <v>403</v>
      </c>
      <c r="F11" s="616">
        <v>0.01</v>
      </c>
      <c r="G11" s="195">
        <f>$B8+(G10)*(1-F10)-$B9</f>
        <v>143.26600999467661</v>
      </c>
      <c r="H11" s="195">
        <f>G11*F11</f>
        <v>1.432660099946766</v>
      </c>
      <c r="I11" s="617">
        <f ca="1">H11*I5/(H11*I5+B11)</f>
        <v>6.4173366747690445E-3</v>
      </c>
      <c r="J11" s="195">
        <f ca="1">$B8+(J10)*(1-I10)-$B9</f>
        <v>142.74942098934685</v>
      </c>
      <c r="K11" s="195">
        <f ca="1">J11*I11</f>
        <v>0.91607109461698155</v>
      </c>
      <c r="M11" t="s">
        <v>403</v>
      </c>
      <c r="N11" s="616">
        <v>0.01</v>
      </c>
      <c r="O11" s="195">
        <f>$C8+(O10)*(1-N10)-$C9</f>
        <v>137.32307073976048</v>
      </c>
      <c r="P11" s="195">
        <f>O11*N11</f>
        <v>1.3732307073976049</v>
      </c>
      <c r="Q11" s="617">
        <f ca="1">P11*Q5/(P11*Q5+C11)</f>
        <v>6.4600793134934479E-3</v>
      </c>
      <c r="R11" s="195">
        <f ca="1">$C8+(R10)*(1-Q10)-$C9</f>
        <v>136.83379721513919</v>
      </c>
      <c r="S11" s="195">
        <f ca="1">R11*Q11</f>
        <v>0.88395718277627799</v>
      </c>
    </row>
    <row r="12" spans="1:19">
      <c r="A12" t="s">
        <v>405</v>
      </c>
      <c r="B12" s="197">
        <f ca="1">IEAData!K68</f>
        <v>2.1568007153310287</v>
      </c>
      <c r="C12" s="197">
        <f ca="1">AuxData!K68</f>
        <v>2.0990417278815166</v>
      </c>
      <c r="E12" t="s">
        <v>52</v>
      </c>
      <c r="F12" s="322"/>
      <c r="G12" s="322"/>
      <c r="H12" s="323">
        <f ca="1">SUM(H7:H11)</f>
        <v>13.85967868697259</v>
      </c>
      <c r="I12" s="322"/>
      <c r="J12" s="322"/>
      <c r="K12" s="324">
        <f ca="1">SUM(K7:K11)</f>
        <v>8.8621516201130994</v>
      </c>
      <c r="M12" t="s">
        <v>52</v>
      </c>
      <c r="N12" s="322"/>
      <c r="O12" s="322"/>
      <c r="P12" s="323">
        <f ca="1">SUM(P7:P11)</f>
        <v>14.224472259731735</v>
      </c>
      <c r="Q12" s="322"/>
      <c r="R12" s="322"/>
      <c r="S12" s="324">
        <f ca="1">SUM(S7:S11)</f>
        <v>9.1563816316198636</v>
      </c>
    </row>
    <row r="15" spans="1:19">
      <c r="B15" s="127"/>
    </row>
    <row r="17" spans="1:19" ht="18">
      <c r="A17" s="8"/>
      <c r="B17" s="164" t="str">
        <f>"~FI_T: "&amp;Region</f>
        <v>~FI_T: FIN</v>
      </c>
      <c r="J17" s="225" t="s">
        <v>534</v>
      </c>
      <c r="K17" s="225"/>
      <c r="N17" s="60" t="s">
        <v>562</v>
      </c>
      <c r="O17" s="60"/>
      <c r="P17" s="105" t="str">
        <f>"~FI_T: ACT_BND~"&amp;Region</f>
        <v>~FI_T: ACT_BND~FIN</v>
      </c>
    </row>
    <row r="18" spans="1:19" ht="13.5" thickBot="1">
      <c r="A18" s="165" t="s">
        <v>218</v>
      </c>
      <c r="B18" s="166" t="s">
        <v>600</v>
      </c>
      <c r="C18" s="167">
        <v>2010</v>
      </c>
      <c r="D18" s="167">
        <f ca="1">AuxYear</f>
        <v>2017</v>
      </c>
      <c r="E18" s="167">
        <v>2020</v>
      </c>
      <c r="F18" s="167">
        <v>2030</v>
      </c>
      <c r="G18" s="167">
        <v>2050</v>
      </c>
      <c r="H18" s="167">
        <v>2100</v>
      </c>
      <c r="J18" s="167">
        <v>2030</v>
      </c>
      <c r="K18" s="167">
        <v>2100</v>
      </c>
      <c r="N18" s="208" t="s">
        <v>212</v>
      </c>
      <c r="O18" s="208" t="s">
        <v>218</v>
      </c>
      <c r="P18" s="208" t="s">
        <v>477</v>
      </c>
      <c r="Q18" s="208">
        <f ca="1">BaseYear</f>
        <v>2010</v>
      </c>
      <c r="R18" s="208">
        <f ca="1">AuxYear</f>
        <v>2017</v>
      </c>
      <c r="S18" s="208">
        <v>0</v>
      </c>
    </row>
    <row r="19" spans="1:19">
      <c r="A19" s="6" t="s">
        <v>198</v>
      </c>
      <c r="B19" s="19" t="s">
        <v>328</v>
      </c>
      <c r="C19" s="321">
        <f ca="1">1-I7</f>
        <v>0.98721160595383339</v>
      </c>
      <c r="D19" s="321">
        <f ca="1">1-Q7</f>
        <v>0.9871258750912808</v>
      </c>
      <c r="E19" s="321">
        <f t="shared" ref="E19:F24" ca="1" si="0">1/(1+(1/D19-1)*$J19^(D$18-E$18))</f>
        <v>0.98725840224466443</v>
      </c>
      <c r="F19" s="321">
        <f t="shared" ca="1" si="0"/>
        <v>0.98769050706459927</v>
      </c>
      <c r="G19" s="321">
        <f t="shared" ref="G19:H24" ca="1" si="1">1/(1+(1/F19-1)*$K19^(F$18-G$18))</f>
        <v>0.98948479445865789</v>
      </c>
      <c r="H19" s="321">
        <f t="shared" ca="1" si="1"/>
        <v>0.99291574097979785</v>
      </c>
      <c r="J19" s="321">
        <v>1.0035000000000001</v>
      </c>
      <c r="K19" s="6">
        <v>1.008</v>
      </c>
      <c r="N19" s="207" t="s">
        <v>563</v>
      </c>
      <c r="O19" s="207"/>
      <c r="P19" s="207"/>
      <c r="Q19" s="207"/>
      <c r="R19" s="207"/>
      <c r="S19" s="207"/>
    </row>
    <row r="20" spans="1:19">
      <c r="A20" s="6" t="s">
        <v>396</v>
      </c>
      <c r="B20" s="19" t="s">
        <v>328</v>
      </c>
      <c r="C20" s="321">
        <f ca="1">1-I8</f>
        <v>0.98745594701030415</v>
      </c>
      <c r="D20" s="321">
        <f ca="1">1-Q8</f>
        <v>0.98735006867218855</v>
      </c>
      <c r="E20" s="321">
        <f t="shared" ca="1" si="0"/>
        <v>0.9874803172315415</v>
      </c>
      <c r="F20" s="321">
        <f t="shared" ca="1" si="0"/>
        <v>0.98790498846490871</v>
      </c>
      <c r="G20" s="321">
        <f t="shared" ca="1" si="1"/>
        <v>0.98966833911184215</v>
      </c>
      <c r="H20" s="321">
        <f t="shared" ca="1" si="1"/>
        <v>0.99303981915269379</v>
      </c>
      <c r="J20" s="321">
        <v>1.0035000000000001</v>
      </c>
      <c r="K20" s="6">
        <v>1.008</v>
      </c>
      <c r="N20" s="6" t="s">
        <v>623</v>
      </c>
      <c r="O20" s="6"/>
      <c r="P20" s="162" t="s">
        <v>480</v>
      </c>
      <c r="Q20" s="254">
        <f ca="1">IEAData!$Q$26</f>
        <v>29.88657382383899</v>
      </c>
      <c r="R20" s="254">
        <f ca="1">AuxData!$Q$26</f>
        <v>4.7670987480346776</v>
      </c>
      <c r="S20" s="162">
        <v>11</v>
      </c>
    </row>
    <row r="21" spans="1:19">
      <c r="A21" s="6" t="s">
        <v>199</v>
      </c>
      <c r="B21" s="19" t="s">
        <v>328</v>
      </c>
      <c r="C21" s="321">
        <f ca="1">1-I9</f>
        <v>0.97822370895987176</v>
      </c>
      <c r="D21" s="321">
        <f ca="1">1-Q9</f>
        <v>0.97803601552578645</v>
      </c>
      <c r="E21" s="321">
        <f t="shared" ca="1" si="0"/>
        <v>0.97826005356367163</v>
      </c>
      <c r="F21" s="321">
        <f t="shared" ca="1" si="0"/>
        <v>0.97899082477792099</v>
      </c>
      <c r="G21" s="321">
        <f t="shared" ca="1" si="1"/>
        <v>0.98203014556671775</v>
      </c>
      <c r="H21" s="321">
        <f t="shared" ca="1" si="1"/>
        <v>0.98786359350200359</v>
      </c>
      <c r="J21" s="321">
        <v>1.0035000000000001</v>
      </c>
      <c r="K21" s="6">
        <v>1.008</v>
      </c>
      <c r="N21" s="6" t="s">
        <v>624</v>
      </c>
      <c r="O21" s="6"/>
      <c r="P21" s="162" t="s">
        <v>480</v>
      </c>
      <c r="Q21" s="254">
        <f ca="1">IEAData!$Q$36</f>
        <v>13.634450411137628</v>
      </c>
      <c r="R21" s="254">
        <f ca="1">AuxData!$Q$36</f>
        <v>6.5724224523826429</v>
      </c>
      <c r="S21" s="162">
        <v>11</v>
      </c>
    </row>
    <row r="22" spans="1:19">
      <c r="A22" s="6" t="s">
        <v>417</v>
      </c>
      <c r="B22" s="19" t="s">
        <v>328</v>
      </c>
      <c r="C22" s="321">
        <f ca="1">1-I10</f>
        <v>0.99678349327546378</v>
      </c>
      <c r="D22" s="321">
        <f ca="1">1-Q10</f>
        <v>0.99676152083442715</v>
      </c>
      <c r="E22" s="321">
        <f t="shared" ca="1" si="0"/>
        <v>0.99679518000030243</v>
      </c>
      <c r="F22" s="321">
        <f t="shared" ca="1" si="0"/>
        <v>0.99690487875665867</v>
      </c>
      <c r="G22" s="321">
        <f t="shared" ca="1" si="1"/>
        <v>0.9973596281919489</v>
      </c>
      <c r="H22" s="321">
        <f t="shared" ca="1" si="1"/>
        <v>0.99822574734222058</v>
      </c>
      <c r="J22" s="321">
        <v>1.0035000000000001</v>
      </c>
      <c r="K22" s="6">
        <v>1.008</v>
      </c>
      <c r="N22" s="6" t="s">
        <v>625</v>
      </c>
      <c r="O22" s="6"/>
      <c r="P22" s="162" t="s">
        <v>480</v>
      </c>
      <c r="Q22" s="254">
        <f ca="1">IEAData!$Q$47-Q23-0.05</f>
        <v>109.04079460826749</v>
      </c>
      <c r="R22" s="254">
        <f ca="1">AuxData!$Q$47-R23-0.1</f>
        <v>34.095494463033894</v>
      </c>
      <c r="S22" s="162">
        <v>11</v>
      </c>
    </row>
    <row r="23" spans="1:19">
      <c r="A23" s="6" t="s">
        <v>397</v>
      </c>
      <c r="B23" s="19" t="s">
        <v>328</v>
      </c>
      <c r="C23" s="321">
        <f ca="1">1-I11</f>
        <v>0.99358266332523093</v>
      </c>
      <c r="D23" s="321">
        <f ca="1">1-Q11</f>
        <v>0.99353992068650654</v>
      </c>
      <c r="E23" s="321">
        <f t="shared" ca="1" si="0"/>
        <v>0.99360684882394323</v>
      </c>
      <c r="F23" s="321">
        <f t="shared" ca="1" si="0"/>
        <v>0.99382500586502842</v>
      </c>
      <c r="G23" s="321">
        <f t="shared" ca="1" si="1"/>
        <v>0.99472987219293496</v>
      </c>
      <c r="H23" s="321">
        <f t="shared" ca="1" si="1"/>
        <v>0.99645556254088241</v>
      </c>
      <c r="J23" s="321">
        <v>1.0035000000000001</v>
      </c>
      <c r="K23" s="6">
        <v>1.008</v>
      </c>
      <c r="N23" s="6" t="s">
        <v>621</v>
      </c>
      <c r="O23" s="6"/>
      <c r="P23" s="162" t="s">
        <v>480</v>
      </c>
      <c r="Q23" s="254">
        <f ca="1">IEAData!$Q$43</f>
        <v>67.37857736439986</v>
      </c>
      <c r="R23" s="254">
        <f ca="1">AuxData!$Q$43</f>
        <v>34.783559045056307</v>
      </c>
      <c r="S23" s="162">
        <v>11</v>
      </c>
    </row>
    <row r="24" spans="1:19">
      <c r="A24" s="6" t="s">
        <v>53</v>
      </c>
      <c r="B24" s="19" t="s">
        <v>328</v>
      </c>
      <c r="C24" s="321">
        <f ca="1">IEAData!$F71</f>
        <v>0.90744041842416534</v>
      </c>
      <c r="D24" s="321">
        <f ca="1">AuxData!$F71</f>
        <v>0.87399543308640038</v>
      </c>
      <c r="E24" s="321">
        <f t="shared" si="0"/>
        <v>0.87514523421521928</v>
      </c>
      <c r="F24" s="321">
        <f t="shared" si="0"/>
        <v>0.87891309980804322</v>
      </c>
      <c r="G24" s="321">
        <f t="shared" si="1"/>
        <v>0.89811306942746372</v>
      </c>
      <c r="H24" s="321">
        <f t="shared" si="1"/>
        <v>0.93475098067487827</v>
      </c>
      <c r="J24" s="321">
        <v>1.0035000000000001</v>
      </c>
      <c r="K24" s="321">
        <f>(1/C24)^0.1</f>
        <v>1.0097600586761037</v>
      </c>
    </row>
    <row r="25" spans="1:19">
      <c r="A25" s="6" t="s">
        <v>570</v>
      </c>
      <c r="B25" s="19" t="s">
        <v>328</v>
      </c>
      <c r="C25" s="321">
        <f ca="1">SUM(OtherData!$V$70)/93</f>
        <v>0.59958501867173053</v>
      </c>
      <c r="D25" s="321">
        <f ca="1">MAX(C25,SUM(OtherData!$V$100)/100)</f>
        <v>0.59958501867173053</v>
      </c>
      <c r="E25" s="6"/>
      <c r="F25" s="6"/>
      <c r="G25" s="6"/>
      <c r="H25" s="6"/>
      <c r="J25" s="6"/>
      <c r="K25" s="6"/>
    </row>
    <row r="33" spans="2:20" ht="18">
      <c r="B33" s="60" t="s">
        <v>476</v>
      </c>
      <c r="C33" s="137"/>
      <c r="D33" s="137"/>
      <c r="E33" s="105" t="str">
        <f>"~FI_T: PRC_MARK~"&amp;Region</f>
        <v>~FI_T: PRC_MARK~FIN</v>
      </c>
    </row>
    <row r="34" spans="2:20">
      <c r="B34" s="208" t="s">
        <v>212</v>
      </c>
      <c r="C34" s="208" t="s">
        <v>218</v>
      </c>
      <c r="D34" s="208" t="s">
        <v>312</v>
      </c>
      <c r="E34" s="208" t="s">
        <v>477</v>
      </c>
      <c r="F34" s="208">
        <f ca="1">BaseYear</f>
        <v>2010</v>
      </c>
      <c r="G34" s="208">
        <f ca="1">AuxYear</f>
        <v>2017</v>
      </c>
      <c r="H34" s="208">
        <v>2020</v>
      </c>
      <c r="I34" s="208">
        <v>2030</v>
      </c>
      <c r="J34" s="208">
        <v>2050</v>
      </c>
      <c r="K34" s="208">
        <v>2070</v>
      </c>
      <c r="L34" s="208">
        <v>2100</v>
      </c>
      <c r="M34" s="209" t="s">
        <v>478</v>
      </c>
    </row>
    <row r="35" spans="2:20">
      <c r="B35" s="207" t="s">
        <v>479</v>
      </c>
      <c r="C35" s="207"/>
      <c r="D35" s="207"/>
      <c r="E35" s="207"/>
      <c r="F35" s="325">
        <f t="shared" ref="F35:L35" si="2">RIGHT(F34,4)*1</f>
        <v>2010</v>
      </c>
      <c r="G35" s="325">
        <f t="shared" si="2"/>
        <v>2017</v>
      </c>
      <c r="H35" s="325">
        <f t="shared" si="2"/>
        <v>2020</v>
      </c>
      <c r="I35" s="325">
        <f t="shared" si="2"/>
        <v>2030</v>
      </c>
      <c r="J35" s="325">
        <f t="shared" si="2"/>
        <v>2050</v>
      </c>
      <c r="K35" s="325">
        <f t="shared" si="2"/>
        <v>2070</v>
      </c>
      <c r="L35" s="325">
        <f t="shared" si="2"/>
        <v>2100</v>
      </c>
      <c r="M35" s="207"/>
      <c r="P35" s="246"/>
      <c r="Q35" s="326">
        <v>1</v>
      </c>
      <c r="R35" s="326">
        <v>2</v>
      </c>
      <c r="S35" s="326">
        <v>3</v>
      </c>
      <c r="T35" s="327">
        <v>4</v>
      </c>
    </row>
    <row r="36" spans="2:20">
      <c r="B36" s="6" t="str">
        <f ca="1">ELC_New!$B53</f>
        <v>HETBIOP100</v>
      </c>
      <c r="C36" s="6" t="s">
        <v>409</v>
      </c>
      <c r="D36" s="6" t="str">
        <f ca="1">ELC_New!$B53</f>
        <v>HETBIOP100</v>
      </c>
      <c r="E36" s="6" t="s">
        <v>480</v>
      </c>
      <c r="F36" s="335">
        <f ca="1">IF(OtherData!$P$70,OtherData!$P$69/OtherData!$P$70,0.5)</f>
        <v>0.21709070261598593</v>
      </c>
      <c r="G36" s="335">
        <f ca="1">IF(OtherData!$P$100,OtherData!$P$99/OtherData!$P$100,0.5)</f>
        <v>0.407543328695953</v>
      </c>
      <c r="H36" s="253">
        <f ca="1">1-(1-AVERAGE(F36:G36))^(0.95^(H$34-G$34)^G36)</f>
        <v>0.29648572161727793</v>
      </c>
      <c r="I36" s="253">
        <f t="shared" ref="I36:L39" ca="1" si="3">1-(1-AVERAGE(H36))^((0.96^(I$34-H$34))^H36)</f>
        <v>0.26771040354528308</v>
      </c>
      <c r="J36" s="253">
        <f t="shared" ca="1" si="3"/>
        <v>0.22151545689963748</v>
      </c>
      <c r="K36" s="253">
        <f t="shared" ca="1" si="3"/>
        <v>0.18858710534021605</v>
      </c>
      <c r="L36" s="253">
        <f t="shared" ca="1" si="3"/>
        <v>0.15285357928527432</v>
      </c>
      <c r="M36" s="6"/>
      <c r="P36" s="328">
        <v>2020</v>
      </c>
      <c r="Q36" s="329">
        <v>0.2</v>
      </c>
      <c r="R36" s="326">
        <v>0.15</v>
      </c>
      <c r="S36" s="326">
        <v>0.2</v>
      </c>
      <c r="T36" s="327">
        <v>0.15</v>
      </c>
    </row>
    <row r="37" spans="2:20">
      <c r="B37" s="6" t="str">
        <f ca="1">ELC_New!$B59</f>
        <v>HETBIOP200</v>
      </c>
      <c r="C37" s="6" t="s">
        <v>410</v>
      </c>
      <c r="D37" s="6" t="str">
        <f ca="1">ELC_New!$B59</f>
        <v>HETBIOP200</v>
      </c>
      <c r="E37" s="6" t="s">
        <v>480</v>
      </c>
      <c r="F37" s="335">
        <f ca="1">IF(OtherData!$Q$70,OtherData!$Q$69/OtherData!$Q$70,0.5)</f>
        <v>0.47077990610522585</v>
      </c>
      <c r="G37" s="335">
        <f ca="1">IF(OtherData!$Q$100,OtherData!$Q$99/OtherData!$Q$100,0.5)</f>
        <v>0.48274465667066302</v>
      </c>
      <c r="H37" s="253">
        <f ca="1">1-(1-AVERAGE(F37:G37))^(0.95^(H$34-G$34)^G37)</f>
        <v>0.45192735644589621</v>
      </c>
      <c r="I37" s="253">
        <f t="shared" ca="1" si="3"/>
        <v>0.39349330201839228</v>
      </c>
      <c r="J37" s="253">
        <f t="shared" ca="1" si="3"/>
        <v>0.30416635899385935</v>
      </c>
      <c r="K37" s="253">
        <f t="shared" ca="1" si="3"/>
        <v>0.24640410037481031</v>
      </c>
      <c r="L37" s="253">
        <f t="shared" ca="1" si="3"/>
        <v>0.18877347538029299</v>
      </c>
      <c r="M37" s="6"/>
      <c r="P37" s="328">
        <v>2030</v>
      </c>
      <c r="Q37" s="328">
        <f>Q36*0.8</f>
        <v>0.16000000000000003</v>
      </c>
      <c r="R37" s="330">
        <f>R36*13/15</f>
        <v>0.13</v>
      </c>
      <c r="S37" s="330">
        <f>S36*0.8</f>
        <v>0.16000000000000003</v>
      </c>
      <c r="T37" s="331">
        <f>T36*13/15</f>
        <v>0.13</v>
      </c>
    </row>
    <row r="38" spans="2:20">
      <c r="B38" s="6" t="str">
        <f ca="1">ELC_New!$B65</f>
        <v>HETBIOP300</v>
      </c>
      <c r="C38" s="6" t="s">
        <v>411</v>
      </c>
      <c r="D38" s="6" t="str">
        <f ca="1">ELC_New!$B65</f>
        <v>HETBIOP300</v>
      </c>
      <c r="E38" s="6" t="s">
        <v>480</v>
      </c>
      <c r="F38" s="335">
        <f ca="1">IF(OtherData!$R$70,OtherData!$R$69/OtherData!$R$70,0.5)</f>
        <v>0.18402918830720436</v>
      </c>
      <c r="G38" s="335">
        <f ca="1">IF(OtherData!$R$100,OtherData!$R$99/OtherData!$R$100,0.5)</f>
        <v>0.20446821148807703</v>
      </c>
      <c r="H38" s="253">
        <f ca="1">1-(1-AVERAGE(F38:G38))^(0.95^(H$34-G$34)^G38)</f>
        <v>0.18884038908680167</v>
      </c>
      <c r="I38" s="253">
        <f t="shared" ca="1" si="3"/>
        <v>0.17614666781059396</v>
      </c>
      <c r="J38" s="253">
        <f t="shared" ca="1" si="3"/>
        <v>0.1544839678460318</v>
      </c>
      <c r="K38" s="253">
        <f t="shared" ca="1" si="3"/>
        <v>0.13750280896302802</v>
      </c>
      <c r="L38" s="253">
        <f t="shared" ca="1" si="3"/>
        <v>0.11750161688074534</v>
      </c>
      <c r="M38" s="6"/>
      <c r="P38" s="332">
        <v>2050</v>
      </c>
      <c r="Q38" s="332">
        <f>Q37*0.75</f>
        <v>0.12000000000000002</v>
      </c>
      <c r="R38" s="333">
        <f>R37*11/13</f>
        <v>0.11000000000000001</v>
      </c>
      <c r="S38" s="333">
        <f>S37*0.75</f>
        <v>0.12000000000000002</v>
      </c>
      <c r="T38" s="334">
        <f>T37*11/13</f>
        <v>0.11000000000000001</v>
      </c>
    </row>
    <row r="39" spans="2:20">
      <c r="B39" s="6" t="str">
        <f ca="1">ELC_New!$B71</f>
        <v>HETBIOP400</v>
      </c>
      <c r="C39" s="6" t="s">
        <v>412</v>
      </c>
      <c r="D39" s="6" t="str">
        <f ca="1">ELC_New!$B71</f>
        <v>HETBIOP400</v>
      </c>
      <c r="E39" s="6" t="s">
        <v>480</v>
      </c>
      <c r="F39" s="335">
        <f ca="1">IF(OtherData!$S$70,OtherData!$S$69/OtherData!$S$70,0.5)</f>
        <v>0.55949317802646181</v>
      </c>
      <c r="G39" s="335">
        <f ca="1">IF(OtherData!$S$100,OtherData!$S$99/OtherData!$S$100,0.5)</f>
        <v>0.70534469568258085</v>
      </c>
      <c r="H39" s="253">
        <f ca="1">1-(1-AVERAGE(F39:G39))^(0.95^(H$34-G$34)^G39)</f>
        <v>0.59256441299102713</v>
      </c>
      <c r="I39" s="253">
        <f t="shared" ca="1" si="3"/>
        <v>0.50586828888485291</v>
      </c>
      <c r="J39" s="253">
        <f t="shared" ca="1" si="3"/>
        <v>0.37276610722501402</v>
      </c>
      <c r="K39" s="253">
        <f t="shared" ca="1" si="3"/>
        <v>0.29110461937045506</v>
      </c>
      <c r="L39" s="253">
        <f t="shared" ca="1" si="3"/>
        <v>0.21405956004800941</v>
      </c>
      <c r="M39" s="6"/>
    </row>
    <row r="40" spans="2:20">
      <c r="B40" s="336" t="str">
        <f ca="1">ELC_New!$B60</f>
        <v>\I:</v>
      </c>
      <c r="C40" s="336"/>
      <c r="D40" s="336"/>
      <c r="E40" s="336"/>
      <c r="F40" s="336"/>
      <c r="G40" s="336"/>
      <c r="H40" s="336"/>
      <c r="I40" s="336"/>
      <c r="J40" s="336"/>
      <c r="K40" s="336"/>
      <c r="L40" s="336"/>
      <c r="M40" s="336"/>
    </row>
    <row r="41" spans="2:20">
      <c r="B41" s="6" t="str">
        <f ca="1">ELC_New!$B49</f>
        <v>HETOILP100</v>
      </c>
      <c r="C41" s="6" t="s">
        <v>409</v>
      </c>
      <c r="D41" s="6" t="str">
        <f ca="1">ELC_New!$B49</f>
        <v>HETOILP100</v>
      </c>
      <c r="E41" s="6" t="s">
        <v>480</v>
      </c>
      <c r="F41" s="6"/>
      <c r="G41" s="6"/>
      <c r="H41" s="253">
        <f t="shared" ref="H41:J44" ca="1" si="4">VLOOKUP(H$34,$P$36:$T$38,RIGHT($C41,1)+1)*H36</f>
        <v>5.9297144323455592E-2</v>
      </c>
      <c r="I41" s="253">
        <f t="shared" ca="1" si="4"/>
        <v>4.28336645672453E-2</v>
      </c>
      <c r="J41" s="253">
        <f t="shared" ca="1" si="4"/>
        <v>2.65818548279565E-2</v>
      </c>
      <c r="K41" s="6"/>
      <c r="L41" s="6"/>
      <c r="M41" s="6"/>
    </row>
    <row r="42" spans="2:20">
      <c r="B42" s="6" t="str">
        <f ca="1">ELC_New!$B55</f>
        <v>HETOILP200</v>
      </c>
      <c r="C42" s="6" t="s">
        <v>410</v>
      </c>
      <c r="D42" s="6" t="str">
        <f ca="1">ELC_New!$B55</f>
        <v>HETOILP200</v>
      </c>
      <c r="E42" s="6" t="s">
        <v>480</v>
      </c>
      <c r="F42" s="6"/>
      <c r="G42" s="6"/>
      <c r="H42" s="253">
        <f t="shared" ca="1" si="4"/>
        <v>6.7789103466884423E-2</v>
      </c>
      <c r="I42" s="253">
        <f t="shared" ca="1" si="4"/>
        <v>5.1154129262390997E-2</v>
      </c>
      <c r="J42" s="253">
        <f t="shared" ca="1" si="4"/>
        <v>3.3458299489324536E-2</v>
      </c>
      <c r="K42" s="6"/>
      <c r="L42" s="6"/>
      <c r="M42" s="6"/>
    </row>
    <row r="43" spans="2:20">
      <c r="B43" s="6" t="str">
        <f ca="1">ELC_New!$B61</f>
        <v>HETOILP300</v>
      </c>
      <c r="C43" s="6" t="s">
        <v>411</v>
      </c>
      <c r="D43" s="6" t="str">
        <f ca="1">ELC_New!$B61</f>
        <v>HETOILP300</v>
      </c>
      <c r="E43" s="6" t="s">
        <v>480</v>
      </c>
      <c r="F43" s="6"/>
      <c r="G43" s="6"/>
      <c r="H43" s="253">
        <f t="shared" ca="1" si="4"/>
        <v>3.7768077817360336E-2</v>
      </c>
      <c r="I43" s="253">
        <f t="shared" ca="1" si="4"/>
        <v>2.8183466849695037E-2</v>
      </c>
      <c r="J43" s="253">
        <f t="shared" ca="1" si="4"/>
        <v>1.8538076141523821E-2</v>
      </c>
      <c r="K43" s="6"/>
      <c r="L43" s="6"/>
      <c r="M43" s="6"/>
    </row>
    <row r="44" spans="2:20">
      <c r="B44" s="6" t="str">
        <f ca="1">ELC_New!$B67</f>
        <v>HETOILP400</v>
      </c>
      <c r="C44" s="6" t="s">
        <v>412</v>
      </c>
      <c r="D44" s="6" t="str">
        <f ca="1">ELC_New!$B67</f>
        <v>HETOILP400</v>
      </c>
      <c r="E44" s="6" t="s">
        <v>480</v>
      </c>
      <c r="F44" s="6"/>
      <c r="G44" s="6"/>
      <c r="H44" s="253">
        <f t="shared" ca="1" si="4"/>
        <v>8.8884661948654062E-2</v>
      </c>
      <c r="I44" s="253">
        <f t="shared" ca="1" si="4"/>
        <v>6.576287755503088E-2</v>
      </c>
      <c r="J44" s="253">
        <f t="shared" ca="1" si="4"/>
        <v>4.1004271794751544E-2</v>
      </c>
      <c r="K44" s="6"/>
      <c r="L44" s="6"/>
      <c r="M44" s="6"/>
    </row>
  </sheetData>
  <phoneticPr fontId="27" type="noConversion"/>
  <pageMargins left="0.75" right="0.75" top="1" bottom="1" header="0.5" footer="0.5"/>
  <headerFooter alignWithMargins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Hoja2"/>
  <dimension ref="A1:Z110"/>
  <sheetViews>
    <sheetView topLeftCell="A31" zoomScale="80" zoomScaleNormal="100" workbookViewId="0">
      <selection activeCell="F62" sqref="F62:K68"/>
    </sheetView>
  </sheetViews>
  <sheetFormatPr defaultColWidth="9.140625" defaultRowHeight="12.75"/>
  <cols>
    <col min="1" max="1" width="12.5703125" customWidth="1"/>
    <col min="2" max="2" width="22.42578125" customWidth="1"/>
    <col min="3" max="3" width="9.140625" customWidth="1"/>
    <col min="4" max="4" width="9.7109375" customWidth="1"/>
    <col min="5" max="5" width="9.140625" customWidth="1"/>
    <col min="6" max="6" width="9.85546875" customWidth="1"/>
    <col min="7" max="15" width="9.140625" customWidth="1"/>
    <col min="16" max="16" width="10" customWidth="1"/>
    <col min="17" max="251" width="9.140625" customWidth="1"/>
  </cols>
  <sheetData>
    <row r="1" spans="1:26" ht="15.75">
      <c r="A1" s="121" t="s">
        <v>211</v>
      </c>
      <c r="C1" s="13"/>
      <c r="D1" s="17"/>
      <c r="E1" s="135" t="s">
        <v>307</v>
      </c>
      <c r="F1" s="135" t="str">
        <f ca="1">MID(CELL("filename",E1),FIND("VT_",CELL("filename",E1))+3,3)</f>
        <v>FI_</v>
      </c>
      <c r="G1" s="135" t="s">
        <v>309</v>
      </c>
      <c r="H1" s="136">
        <v>1.0000000000000001E-9</v>
      </c>
      <c r="I1" s="8"/>
      <c r="J1" s="42" t="s">
        <v>268</v>
      </c>
      <c r="K1" s="37" t="s">
        <v>85</v>
      </c>
      <c r="L1" s="17"/>
      <c r="M1" s="38"/>
      <c r="N1" s="40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C2" s="12"/>
      <c r="D2" s="17"/>
      <c r="G2" s="17"/>
      <c r="H2" s="17"/>
      <c r="I2" s="8"/>
      <c r="J2" s="42" t="s">
        <v>118</v>
      </c>
      <c r="K2" s="37" t="s">
        <v>125</v>
      </c>
      <c r="L2" s="17"/>
      <c r="M2" s="40"/>
      <c r="N2" s="40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>
      <c r="C3" s="12"/>
      <c r="D3" s="17"/>
      <c r="G3" s="17"/>
      <c r="H3" s="17"/>
      <c r="I3" s="17"/>
      <c r="J3" s="17"/>
      <c r="K3" s="17"/>
      <c r="L3" s="17"/>
      <c r="M3" s="40"/>
      <c r="N3" s="40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3.5" thickBot="1">
      <c r="A4" s="37" t="s">
        <v>238</v>
      </c>
      <c r="B4" s="43" t="s">
        <v>126</v>
      </c>
      <c r="C4" s="10"/>
      <c r="D4" s="17"/>
      <c r="G4" s="17"/>
      <c r="H4" s="17"/>
      <c r="I4" s="17"/>
      <c r="J4" s="17"/>
      <c r="K4" s="17"/>
      <c r="L4" s="106" t="s">
        <v>111</v>
      </c>
      <c r="M4" s="114"/>
      <c r="N4" s="40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23.25" thickBot="1">
      <c r="A5" s="37" t="s">
        <v>239</v>
      </c>
      <c r="B5" s="88" t="s">
        <v>237</v>
      </c>
      <c r="C5" s="14"/>
      <c r="D5" s="17"/>
      <c r="E5" s="108"/>
      <c r="F5" s="107" t="s">
        <v>150</v>
      </c>
      <c r="G5" s="108"/>
      <c r="H5" s="17"/>
      <c r="I5" s="37" t="s">
        <v>64</v>
      </c>
      <c r="J5" s="44">
        <f ca="1">(C26+C36+C42+C47)/(D26+D36+D42+D47+Tiny)</f>
        <v>0</v>
      </c>
      <c r="K5" s="17"/>
      <c r="L5" s="37" t="s">
        <v>58</v>
      </c>
      <c r="M5" s="70">
        <f>IF(D49,C49/D49,1)</f>
        <v>1</v>
      </c>
      <c r="N5" s="8"/>
      <c r="O5" s="8"/>
      <c r="P5" s="8"/>
      <c r="Q5" s="8"/>
      <c r="R5" s="8"/>
    </row>
    <row r="6" spans="1:26">
      <c r="A6" s="37" t="s">
        <v>240</v>
      </c>
      <c r="B6" s="43">
        <v>2010</v>
      </c>
      <c r="C6" s="10"/>
      <c r="D6" s="17"/>
      <c r="E6" s="7" t="s">
        <v>139</v>
      </c>
      <c r="F6" s="45">
        <v>4.1868000000000002E-2</v>
      </c>
      <c r="G6" s="19" t="s">
        <v>137</v>
      </c>
      <c r="H6" s="17"/>
      <c r="I6" s="37" t="s">
        <v>71</v>
      </c>
      <c r="J6" s="46">
        <f>IF(J5,1/J5,1)</f>
        <v>1</v>
      </c>
      <c r="K6" s="17"/>
      <c r="L6" s="37" t="s">
        <v>112</v>
      </c>
      <c r="M6" s="70">
        <f>IF(D48&gt;0,C48/D48,1)</f>
        <v>1</v>
      </c>
      <c r="N6" s="8"/>
      <c r="O6" s="8"/>
      <c r="P6" s="8"/>
      <c r="Q6" s="8"/>
      <c r="R6" s="8"/>
    </row>
    <row r="7" spans="1:26">
      <c r="A7" s="37" t="s">
        <v>241</v>
      </c>
      <c r="B7" s="43">
        <v>1</v>
      </c>
      <c r="C7" s="38"/>
      <c r="D7" s="17"/>
      <c r="E7" s="7" t="s">
        <v>140</v>
      </c>
      <c r="F7" s="45">
        <f>3.6/1000</f>
        <v>3.5999999999999999E-3</v>
      </c>
      <c r="G7" s="19" t="s">
        <v>137</v>
      </c>
      <c r="H7" s="17"/>
      <c r="I7" s="37" t="s">
        <v>72</v>
      </c>
      <c r="J7" s="44">
        <f>IF(I55=0,1,H55/I55)</f>
        <v>1.08371005710109</v>
      </c>
      <c r="K7" s="17"/>
      <c r="L7" s="37" t="s">
        <v>113</v>
      </c>
      <c r="M7" s="70">
        <v>2.5253149727915649</v>
      </c>
      <c r="N7" s="8"/>
      <c r="O7" s="8"/>
      <c r="P7" s="8"/>
      <c r="Q7" s="8"/>
      <c r="R7" s="8"/>
    </row>
    <row r="8" spans="1:26">
      <c r="A8" s="47" t="s">
        <v>153</v>
      </c>
      <c r="B8" s="43">
        <v>0</v>
      </c>
      <c r="C8" s="38"/>
      <c r="D8" s="17"/>
      <c r="E8" s="7" t="s">
        <v>142</v>
      </c>
      <c r="F8" s="45">
        <f>24*365*F7</f>
        <v>31.535999999999998</v>
      </c>
      <c r="G8" s="19" t="s">
        <v>137</v>
      </c>
      <c r="H8" s="17"/>
      <c r="I8" s="37" t="s">
        <v>73</v>
      </c>
      <c r="J8" s="46">
        <f>1/J7</f>
        <v>0.92275603926292493</v>
      </c>
      <c r="K8" s="17"/>
      <c r="L8" s="37" t="s">
        <v>194</v>
      </c>
      <c r="M8" s="70">
        <v>6.0972348732123196</v>
      </c>
      <c r="N8" s="8"/>
      <c r="O8" s="8"/>
      <c r="P8" s="8"/>
      <c r="Q8" s="8"/>
      <c r="R8" s="8"/>
    </row>
    <row r="9" spans="1:26">
      <c r="A9" s="47" t="s">
        <v>154</v>
      </c>
      <c r="B9" s="43">
        <v>0</v>
      </c>
      <c r="C9" s="38"/>
      <c r="D9" s="17"/>
      <c r="E9" s="7" t="s">
        <v>141</v>
      </c>
      <c r="F9" s="45">
        <f>1/1000</f>
        <v>1E-3</v>
      </c>
      <c r="G9" s="19" t="s">
        <v>137</v>
      </c>
      <c r="H9" s="17"/>
      <c r="I9" s="17"/>
      <c r="J9" s="17"/>
      <c r="K9" s="17"/>
      <c r="L9" s="8"/>
      <c r="M9" s="8"/>
      <c r="N9" s="8"/>
      <c r="O9" s="8"/>
      <c r="P9" s="8"/>
      <c r="Q9" s="8"/>
      <c r="R9" s="8"/>
    </row>
    <row r="10" spans="1:26">
      <c r="A10" s="47" t="s">
        <v>155</v>
      </c>
      <c r="B10" s="43">
        <v>0</v>
      </c>
      <c r="C10" s="8"/>
      <c r="D10" s="8"/>
      <c r="E10" s="22"/>
      <c r="F10" s="22"/>
      <c r="G10" s="22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26">
      <c r="A11" s="8"/>
      <c r="B11" s="8"/>
      <c r="C11" s="8"/>
      <c r="D11" s="8"/>
      <c r="E11" s="22"/>
      <c r="F11" s="22"/>
      <c r="G11" s="22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26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26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26" ht="18">
      <c r="A14" s="32" t="s">
        <v>209</v>
      </c>
      <c r="B14" s="48"/>
      <c r="C14" s="8"/>
      <c r="G14" s="22"/>
      <c r="H14" s="8"/>
      <c r="I14" s="8"/>
      <c r="J14" s="8"/>
      <c r="K14" s="8"/>
      <c r="L14" s="8"/>
      <c r="M14" s="32" t="s">
        <v>74</v>
      </c>
      <c r="N14" s="32"/>
      <c r="O14" s="32"/>
      <c r="P14" s="32"/>
      <c r="Q14" s="48"/>
      <c r="R14" s="49"/>
    </row>
    <row r="15" spans="1:26">
      <c r="A15" s="109"/>
      <c r="B15" s="109"/>
      <c r="C15" s="110" t="s">
        <v>36</v>
      </c>
      <c r="D15" s="111"/>
      <c r="E15" s="110" t="s">
        <v>37</v>
      </c>
      <c r="F15" s="111"/>
      <c r="G15" s="111"/>
      <c r="H15" s="110" t="s">
        <v>38</v>
      </c>
      <c r="I15" s="111"/>
      <c r="J15" s="110" t="s">
        <v>75</v>
      </c>
      <c r="K15" s="111"/>
      <c r="L15" s="8"/>
      <c r="M15" s="110" t="s">
        <v>76</v>
      </c>
      <c r="N15" s="109"/>
      <c r="O15" s="110" t="s">
        <v>77</v>
      </c>
      <c r="P15" s="109"/>
      <c r="Q15" s="110" t="s">
        <v>78</v>
      </c>
      <c r="R15" s="109"/>
    </row>
    <row r="16" spans="1:26">
      <c r="A16" s="41"/>
      <c r="B16" s="19"/>
      <c r="C16" s="7" t="s">
        <v>157</v>
      </c>
      <c r="D16" s="7" t="s">
        <v>163</v>
      </c>
      <c r="E16" s="7" t="s">
        <v>157</v>
      </c>
      <c r="F16" s="7" t="s">
        <v>163</v>
      </c>
      <c r="G16" s="7" t="s">
        <v>162</v>
      </c>
      <c r="H16" s="7" t="s">
        <v>157</v>
      </c>
      <c r="I16" s="7" t="s">
        <v>162</v>
      </c>
      <c r="J16" s="7"/>
      <c r="K16" s="7"/>
      <c r="L16" s="8"/>
      <c r="M16" s="41"/>
      <c r="N16" s="41"/>
      <c r="O16" s="41"/>
      <c r="P16" s="41"/>
      <c r="Q16" s="41"/>
      <c r="R16" s="41"/>
    </row>
    <row r="17" spans="1:26">
      <c r="A17" s="41"/>
      <c r="B17" s="104"/>
      <c r="C17" s="119">
        <f>-$F$6</f>
        <v>-4.1868000000000002E-2</v>
      </c>
      <c r="D17" s="119">
        <f>$F$7</f>
        <v>3.5999999999999999E-3</v>
      </c>
      <c r="E17" s="119">
        <f>-$F$6</f>
        <v>-4.1868000000000002E-2</v>
      </c>
      <c r="F17" s="119">
        <f>$F$7</f>
        <v>3.5999999999999999E-3</v>
      </c>
      <c r="G17" s="119">
        <f>$F$9</f>
        <v>1E-3</v>
      </c>
      <c r="H17" s="119">
        <f>-$F$6</f>
        <v>-4.1868000000000002E-2</v>
      </c>
      <c r="I17" s="119">
        <f>$F$9</f>
        <v>1E-3</v>
      </c>
      <c r="J17" s="119">
        <f>$F$7</f>
        <v>3.5999999999999999E-3</v>
      </c>
      <c r="K17" s="119">
        <f>$F$9</f>
        <v>1E-3</v>
      </c>
      <c r="L17" s="8"/>
      <c r="M17" s="51" t="s">
        <v>79</v>
      </c>
      <c r="N17" s="41"/>
      <c r="O17" s="51" t="s">
        <v>79</v>
      </c>
      <c r="P17" s="41"/>
      <c r="Q17" s="51" t="s">
        <v>79</v>
      </c>
      <c r="R17" s="41"/>
    </row>
    <row r="18" spans="1:26" ht="23.25" thickBot="1">
      <c r="A18" s="112" t="s">
        <v>210</v>
      </c>
      <c r="B18" s="124" t="s">
        <v>242</v>
      </c>
      <c r="C18" s="113" t="s">
        <v>243</v>
      </c>
      <c r="D18" s="113" t="s">
        <v>244</v>
      </c>
      <c r="E18" s="113" t="s">
        <v>245</v>
      </c>
      <c r="F18" s="113" t="s">
        <v>246</v>
      </c>
      <c r="G18" s="113" t="s">
        <v>247</v>
      </c>
      <c r="H18" s="113" t="s">
        <v>248</v>
      </c>
      <c r="I18" s="113" t="s">
        <v>249</v>
      </c>
      <c r="J18" s="113" t="s">
        <v>127</v>
      </c>
      <c r="K18" s="113" t="s">
        <v>250</v>
      </c>
      <c r="L18" s="8"/>
      <c r="M18" s="113" t="s">
        <v>80</v>
      </c>
      <c r="N18" s="113" t="s">
        <v>81</v>
      </c>
      <c r="O18" s="113" t="s">
        <v>80</v>
      </c>
      <c r="P18" s="113" t="s">
        <v>81</v>
      </c>
      <c r="Q18" s="113" t="s">
        <v>80</v>
      </c>
      <c r="R18" s="113" t="s">
        <v>81</v>
      </c>
    </row>
    <row r="19" spans="1:26">
      <c r="A19" s="51" t="s">
        <v>4</v>
      </c>
      <c r="B19" s="50" t="s">
        <v>144</v>
      </c>
      <c r="C19" s="52">
        <v>0</v>
      </c>
      <c r="D19" s="53">
        <v>0</v>
      </c>
      <c r="E19" s="62">
        <v>0</v>
      </c>
      <c r="F19" s="53">
        <v>0</v>
      </c>
      <c r="G19" s="53">
        <v>0</v>
      </c>
      <c r="H19" s="62">
        <v>0</v>
      </c>
      <c r="I19" s="63">
        <v>0</v>
      </c>
      <c r="J19" s="62">
        <v>0</v>
      </c>
      <c r="K19" s="63">
        <v>0</v>
      </c>
      <c r="L19" s="8"/>
      <c r="M19" s="52">
        <f t="shared" ref="M19:M53" si="0">C19+E19-G19</f>
        <v>0</v>
      </c>
      <c r="N19" s="53">
        <f t="shared" ref="N19:N47" si="1">C19+E19-G19</f>
        <v>0</v>
      </c>
      <c r="O19" s="52">
        <f t="shared" ref="O19:O53" si="2">G19+H19</f>
        <v>0</v>
      </c>
      <c r="P19" s="53">
        <f t="shared" ref="P19:P47" si="3">H19+G19</f>
        <v>0</v>
      </c>
      <c r="Q19" s="52">
        <f t="shared" ref="Q19:Q53" si="4">C19+E19+H19</f>
        <v>0</v>
      </c>
      <c r="R19" s="53">
        <f t="shared" ref="R19:R47" si="5">C19+E19+H19</f>
        <v>0</v>
      </c>
    </row>
    <row r="20" spans="1:26">
      <c r="A20" s="51" t="s">
        <v>6</v>
      </c>
      <c r="B20" s="50" t="s">
        <v>173</v>
      </c>
      <c r="C20" s="52">
        <v>0</v>
      </c>
      <c r="D20" s="53">
        <v>0</v>
      </c>
      <c r="E20" s="62">
        <v>0</v>
      </c>
      <c r="F20" s="53">
        <v>0</v>
      </c>
      <c r="G20" s="53">
        <v>0</v>
      </c>
      <c r="H20" s="62">
        <v>0</v>
      </c>
      <c r="I20" s="63">
        <v>0</v>
      </c>
      <c r="J20" s="62">
        <v>0</v>
      </c>
      <c r="K20" s="63">
        <v>0</v>
      </c>
      <c r="L20" s="8"/>
      <c r="M20" s="52">
        <f t="shared" si="0"/>
        <v>0</v>
      </c>
      <c r="N20" s="53">
        <f t="shared" si="1"/>
        <v>0</v>
      </c>
      <c r="O20" s="52">
        <f t="shared" si="2"/>
        <v>0</v>
      </c>
      <c r="P20" s="53">
        <f t="shared" si="3"/>
        <v>0</v>
      </c>
      <c r="Q20" s="52">
        <f t="shared" si="4"/>
        <v>0</v>
      </c>
      <c r="R20" s="53">
        <f t="shared" si="5"/>
        <v>0</v>
      </c>
    </row>
    <row r="21" spans="1:26">
      <c r="A21" s="51" t="s">
        <v>5</v>
      </c>
      <c r="B21" s="50" t="s">
        <v>174</v>
      </c>
      <c r="C21" s="52">
        <v>0</v>
      </c>
      <c r="D21" s="53">
        <v>0</v>
      </c>
      <c r="E21" s="62">
        <v>0</v>
      </c>
      <c r="F21" s="53">
        <v>0</v>
      </c>
      <c r="G21" s="53">
        <v>0</v>
      </c>
      <c r="H21" s="62">
        <v>0</v>
      </c>
      <c r="I21" s="63">
        <v>0</v>
      </c>
      <c r="J21" s="62">
        <v>0</v>
      </c>
      <c r="K21" s="63">
        <v>0</v>
      </c>
      <c r="L21" s="8"/>
      <c r="M21" s="52">
        <f t="shared" si="0"/>
        <v>0</v>
      </c>
      <c r="N21" s="53">
        <f t="shared" si="1"/>
        <v>0</v>
      </c>
      <c r="O21" s="52">
        <f t="shared" si="2"/>
        <v>0</v>
      </c>
      <c r="P21" s="53">
        <f t="shared" si="3"/>
        <v>0</v>
      </c>
      <c r="Q21" s="52">
        <f t="shared" si="4"/>
        <v>0</v>
      </c>
      <c r="R21" s="53">
        <f t="shared" si="5"/>
        <v>0</v>
      </c>
    </row>
    <row r="22" spans="1:26">
      <c r="A22" s="51" t="s">
        <v>7</v>
      </c>
      <c r="B22" s="50" t="s">
        <v>175</v>
      </c>
      <c r="C22" s="52">
        <v>0</v>
      </c>
      <c r="D22" s="53">
        <v>0</v>
      </c>
      <c r="E22" s="62">
        <v>0</v>
      </c>
      <c r="F22" s="53">
        <v>0</v>
      </c>
      <c r="G22" s="53">
        <v>0</v>
      </c>
      <c r="H22" s="62">
        <v>0</v>
      </c>
      <c r="I22" s="63">
        <v>0</v>
      </c>
      <c r="J22" s="62">
        <v>0</v>
      </c>
      <c r="K22" s="63">
        <v>0</v>
      </c>
      <c r="L22" s="8"/>
      <c r="M22" s="52">
        <f t="shared" si="0"/>
        <v>0</v>
      </c>
      <c r="N22" s="53">
        <f t="shared" si="1"/>
        <v>0</v>
      </c>
      <c r="O22" s="52">
        <f t="shared" si="2"/>
        <v>0</v>
      </c>
      <c r="P22" s="53">
        <f t="shared" si="3"/>
        <v>0</v>
      </c>
      <c r="Q22" s="52">
        <f t="shared" si="4"/>
        <v>0</v>
      </c>
      <c r="R22" s="53">
        <f t="shared" si="5"/>
        <v>0</v>
      </c>
    </row>
    <row r="23" spans="1:26">
      <c r="A23" s="51" t="s">
        <v>10</v>
      </c>
      <c r="B23" s="50" t="s">
        <v>176</v>
      </c>
      <c r="C23" s="52">
        <v>0</v>
      </c>
      <c r="D23" s="53">
        <v>0</v>
      </c>
      <c r="E23" s="62">
        <v>50.661490380398163</v>
      </c>
      <c r="F23" s="53">
        <v>23.657435195512694</v>
      </c>
      <c r="G23" s="53">
        <v>22.661700901520302</v>
      </c>
      <c r="H23" s="62">
        <v>4.9300696196018361</v>
      </c>
      <c r="I23" s="63">
        <v>4.3911177582644694</v>
      </c>
      <c r="J23" s="62">
        <v>23.657435195512694</v>
      </c>
      <c r="K23" s="63">
        <v>27.052818659784769</v>
      </c>
      <c r="L23" s="8"/>
      <c r="M23" s="52">
        <f t="shared" si="0"/>
        <v>27.999789478877862</v>
      </c>
      <c r="N23" s="53">
        <f t="shared" si="1"/>
        <v>27.999789478877862</v>
      </c>
      <c r="O23" s="52">
        <f t="shared" si="2"/>
        <v>27.591770521122136</v>
      </c>
      <c r="P23" s="53">
        <f t="shared" si="3"/>
        <v>27.591770521122136</v>
      </c>
      <c r="Q23" s="52">
        <f t="shared" si="4"/>
        <v>55.591560000000001</v>
      </c>
      <c r="R23" s="53">
        <f t="shared" si="5"/>
        <v>55.591560000000001</v>
      </c>
      <c r="S23" s="8"/>
      <c r="T23" s="8"/>
      <c r="U23" s="8"/>
      <c r="V23" s="8"/>
      <c r="W23" s="8"/>
      <c r="X23" s="8"/>
      <c r="Y23" s="8"/>
      <c r="Z23" s="8"/>
    </row>
    <row r="24" spans="1:26">
      <c r="A24" s="51" t="s">
        <v>17</v>
      </c>
      <c r="B24" s="50" t="s">
        <v>177</v>
      </c>
      <c r="C24" s="52">
        <v>0</v>
      </c>
      <c r="D24" s="53">
        <v>0</v>
      </c>
      <c r="E24" s="62">
        <v>0</v>
      </c>
      <c r="F24" s="53">
        <v>0</v>
      </c>
      <c r="G24" s="53">
        <v>0</v>
      </c>
      <c r="H24" s="62">
        <v>0</v>
      </c>
      <c r="I24" s="63">
        <v>0</v>
      </c>
      <c r="J24" s="62">
        <v>0</v>
      </c>
      <c r="K24" s="63">
        <v>0</v>
      </c>
      <c r="L24" s="8"/>
      <c r="M24" s="52">
        <f t="shared" si="0"/>
        <v>0</v>
      </c>
      <c r="N24" s="53">
        <f t="shared" si="1"/>
        <v>0</v>
      </c>
      <c r="O24" s="52">
        <f t="shared" si="2"/>
        <v>0</v>
      </c>
      <c r="P24" s="53">
        <f t="shared" si="3"/>
        <v>0</v>
      </c>
      <c r="Q24" s="52">
        <f t="shared" si="4"/>
        <v>0</v>
      </c>
      <c r="R24" s="53">
        <f t="shared" si="5"/>
        <v>0</v>
      </c>
      <c r="S24" s="8"/>
      <c r="T24" s="8"/>
      <c r="U24" s="8"/>
      <c r="V24" s="8"/>
      <c r="W24" s="8"/>
      <c r="X24" s="8"/>
      <c r="Y24" s="8"/>
      <c r="Z24" s="8"/>
    </row>
    <row r="25" spans="1:26">
      <c r="A25" s="51" t="s">
        <v>235</v>
      </c>
      <c r="B25" s="50" t="s">
        <v>178</v>
      </c>
      <c r="C25" s="52">
        <v>0</v>
      </c>
      <c r="D25" s="53">
        <v>0</v>
      </c>
      <c r="E25" s="62">
        <v>0</v>
      </c>
      <c r="F25" s="53">
        <v>0</v>
      </c>
      <c r="G25" s="53">
        <v>0</v>
      </c>
      <c r="H25" s="62">
        <v>0</v>
      </c>
      <c r="I25" s="63">
        <v>0</v>
      </c>
      <c r="J25" s="62">
        <v>0</v>
      </c>
      <c r="K25" s="63">
        <v>0</v>
      </c>
      <c r="L25" s="8"/>
      <c r="M25" s="52">
        <f t="shared" si="0"/>
        <v>0</v>
      </c>
      <c r="N25" s="53">
        <f t="shared" si="1"/>
        <v>0</v>
      </c>
      <c r="O25" s="52">
        <f t="shared" si="2"/>
        <v>0</v>
      </c>
      <c r="P25" s="53">
        <f t="shared" si="3"/>
        <v>0</v>
      </c>
      <c r="Q25" s="52">
        <f t="shared" si="4"/>
        <v>0</v>
      </c>
      <c r="R25" s="53">
        <f t="shared" si="5"/>
        <v>0</v>
      </c>
      <c r="S25" s="8"/>
      <c r="T25" s="8"/>
      <c r="U25" s="8"/>
      <c r="V25" s="8"/>
      <c r="W25" s="8"/>
      <c r="X25" s="8"/>
      <c r="Y25" s="8"/>
      <c r="Z25" s="8"/>
    </row>
    <row r="26" spans="1:26">
      <c r="A26" s="51" t="s">
        <v>151</v>
      </c>
      <c r="B26" s="54" t="s">
        <v>83</v>
      </c>
      <c r="C26" s="64">
        <f t="shared" ref="C26:K26" si="6">C19+C23</f>
        <v>0</v>
      </c>
      <c r="D26" s="65">
        <f t="shared" si="6"/>
        <v>0</v>
      </c>
      <c r="E26" s="66">
        <f t="shared" si="6"/>
        <v>50.661490380398163</v>
      </c>
      <c r="F26" s="65">
        <f t="shared" si="6"/>
        <v>23.657435195512694</v>
      </c>
      <c r="G26" s="65">
        <f t="shared" si="6"/>
        <v>22.661700901520302</v>
      </c>
      <c r="H26" s="66">
        <f t="shared" si="6"/>
        <v>4.9300696196018361</v>
      </c>
      <c r="I26" s="67">
        <f t="shared" si="6"/>
        <v>4.3911177582644694</v>
      </c>
      <c r="J26" s="66">
        <f t="shared" si="6"/>
        <v>23.657435195512694</v>
      </c>
      <c r="K26" s="67">
        <f t="shared" si="6"/>
        <v>27.052818659784769</v>
      </c>
      <c r="L26" s="8"/>
      <c r="M26" s="55">
        <f t="shared" si="0"/>
        <v>27.999789478877862</v>
      </c>
      <c r="N26" s="56">
        <f t="shared" si="1"/>
        <v>27.999789478877862</v>
      </c>
      <c r="O26" s="55">
        <f t="shared" si="2"/>
        <v>27.591770521122136</v>
      </c>
      <c r="P26" s="56">
        <f t="shared" si="3"/>
        <v>27.591770521122136</v>
      </c>
      <c r="Q26" s="55">
        <f t="shared" si="4"/>
        <v>55.591560000000001</v>
      </c>
      <c r="R26" s="56">
        <f t="shared" si="5"/>
        <v>55.591560000000001</v>
      </c>
      <c r="S26" s="8"/>
      <c r="T26" s="8"/>
      <c r="U26" s="8"/>
      <c r="V26" s="8"/>
      <c r="W26" s="8"/>
      <c r="X26" s="8"/>
      <c r="Y26" s="8"/>
      <c r="Z26" s="8"/>
    </row>
    <row r="27" spans="1:26">
      <c r="A27" s="51" t="s">
        <v>13</v>
      </c>
      <c r="B27" s="50" t="s">
        <v>179</v>
      </c>
      <c r="C27" s="52">
        <v>0</v>
      </c>
      <c r="D27" s="53">
        <v>0</v>
      </c>
      <c r="E27" s="62">
        <v>0</v>
      </c>
      <c r="F27" s="53">
        <v>0</v>
      </c>
      <c r="G27" s="53">
        <v>0</v>
      </c>
      <c r="H27" s="62">
        <v>0</v>
      </c>
      <c r="I27" s="63">
        <v>0</v>
      </c>
      <c r="J27" s="62">
        <v>0</v>
      </c>
      <c r="K27" s="63">
        <v>0</v>
      </c>
      <c r="L27" s="8"/>
      <c r="M27" s="52">
        <f t="shared" si="0"/>
        <v>0</v>
      </c>
      <c r="N27" s="53">
        <f t="shared" si="1"/>
        <v>0</v>
      </c>
      <c r="O27" s="52">
        <f t="shared" si="2"/>
        <v>0</v>
      </c>
      <c r="P27" s="53">
        <f t="shared" si="3"/>
        <v>0</v>
      </c>
      <c r="Q27" s="52">
        <f t="shared" si="4"/>
        <v>0</v>
      </c>
      <c r="R27" s="53">
        <f t="shared" si="5"/>
        <v>0</v>
      </c>
      <c r="S27" s="8"/>
      <c r="T27" s="8"/>
      <c r="U27" s="8"/>
      <c r="V27" s="8"/>
      <c r="W27" s="8"/>
      <c r="X27" s="8"/>
      <c r="Y27" s="8"/>
      <c r="Z27" s="8"/>
    </row>
    <row r="28" spans="1:26">
      <c r="A28" s="51" t="s">
        <v>25</v>
      </c>
      <c r="B28" s="50" t="s">
        <v>180</v>
      </c>
      <c r="C28" s="52">
        <v>0</v>
      </c>
      <c r="D28" s="53">
        <v>0</v>
      </c>
      <c r="E28" s="62">
        <v>0</v>
      </c>
      <c r="F28" s="53">
        <v>0</v>
      </c>
      <c r="G28" s="53">
        <v>0</v>
      </c>
      <c r="H28" s="62">
        <v>0</v>
      </c>
      <c r="I28" s="63">
        <v>0</v>
      </c>
      <c r="J28" s="62">
        <v>0</v>
      </c>
      <c r="K28" s="63">
        <v>0</v>
      </c>
      <c r="L28" s="8"/>
      <c r="M28" s="52">
        <f t="shared" si="0"/>
        <v>0</v>
      </c>
      <c r="N28" s="53">
        <f t="shared" si="1"/>
        <v>0</v>
      </c>
      <c r="O28" s="52">
        <f t="shared" si="2"/>
        <v>0</v>
      </c>
      <c r="P28" s="53">
        <f t="shared" si="3"/>
        <v>0</v>
      </c>
      <c r="Q28" s="52">
        <f t="shared" si="4"/>
        <v>0</v>
      </c>
      <c r="R28" s="53">
        <f t="shared" si="5"/>
        <v>0</v>
      </c>
      <c r="S28" s="8"/>
      <c r="T28" s="8"/>
      <c r="U28" s="8"/>
      <c r="V28" s="8"/>
      <c r="W28" s="8"/>
      <c r="X28" s="8"/>
      <c r="Y28" s="8"/>
      <c r="Z28" s="8"/>
    </row>
    <row r="29" spans="1:26">
      <c r="A29" s="51" t="s">
        <v>20</v>
      </c>
      <c r="B29" s="50" t="s">
        <v>181</v>
      </c>
      <c r="C29" s="52">
        <v>0</v>
      </c>
      <c r="D29" s="53">
        <v>0</v>
      </c>
      <c r="E29" s="62">
        <v>0</v>
      </c>
      <c r="F29" s="53">
        <v>0</v>
      </c>
      <c r="G29" s="53">
        <v>0</v>
      </c>
      <c r="H29" s="62">
        <v>0</v>
      </c>
      <c r="I29" s="63">
        <v>0</v>
      </c>
      <c r="J29" s="62">
        <v>0</v>
      </c>
      <c r="K29" s="63">
        <v>0</v>
      </c>
      <c r="L29" s="8"/>
      <c r="M29" s="52">
        <f t="shared" si="0"/>
        <v>0</v>
      </c>
      <c r="N29" s="53">
        <f t="shared" si="1"/>
        <v>0</v>
      </c>
      <c r="O29" s="52">
        <f t="shared" si="2"/>
        <v>0</v>
      </c>
      <c r="P29" s="53">
        <f t="shared" si="3"/>
        <v>0</v>
      </c>
      <c r="Q29" s="52">
        <f t="shared" si="4"/>
        <v>0</v>
      </c>
      <c r="R29" s="53">
        <f t="shared" si="5"/>
        <v>0</v>
      </c>
      <c r="S29" s="8"/>
      <c r="T29" s="8"/>
      <c r="U29" s="8"/>
      <c r="V29" s="8"/>
      <c r="W29" s="8"/>
      <c r="X29" s="8"/>
      <c r="Y29" s="8"/>
      <c r="Z29" s="8"/>
    </row>
    <row r="30" spans="1:26">
      <c r="A30" s="51" t="s">
        <v>27</v>
      </c>
      <c r="B30" s="50" t="s">
        <v>182</v>
      </c>
      <c r="C30" s="52">
        <v>0</v>
      </c>
      <c r="D30" s="53">
        <v>0</v>
      </c>
      <c r="E30" s="62">
        <v>0</v>
      </c>
      <c r="F30" s="53">
        <v>0</v>
      </c>
      <c r="G30" s="53">
        <v>0</v>
      </c>
      <c r="H30" s="62">
        <v>0</v>
      </c>
      <c r="I30" s="63">
        <v>0</v>
      </c>
      <c r="J30" s="62">
        <v>0</v>
      </c>
      <c r="K30" s="63">
        <v>0</v>
      </c>
      <c r="L30" s="8"/>
      <c r="M30" s="52">
        <f t="shared" si="0"/>
        <v>0</v>
      </c>
      <c r="N30" s="53">
        <f t="shared" si="1"/>
        <v>0</v>
      </c>
      <c r="O30" s="52">
        <f t="shared" si="2"/>
        <v>0</v>
      </c>
      <c r="P30" s="53">
        <f t="shared" si="3"/>
        <v>0</v>
      </c>
      <c r="Q30" s="52">
        <f t="shared" si="4"/>
        <v>0</v>
      </c>
      <c r="R30" s="53">
        <f t="shared" si="5"/>
        <v>0</v>
      </c>
      <c r="S30" s="8"/>
      <c r="T30" s="8"/>
      <c r="U30" s="8"/>
      <c r="V30" s="8"/>
      <c r="W30" s="8"/>
      <c r="X30" s="8"/>
      <c r="Y30" s="8"/>
      <c r="Z30" s="8"/>
    </row>
    <row r="31" spans="1:26">
      <c r="A31" s="51" t="s">
        <v>14</v>
      </c>
      <c r="B31" s="50" t="s">
        <v>183</v>
      </c>
      <c r="C31" s="52">
        <v>0</v>
      </c>
      <c r="D31" s="53">
        <v>0</v>
      </c>
      <c r="E31" s="62">
        <v>0</v>
      </c>
      <c r="F31" s="53">
        <v>0</v>
      </c>
      <c r="G31" s="53">
        <v>0</v>
      </c>
      <c r="H31" s="62">
        <v>0</v>
      </c>
      <c r="I31" s="63">
        <v>0</v>
      </c>
      <c r="J31" s="62">
        <v>0</v>
      </c>
      <c r="K31" s="63">
        <v>0</v>
      </c>
      <c r="L31" s="8"/>
      <c r="M31" s="52">
        <f t="shared" si="0"/>
        <v>0</v>
      </c>
      <c r="N31" s="53">
        <f t="shared" si="1"/>
        <v>0</v>
      </c>
      <c r="O31" s="52">
        <f t="shared" si="2"/>
        <v>0</v>
      </c>
      <c r="P31" s="53">
        <f t="shared" si="3"/>
        <v>0</v>
      </c>
      <c r="Q31" s="52">
        <f t="shared" si="4"/>
        <v>0</v>
      </c>
      <c r="R31" s="53">
        <f t="shared" si="5"/>
        <v>0</v>
      </c>
      <c r="S31" s="8"/>
      <c r="T31" s="8"/>
      <c r="U31" s="8"/>
      <c r="V31" s="8"/>
      <c r="W31" s="8"/>
      <c r="X31" s="8"/>
      <c r="Y31" s="8"/>
      <c r="Z31" s="8"/>
    </row>
    <row r="32" spans="1:26">
      <c r="A32" s="51" t="s">
        <v>16</v>
      </c>
      <c r="B32" s="50" t="s">
        <v>184</v>
      </c>
      <c r="C32" s="52">
        <v>0</v>
      </c>
      <c r="D32" s="53">
        <v>0</v>
      </c>
      <c r="E32" s="62">
        <v>0</v>
      </c>
      <c r="F32" s="53">
        <v>0</v>
      </c>
      <c r="G32" s="53">
        <v>0</v>
      </c>
      <c r="H32" s="62">
        <v>0</v>
      </c>
      <c r="I32" s="63">
        <v>0</v>
      </c>
      <c r="J32" s="62">
        <v>0</v>
      </c>
      <c r="K32" s="63">
        <v>0</v>
      </c>
      <c r="L32" s="8"/>
      <c r="M32" s="52">
        <f t="shared" si="0"/>
        <v>0</v>
      </c>
      <c r="N32" s="53">
        <f t="shared" si="1"/>
        <v>0</v>
      </c>
      <c r="O32" s="52">
        <f t="shared" si="2"/>
        <v>0</v>
      </c>
      <c r="P32" s="53">
        <f t="shared" si="3"/>
        <v>0</v>
      </c>
      <c r="Q32" s="52">
        <f t="shared" si="4"/>
        <v>0</v>
      </c>
      <c r="R32" s="53">
        <f t="shared" si="5"/>
        <v>0</v>
      </c>
      <c r="S32" s="8"/>
      <c r="T32" s="8"/>
      <c r="U32" s="8"/>
      <c r="V32" s="8"/>
      <c r="W32" s="8"/>
      <c r="X32" s="8"/>
      <c r="Y32" s="8"/>
      <c r="Z32" s="8"/>
    </row>
    <row r="33" spans="1:26">
      <c r="A33" s="51" t="s">
        <v>34</v>
      </c>
      <c r="B33" s="50" t="s">
        <v>185</v>
      </c>
      <c r="C33" s="52">
        <v>0</v>
      </c>
      <c r="D33" s="53">
        <v>0</v>
      </c>
      <c r="E33" s="62">
        <v>0</v>
      </c>
      <c r="F33" s="53">
        <v>0</v>
      </c>
      <c r="G33" s="53">
        <v>0</v>
      </c>
      <c r="H33" s="62">
        <v>0</v>
      </c>
      <c r="I33" s="63">
        <v>0</v>
      </c>
      <c r="J33" s="62">
        <v>0</v>
      </c>
      <c r="K33" s="63">
        <v>0</v>
      </c>
      <c r="L33" s="8"/>
      <c r="M33" s="52">
        <f t="shared" si="0"/>
        <v>0</v>
      </c>
      <c r="N33" s="53">
        <f t="shared" si="1"/>
        <v>0</v>
      </c>
      <c r="O33" s="52">
        <f t="shared" si="2"/>
        <v>0</v>
      </c>
      <c r="P33" s="53">
        <f t="shared" si="3"/>
        <v>0</v>
      </c>
      <c r="Q33" s="52">
        <f t="shared" si="4"/>
        <v>0</v>
      </c>
      <c r="R33" s="53">
        <f t="shared" si="5"/>
        <v>0</v>
      </c>
      <c r="S33" s="8"/>
      <c r="T33" s="8"/>
      <c r="U33" s="8"/>
      <c r="V33" s="8"/>
      <c r="W33" s="8"/>
      <c r="X33" s="8"/>
      <c r="Y33" s="8"/>
      <c r="Z33" s="8"/>
    </row>
    <row r="34" spans="1:26">
      <c r="A34" s="51" t="s">
        <v>24</v>
      </c>
      <c r="B34" s="50" t="s">
        <v>186</v>
      </c>
      <c r="C34" s="52">
        <v>0</v>
      </c>
      <c r="D34" s="53">
        <v>0</v>
      </c>
      <c r="E34" s="62">
        <v>0</v>
      </c>
      <c r="F34" s="53">
        <v>0</v>
      </c>
      <c r="G34" s="53">
        <v>0</v>
      </c>
      <c r="H34" s="62">
        <v>0</v>
      </c>
      <c r="I34" s="63">
        <v>0</v>
      </c>
      <c r="J34" s="62">
        <v>0</v>
      </c>
      <c r="K34" s="63">
        <v>0</v>
      </c>
      <c r="L34" s="8"/>
      <c r="M34" s="52">
        <f t="shared" si="0"/>
        <v>0</v>
      </c>
      <c r="N34" s="53">
        <f t="shared" si="1"/>
        <v>0</v>
      </c>
      <c r="O34" s="52">
        <f t="shared" si="2"/>
        <v>0</v>
      </c>
      <c r="P34" s="53">
        <f t="shared" si="3"/>
        <v>0</v>
      </c>
      <c r="Q34" s="52">
        <f t="shared" si="4"/>
        <v>0</v>
      </c>
      <c r="R34" s="53">
        <f t="shared" si="5"/>
        <v>0</v>
      </c>
      <c r="S34" s="8"/>
      <c r="T34" s="8"/>
      <c r="U34" s="8"/>
      <c r="V34" s="8"/>
      <c r="W34" s="8"/>
      <c r="X34" s="8"/>
      <c r="Y34" s="8"/>
      <c r="Z34" s="8"/>
    </row>
    <row r="35" spans="1:26">
      <c r="A35" s="51" t="s">
        <v>26</v>
      </c>
      <c r="B35" s="50" t="s">
        <v>187</v>
      </c>
      <c r="C35" s="52">
        <v>0</v>
      </c>
      <c r="D35" s="53">
        <v>0</v>
      </c>
      <c r="E35" s="62">
        <v>1.5716032743557009</v>
      </c>
      <c r="F35" s="53">
        <v>0.51839999999999997</v>
      </c>
      <c r="G35" s="53">
        <v>0.8450104013253259</v>
      </c>
      <c r="H35" s="62">
        <v>0.3849967256442991</v>
      </c>
      <c r="I35" s="63">
        <v>0.34290914516271875</v>
      </c>
      <c r="J35" s="62">
        <v>0.51839999999999997</v>
      </c>
      <c r="K35" s="63">
        <v>1.1879195464880445</v>
      </c>
      <c r="L35" s="8"/>
      <c r="M35" s="52">
        <f t="shared" si="0"/>
        <v>0.72659287303037501</v>
      </c>
      <c r="N35" s="53">
        <f t="shared" si="1"/>
        <v>0.72659287303037501</v>
      </c>
      <c r="O35" s="52">
        <f t="shared" si="2"/>
        <v>1.2300071269696251</v>
      </c>
      <c r="P35" s="53">
        <f t="shared" si="3"/>
        <v>1.2300071269696251</v>
      </c>
      <c r="Q35" s="52">
        <f t="shared" si="4"/>
        <v>1.9565999999999999</v>
      </c>
      <c r="R35" s="53">
        <f t="shared" si="5"/>
        <v>1.9565999999999999</v>
      </c>
      <c r="S35" s="8"/>
      <c r="T35" s="8"/>
      <c r="U35" s="8"/>
      <c r="V35" s="8"/>
      <c r="W35" s="8"/>
      <c r="X35" s="8"/>
      <c r="Y35" s="8"/>
      <c r="Z35" s="8"/>
    </row>
    <row r="36" spans="1:26">
      <c r="A36" s="51" t="s">
        <v>56</v>
      </c>
      <c r="B36" s="54" t="s">
        <v>236</v>
      </c>
      <c r="C36" s="64">
        <f t="shared" ref="C36:K36" si="7">SUM(C27:C35)+C46+C25+C24</f>
        <v>0</v>
      </c>
      <c r="D36" s="65">
        <f t="shared" si="7"/>
        <v>0</v>
      </c>
      <c r="E36" s="66">
        <f t="shared" si="7"/>
        <v>1.5716032743557009</v>
      </c>
      <c r="F36" s="65">
        <f t="shared" si="7"/>
        <v>0.51839999999999997</v>
      </c>
      <c r="G36" s="65">
        <f t="shared" si="7"/>
        <v>0.8450104013253259</v>
      </c>
      <c r="H36" s="66">
        <f t="shared" si="7"/>
        <v>0.3849967256442991</v>
      </c>
      <c r="I36" s="67">
        <f t="shared" si="7"/>
        <v>0.34290914516271875</v>
      </c>
      <c r="J36" s="66">
        <f t="shared" si="7"/>
        <v>0.51839999999999997</v>
      </c>
      <c r="K36" s="67">
        <f t="shared" si="7"/>
        <v>1.1879195464880445</v>
      </c>
      <c r="L36" s="8"/>
      <c r="M36" s="55">
        <f t="shared" si="0"/>
        <v>0.72659287303037501</v>
      </c>
      <c r="N36" s="56">
        <f t="shared" si="1"/>
        <v>0.72659287303037501</v>
      </c>
      <c r="O36" s="55">
        <f t="shared" si="2"/>
        <v>1.2300071269696251</v>
      </c>
      <c r="P36" s="56">
        <f t="shared" si="3"/>
        <v>1.2300071269696251</v>
      </c>
      <c r="Q36" s="55">
        <f t="shared" si="4"/>
        <v>1.9565999999999999</v>
      </c>
      <c r="R36" s="56">
        <f t="shared" si="5"/>
        <v>1.9565999999999999</v>
      </c>
      <c r="S36" s="8"/>
      <c r="T36" s="8"/>
      <c r="U36" s="8"/>
      <c r="V36" s="8"/>
      <c r="W36" s="8"/>
      <c r="X36" s="8"/>
      <c r="Y36" s="8"/>
      <c r="Z36" s="8"/>
    </row>
    <row r="37" spans="1:26">
      <c r="A37" s="51" t="s">
        <v>481</v>
      </c>
      <c r="B37" s="50" t="s">
        <v>251</v>
      </c>
      <c r="C37" s="52">
        <v>0</v>
      </c>
      <c r="D37" s="53">
        <v>0</v>
      </c>
      <c r="E37" s="62">
        <v>0</v>
      </c>
      <c r="F37" s="53">
        <v>0</v>
      </c>
      <c r="G37" s="53">
        <v>0</v>
      </c>
      <c r="H37" s="62">
        <v>0</v>
      </c>
      <c r="I37" s="63">
        <v>0</v>
      </c>
      <c r="J37" s="62">
        <v>0</v>
      </c>
      <c r="K37" s="63">
        <v>0</v>
      </c>
      <c r="L37" s="8"/>
      <c r="M37" s="52">
        <f t="shared" si="0"/>
        <v>0</v>
      </c>
      <c r="N37" s="53">
        <f t="shared" si="1"/>
        <v>0</v>
      </c>
      <c r="O37" s="52">
        <f t="shared" si="2"/>
        <v>0</v>
      </c>
      <c r="P37" s="53">
        <f t="shared" si="3"/>
        <v>0</v>
      </c>
      <c r="Q37" s="52">
        <f t="shared" si="4"/>
        <v>0</v>
      </c>
      <c r="R37" s="53">
        <f t="shared" si="5"/>
        <v>0</v>
      </c>
      <c r="S37" s="8"/>
      <c r="T37" s="8"/>
      <c r="U37" s="8"/>
      <c r="V37" s="8"/>
      <c r="W37" s="8"/>
      <c r="X37" s="8"/>
      <c r="Y37" s="8"/>
      <c r="Z37" s="8"/>
    </row>
    <row r="38" spans="1:26">
      <c r="A38" s="51" t="s">
        <v>120</v>
      </c>
      <c r="B38" s="50" t="s">
        <v>188</v>
      </c>
      <c r="C38" s="52">
        <v>0</v>
      </c>
      <c r="D38" s="53">
        <v>0</v>
      </c>
      <c r="E38" s="62">
        <v>0</v>
      </c>
      <c r="F38" s="53">
        <v>0</v>
      </c>
      <c r="G38" s="53">
        <v>0</v>
      </c>
      <c r="H38" s="62">
        <v>0</v>
      </c>
      <c r="I38" s="63">
        <v>0</v>
      </c>
      <c r="J38" s="62">
        <v>0</v>
      </c>
      <c r="K38" s="63">
        <v>0</v>
      </c>
      <c r="L38" s="8"/>
      <c r="M38" s="52">
        <f t="shared" si="0"/>
        <v>0</v>
      </c>
      <c r="N38" s="53">
        <f t="shared" si="1"/>
        <v>0</v>
      </c>
      <c r="O38" s="52">
        <f t="shared" si="2"/>
        <v>0</v>
      </c>
      <c r="P38" s="53">
        <f t="shared" si="3"/>
        <v>0</v>
      </c>
      <c r="Q38" s="52">
        <f t="shared" si="4"/>
        <v>0</v>
      </c>
      <c r="R38" s="53">
        <f t="shared" si="5"/>
        <v>0</v>
      </c>
      <c r="S38" s="8"/>
      <c r="T38" s="8"/>
      <c r="U38" s="8"/>
      <c r="V38" s="8"/>
      <c r="W38" s="8"/>
      <c r="X38" s="8"/>
      <c r="Y38" s="8"/>
      <c r="Z38" s="8"/>
    </row>
    <row r="39" spans="1:26">
      <c r="A39" s="51" t="s">
        <v>121</v>
      </c>
      <c r="B39" s="51" t="s">
        <v>128</v>
      </c>
      <c r="C39" s="52">
        <v>0</v>
      </c>
      <c r="D39" s="53">
        <v>0</v>
      </c>
      <c r="E39" s="62">
        <v>1.1000000000000001E-2</v>
      </c>
      <c r="F39" s="53">
        <v>4.1292911411467932E-3</v>
      </c>
      <c r="G39" s="53">
        <v>6.0053004126363104E-3</v>
      </c>
      <c r="H39" s="62">
        <v>0</v>
      </c>
      <c r="I39" s="63">
        <v>0</v>
      </c>
      <c r="J39" s="62">
        <v>4.1292911411467932E-3</v>
      </c>
      <c r="K39" s="63">
        <v>6.0053004126363104E-3</v>
      </c>
      <c r="L39" s="8"/>
      <c r="M39" s="52">
        <f t="shared" si="0"/>
        <v>4.9946995873636907E-3</v>
      </c>
      <c r="N39" s="53">
        <f t="shared" si="1"/>
        <v>4.9946995873636907E-3</v>
      </c>
      <c r="O39" s="52">
        <f t="shared" si="2"/>
        <v>6.0053004126363104E-3</v>
      </c>
      <c r="P39" s="53">
        <f t="shared" si="3"/>
        <v>6.0053004126363104E-3</v>
      </c>
      <c r="Q39" s="52">
        <f t="shared" si="4"/>
        <v>1.1000000000000001E-2</v>
      </c>
      <c r="R39" s="53">
        <f t="shared" si="5"/>
        <v>1.1000000000000001E-2</v>
      </c>
      <c r="S39" s="8"/>
      <c r="T39" s="8"/>
      <c r="U39" s="8"/>
      <c r="V39" s="8"/>
      <c r="W39" s="8"/>
      <c r="X39" s="8"/>
      <c r="Y39" s="8"/>
      <c r="Z39" s="8"/>
    </row>
    <row r="40" spans="1:26">
      <c r="A40" s="51" t="s">
        <v>119</v>
      </c>
      <c r="B40" s="50" t="s">
        <v>189</v>
      </c>
      <c r="C40" s="52">
        <v>0</v>
      </c>
      <c r="D40" s="53">
        <v>0</v>
      </c>
      <c r="E40" s="62">
        <v>0.25861322447950902</v>
      </c>
      <c r="F40" s="53">
        <v>6.6610311090048113E-2</v>
      </c>
      <c r="G40" s="53">
        <v>0.15278572112972116</v>
      </c>
      <c r="H40" s="62">
        <v>0.48298677552049102</v>
      </c>
      <c r="I40" s="63">
        <v>0.41106756761128849</v>
      </c>
      <c r="J40" s="62">
        <v>6.6610311090048113E-2</v>
      </c>
      <c r="K40" s="63">
        <v>0.56385328874100971</v>
      </c>
      <c r="L40" s="8"/>
      <c r="M40" s="52">
        <f t="shared" si="0"/>
        <v>0.10582750334978785</v>
      </c>
      <c r="N40" s="53">
        <f t="shared" si="1"/>
        <v>0.10582750334978785</v>
      </c>
      <c r="O40" s="52">
        <f t="shared" si="2"/>
        <v>0.63577249665021218</v>
      </c>
      <c r="P40" s="53">
        <f t="shared" si="3"/>
        <v>0.63577249665021218</v>
      </c>
      <c r="Q40" s="52">
        <f t="shared" si="4"/>
        <v>0.74160000000000004</v>
      </c>
      <c r="R40" s="53">
        <f t="shared" si="5"/>
        <v>0.74160000000000004</v>
      </c>
      <c r="S40" s="8"/>
      <c r="T40" s="8"/>
      <c r="U40" s="8"/>
      <c r="V40" s="8"/>
      <c r="W40" s="8"/>
      <c r="X40" s="8"/>
      <c r="Y40" s="8"/>
      <c r="Z40" s="8"/>
    </row>
    <row r="41" spans="1:26">
      <c r="A41" s="51" t="s">
        <v>9</v>
      </c>
      <c r="B41" s="50" t="s">
        <v>190</v>
      </c>
      <c r="C41" s="52">
        <v>0</v>
      </c>
      <c r="D41" s="53">
        <v>0</v>
      </c>
      <c r="E41" s="62">
        <v>0</v>
      </c>
      <c r="F41" s="53">
        <v>0</v>
      </c>
      <c r="G41" s="53">
        <v>0</v>
      </c>
      <c r="H41" s="62">
        <v>0</v>
      </c>
      <c r="I41" s="63">
        <v>0</v>
      </c>
      <c r="J41" s="62">
        <v>0</v>
      </c>
      <c r="K41" s="63">
        <v>0</v>
      </c>
      <c r="L41" s="8"/>
      <c r="M41" s="52">
        <f t="shared" si="0"/>
        <v>0</v>
      </c>
      <c r="N41" s="53">
        <f t="shared" si="1"/>
        <v>0</v>
      </c>
      <c r="O41" s="52">
        <f t="shared" si="2"/>
        <v>0</v>
      </c>
      <c r="P41" s="53">
        <f t="shared" si="3"/>
        <v>0</v>
      </c>
      <c r="Q41" s="52">
        <f t="shared" si="4"/>
        <v>0</v>
      </c>
      <c r="R41" s="53">
        <f t="shared" si="5"/>
        <v>0</v>
      </c>
      <c r="S41" s="8"/>
      <c r="T41" s="8"/>
      <c r="U41" s="8"/>
      <c r="V41" s="8"/>
      <c r="W41" s="8"/>
      <c r="X41" s="8"/>
      <c r="Y41" s="8"/>
      <c r="Z41" s="8"/>
    </row>
    <row r="42" spans="1:26">
      <c r="A42" s="51" t="s">
        <v>152</v>
      </c>
      <c r="B42" s="54" t="s">
        <v>59</v>
      </c>
      <c r="C42" s="64">
        <f t="shared" ref="C42:K42" si="8">SUM(C37:C41)</f>
        <v>0</v>
      </c>
      <c r="D42" s="65">
        <f t="shared" si="8"/>
        <v>0</v>
      </c>
      <c r="E42" s="66">
        <f t="shared" si="8"/>
        <v>0.26961322447950903</v>
      </c>
      <c r="F42" s="65">
        <f t="shared" si="8"/>
        <v>7.0739602231194909E-2</v>
      </c>
      <c r="G42" s="65">
        <f t="shared" si="8"/>
        <v>0.15879102154235747</v>
      </c>
      <c r="H42" s="66">
        <f t="shared" si="8"/>
        <v>0.48298677552049102</v>
      </c>
      <c r="I42" s="67">
        <f t="shared" si="8"/>
        <v>0.41106756761128849</v>
      </c>
      <c r="J42" s="66">
        <f t="shared" si="8"/>
        <v>7.0739602231194909E-2</v>
      </c>
      <c r="K42" s="67">
        <f t="shared" si="8"/>
        <v>0.56985858915364607</v>
      </c>
      <c r="L42" s="8"/>
      <c r="M42" s="55">
        <f t="shared" si="0"/>
        <v>0.11082220293715156</v>
      </c>
      <c r="N42" s="56">
        <f t="shared" si="1"/>
        <v>0.11082220293715156</v>
      </c>
      <c r="O42" s="55">
        <f t="shared" si="2"/>
        <v>0.64177779706284843</v>
      </c>
      <c r="P42" s="56">
        <f t="shared" si="3"/>
        <v>0.64177779706284843</v>
      </c>
      <c r="Q42" s="55">
        <f t="shared" si="4"/>
        <v>0.75260000000000005</v>
      </c>
      <c r="R42" s="56">
        <f t="shared" si="5"/>
        <v>0.75260000000000005</v>
      </c>
      <c r="S42" s="8"/>
      <c r="T42" s="8"/>
      <c r="U42" s="8"/>
      <c r="V42" s="8"/>
      <c r="W42" s="8"/>
      <c r="X42" s="8"/>
      <c r="Y42" s="8"/>
      <c r="Z42" s="8"/>
    </row>
    <row r="43" spans="1:26">
      <c r="A43" s="51" t="s">
        <v>1</v>
      </c>
      <c r="B43" s="227" t="s">
        <v>253</v>
      </c>
      <c r="C43" s="52">
        <v>0</v>
      </c>
      <c r="D43" s="53">
        <v>0</v>
      </c>
      <c r="E43" s="62">
        <v>0.47389672338150035</v>
      </c>
      <c r="F43" s="53">
        <v>0</v>
      </c>
      <c r="G43" s="53">
        <v>0.39196183364562626</v>
      </c>
      <c r="H43" s="62">
        <v>7.4383276618499708E-2</v>
      </c>
      <c r="I43" s="63">
        <v>6.3307225249746149E-2</v>
      </c>
      <c r="J43" s="62">
        <v>0</v>
      </c>
      <c r="K43" s="63">
        <v>0.45526905889537239</v>
      </c>
      <c r="L43" s="8"/>
      <c r="M43" s="52">
        <f t="shared" si="0"/>
        <v>8.1934889735874095E-2</v>
      </c>
      <c r="N43" s="53">
        <f t="shared" si="1"/>
        <v>8.1934889735874095E-2</v>
      </c>
      <c r="O43" s="52">
        <f t="shared" si="2"/>
        <v>0.46634511026412595</v>
      </c>
      <c r="P43" s="53">
        <f t="shared" si="3"/>
        <v>0.46634511026412595</v>
      </c>
      <c r="Q43" s="52">
        <f t="shared" si="4"/>
        <v>0.5482800000000001</v>
      </c>
      <c r="R43" s="53">
        <f t="shared" si="5"/>
        <v>0.5482800000000001</v>
      </c>
      <c r="S43" s="8"/>
      <c r="T43" s="8"/>
      <c r="U43" s="8"/>
      <c r="V43" s="8"/>
      <c r="W43" s="8"/>
      <c r="X43" s="8"/>
      <c r="Y43" s="8"/>
      <c r="Z43" s="8"/>
    </row>
    <row r="44" spans="1:26" ht="19.5" customHeight="1">
      <c r="A44" s="51" t="s">
        <v>0</v>
      </c>
      <c r="B44" s="227" t="s">
        <v>252</v>
      </c>
      <c r="C44" s="52">
        <v>0</v>
      </c>
      <c r="D44" s="53">
        <v>0</v>
      </c>
      <c r="E44" s="62">
        <v>24.580196397385127</v>
      </c>
      <c r="F44" s="53">
        <v>7.7176016409892663</v>
      </c>
      <c r="G44" s="53">
        <v>13.488735841966387</v>
      </c>
      <c r="H44" s="62">
        <v>2.4234036026148753</v>
      </c>
      <c r="I44" s="63">
        <v>2.218436510765839</v>
      </c>
      <c r="J44" s="62">
        <v>7.7176016409892663</v>
      </c>
      <c r="K44" s="63">
        <v>15.707172352732226</v>
      </c>
      <c r="L44" s="8"/>
      <c r="M44" s="52">
        <f t="shared" si="0"/>
        <v>11.09146055541874</v>
      </c>
      <c r="N44" s="53">
        <f t="shared" si="1"/>
        <v>11.09146055541874</v>
      </c>
      <c r="O44" s="52">
        <f t="shared" si="2"/>
        <v>15.912139444581262</v>
      </c>
      <c r="P44" s="53">
        <f t="shared" si="3"/>
        <v>15.912139444581262</v>
      </c>
      <c r="Q44" s="52">
        <f t="shared" si="4"/>
        <v>27.003600000000002</v>
      </c>
      <c r="R44" s="53">
        <f t="shared" si="5"/>
        <v>27.003600000000002</v>
      </c>
      <c r="S44" s="8"/>
      <c r="T44" s="8"/>
      <c r="U44" s="8"/>
      <c r="V44" s="8"/>
      <c r="W44" s="8"/>
      <c r="X44" s="8"/>
      <c r="Y44" s="8"/>
      <c r="Z44" s="8"/>
    </row>
    <row r="45" spans="1:26">
      <c r="A45" s="51" t="s">
        <v>2</v>
      </c>
      <c r="B45" s="50" t="s">
        <v>191</v>
      </c>
      <c r="C45" s="52">
        <v>0</v>
      </c>
      <c r="D45" s="53">
        <v>0</v>
      </c>
      <c r="E45" s="62">
        <v>0</v>
      </c>
      <c r="F45" s="53">
        <v>0</v>
      </c>
      <c r="G45" s="53">
        <v>0</v>
      </c>
      <c r="H45" s="62">
        <v>0</v>
      </c>
      <c r="I45" s="63">
        <v>0</v>
      </c>
      <c r="J45" s="62">
        <v>0</v>
      </c>
      <c r="K45" s="63">
        <v>0</v>
      </c>
      <c r="L45" s="8"/>
      <c r="M45" s="52">
        <f t="shared" si="0"/>
        <v>0</v>
      </c>
      <c r="N45" s="53">
        <f t="shared" si="1"/>
        <v>0</v>
      </c>
      <c r="O45" s="52">
        <f t="shared" si="2"/>
        <v>0</v>
      </c>
      <c r="P45" s="53">
        <f t="shared" si="3"/>
        <v>0</v>
      </c>
      <c r="Q45" s="52">
        <f t="shared" si="4"/>
        <v>0</v>
      </c>
      <c r="R45" s="53">
        <f t="shared" si="5"/>
        <v>0</v>
      </c>
      <c r="S45" s="8"/>
      <c r="T45" s="8"/>
      <c r="U45" s="8"/>
      <c r="V45" s="8"/>
      <c r="W45" s="8"/>
      <c r="X45" s="8"/>
      <c r="Y45" s="8"/>
      <c r="Z45" s="8"/>
    </row>
    <row r="46" spans="1:26">
      <c r="A46" s="51" t="s">
        <v>32</v>
      </c>
      <c r="B46" s="50" t="s">
        <v>192</v>
      </c>
      <c r="C46" s="52">
        <v>0</v>
      </c>
      <c r="D46" s="53">
        <v>0</v>
      </c>
      <c r="E46" s="62">
        <v>0</v>
      </c>
      <c r="F46" s="53">
        <v>0</v>
      </c>
      <c r="G46" s="53">
        <v>0</v>
      </c>
      <c r="H46" s="62">
        <v>0</v>
      </c>
      <c r="I46" s="63">
        <v>0</v>
      </c>
      <c r="J46" s="62">
        <v>0</v>
      </c>
      <c r="K46" s="63">
        <v>0</v>
      </c>
      <c r="L46" s="8"/>
      <c r="M46" s="52">
        <f t="shared" si="0"/>
        <v>0</v>
      </c>
      <c r="N46" s="53">
        <f t="shared" si="1"/>
        <v>0</v>
      </c>
      <c r="O46" s="52">
        <f t="shared" si="2"/>
        <v>0</v>
      </c>
      <c r="P46" s="53">
        <f t="shared" si="3"/>
        <v>0</v>
      </c>
      <c r="Q46" s="52">
        <f t="shared" si="4"/>
        <v>0</v>
      </c>
      <c r="R46" s="53">
        <f t="shared" si="5"/>
        <v>0</v>
      </c>
      <c r="S46" s="8"/>
      <c r="T46" s="8"/>
      <c r="U46" s="8"/>
      <c r="V46" s="8"/>
      <c r="W46" s="8"/>
      <c r="X46" s="8"/>
      <c r="Y46" s="8"/>
      <c r="Z46" s="8"/>
    </row>
    <row r="47" spans="1:26">
      <c r="A47" s="51" t="s">
        <v>169</v>
      </c>
      <c r="B47" s="54" t="s">
        <v>84</v>
      </c>
      <c r="C47" s="64">
        <f t="shared" ref="C47:K47" si="9">SUM(C43:C46)-C46+C20+C21+C22</f>
        <v>0</v>
      </c>
      <c r="D47" s="65">
        <f t="shared" si="9"/>
        <v>0</v>
      </c>
      <c r="E47" s="66">
        <f t="shared" si="9"/>
        <v>25.054093120766627</v>
      </c>
      <c r="F47" s="65">
        <f t="shared" si="9"/>
        <v>7.7176016409892663</v>
      </c>
      <c r="G47" s="65">
        <f t="shared" si="9"/>
        <v>13.880697675612012</v>
      </c>
      <c r="H47" s="66">
        <f t="shared" si="9"/>
        <v>2.4977868792333751</v>
      </c>
      <c r="I47" s="67">
        <f t="shared" si="9"/>
        <v>2.281743736015585</v>
      </c>
      <c r="J47" s="66">
        <f t="shared" si="9"/>
        <v>7.7176016409892663</v>
      </c>
      <c r="K47" s="67">
        <f t="shared" si="9"/>
        <v>16.162441411627597</v>
      </c>
      <c r="L47" s="8"/>
      <c r="M47" s="55">
        <f>C47+E47-G47</f>
        <v>11.173395445154615</v>
      </c>
      <c r="N47" s="56">
        <f t="shared" si="1"/>
        <v>11.173395445154615</v>
      </c>
      <c r="O47" s="55">
        <f t="shared" si="2"/>
        <v>16.378484554845386</v>
      </c>
      <c r="P47" s="56">
        <f t="shared" si="3"/>
        <v>16.378484554845386</v>
      </c>
      <c r="Q47" s="55">
        <f t="shared" si="4"/>
        <v>27.551880000000001</v>
      </c>
      <c r="R47" s="56">
        <f t="shared" si="5"/>
        <v>27.551880000000001</v>
      </c>
      <c r="S47" s="8"/>
      <c r="T47" s="8"/>
      <c r="U47" s="8"/>
      <c r="V47" s="8"/>
      <c r="W47" s="8"/>
      <c r="X47" s="8"/>
      <c r="Y47" s="8"/>
      <c r="Z47" s="8"/>
    </row>
    <row r="48" spans="1:26">
      <c r="A48" s="51" t="s">
        <v>338</v>
      </c>
      <c r="B48" s="50" t="s">
        <v>145</v>
      </c>
      <c r="C48" s="52">
        <v>0</v>
      </c>
      <c r="D48" s="53">
        <v>0</v>
      </c>
      <c r="E48" s="62">
        <v>0</v>
      </c>
      <c r="F48" s="53">
        <v>0</v>
      </c>
      <c r="G48" s="53">
        <v>0</v>
      </c>
      <c r="H48" s="62">
        <v>0</v>
      </c>
      <c r="I48" s="63">
        <v>0</v>
      </c>
      <c r="J48" s="62">
        <v>0</v>
      </c>
      <c r="K48" s="63">
        <v>0</v>
      </c>
      <c r="L48" s="8"/>
      <c r="M48" s="52">
        <f t="shared" si="0"/>
        <v>0</v>
      </c>
      <c r="N48" s="53">
        <f t="shared" ref="N48:N53" si="10">(D48+F48)*$J$5</f>
        <v>0</v>
      </c>
      <c r="O48" s="52">
        <f t="shared" si="2"/>
        <v>0</v>
      </c>
      <c r="P48" s="53">
        <f t="shared" ref="P48:P53" si="11">(G48+I48)*$J$7</f>
        <v>0</v>
      </c>
      <c r="Q48" s="52">
        <f t="shared" si="4"/>
        <v>0</v>
      </c>
      <c r="R48" s="53">
        <f t="shared" ref="R48:R53" si="12">N48+P48</f>
        <v>0</v>
      </c>
      <c r="S48" s="8"/>
      <c r="T48" s="8"/>
      <c r="U48" s="8"/>
      <c r="V48" s="8"/>
      <c r="W48" s="8"/>
      <c r="X48" s="8"/>
      <c r="Y48" s="8"/>
      <c r="Z48" s="8"/>
    </row>
    <row r="49" spans="1:26">
      <c r="A49" s="51" t="s">
        <v>57</v>
      </c>
      <c r="B49" s="21" t="s">
        <v>147</v>
      </c>
      <c r="C49" s="52">
        <v>0</v>
      </c>
      <c r="D49" s="53">
        <v>0</v>
      </c>
      <c r="E49" s="62">
        <v>0</v>
      </c>
      <c r="F49" s="53">
        <v>0</v>
      </c>
      <c r="G49" s="53">
        <v>0</v>
      </c>
      <c r="H49" s="62">
        <v>0</v>
      </c>
      <c r="I49" s="63">
        <v>0</v>
      </c>
      <c r="J49" s="62">
        <v>0</v>
      </c>
      <c r="K49" s="63">
        <v>0</v>
      </c>
      <c r="L49" s="8"/>
      <c r="M49" s="52">
        <f t="shared" si="0"/>
        <v>0</v>
      </c>
      <c r="N49" s="53">
        <f t="shared" si="10"/>
        <v>0</v>
      </c>
      <c r="O49" s="52">
        <f t="shared" si="2"/>
        <v>0</v>
      </c>
      <c r="P49" s="53">
        <f t="shared" si="11"/>
        <v>0</v>
      </c>
      <c r="Q49" s="52">
        <f t="shared" si="4"/>
        <v>0</v>
      </c>
      <c r="R49" s="53">
        <f t="shared" si="12"/>
        <v>0</v>
      </c>
      <c r="S49" s="8"/>
      <c r="T49" s="8"/>
      <c r="U49" s="8"/>
      <c r="V49" s="8"/>
      <c r="W49" s="8"/>
      <c r="X49" s="8"/>
      <c r="Y49" s="8"/>
      <c r="Z49" s="8"/>
    </row>
    <row r="50" spans="1:26">
      <c r="A50" s="51" t="s">
        <v>170</v>
      </c>
      <c r="B50" s="21" t="s">
        <v>146</v>
      </c>
      <c r="C50" s="52">
        <v>0</v>
      </c>
      <c r="D50" s="53">
        <v>0</v>
      </c>
      <c r="E50" s="62">
        <v>0</v>
      </c>
      <c r="F50" s="53">
        <v>0</v>
      </c>
      <c r="G50" s="53">
        <v>0</v>
      </c>
      <c r="H50" s="62">
        <v>0.39052959168807766</v>
      </c>
      <c r="I50" s="63">
        <v>0.58856179294593924</v>
      </c>
      <c r="J50" s="62">
        <v>0</v>
      </c>
      <c r="K50" s="63">
        <v>0.58856179294593924</v>
      </c>
      <c r="L50" s="8"/>
      <c r="M50" s="52">
        <f t="shared" si="0"/>
        <v>0</v>
      </c>
      <c r="N50" s="53">
        <f t="shared" si="10"/>
        <v>0</v>
      </c>
      <c r="O50" s="52">
        <f t="shared" si="2"/>
        <v>0.39052959168807766</v>
      </c>
      <c r="P50" s="53">
        <f t="shared" si="11"/>
        <v>0.63783033424096369</v>
      </c>
      <c r="Q50" s="52">
        <f t="shared" si="4"/>
        <v>0.39052959168807766</v>
      </c>
      <c r="R50" s="53">
        <f t="shared" si="12"/>
        <v>0.63783033424096369</v>
      </c>
      <c r="S50" s="8"/>
      <c r="T50" s="8"/>
      <c r="U50" s="8"/>
      <c r="V50" s="8"/>
      <c r="W50" s="8"/>
      <c r="X50" s="8"/>
      <c r="Y50" s="8"/>
      <c r="Z50" s="8"/>
    </row>
    <row r="51" spans="1:26">
      <c r="A51" s="51" t="s">
        <v>171</v>
      </c>
      <c r="B51" s="21" t="s">
        <v>66</v>
      </c>
      <c r="C51" s="52">
        <v>0</v>
      </c>
      <c r="D51" s="53">
        <v>0</v>
      </c>
      <c r="E51" s="62">
        <v>0</v>
      </c>
      <c r="F51" s="53">
        <v>0</v>
      </c>
      <c r="G51" s="53">
        <v>0</v>
      </c>
      <c r="H51" s="62">
        <v>0</v>
      </c>
      <c r="I51" s="63">
        <v>0</v>
      </c>
      <c r="J51" s="62">
        <v>0</v>
      </c>
      <c r="K51" s="63">
        <v>0</v>
      </c>
      <c r="L51" s="8"/>
      <c r="M51" s="52">
        <f t="shared" si="0"/>
        <v>0</v>
      </c>
      <c r="N51" s="53">
        <f t="shared" si="10"/>
        <v>0</v>
      </c>
      <c r="O51" s="52">
        <f t="shared" si="2"/>
        <v>0</v>
      </c>
      <c r="P51" s="53">
        <f t="shared" si="11"/>
        <v>0</v>
      </c>
      <c r="Q51" s="52">
        <f t="shared" si="4"/>
        <v>0</v>
      </c>
      <c r="R51" s="53">
        <f t="shared" si="12"/>
        <v>0</v>
      </c>
      <c r="S51" s="8"/>
      <c r="T51" s="8"/>
      <c r="U51" s="8"/>
      <c r="V51" s="8"/>
      <c r="W51" s="8"/>
      <c r="X51" s="8"/>
      <c r="Y51" s="8"/>
      <c r="Z51" s="8"/>
    </row>
    <row r="52" spans="1:26">
      <c r="A52" s="51" t="s">
        <v>168</v>
      </c>
      <c r="B52" s="21" t="s">
        <v>148</v>
      </c>
      <c r="C52" s="52">
        <v>0</v>
      </c>
      <c r="D52" s="53">
        <v>0</v>
      </c>
      <c r="E52" s="62">
        <v>0</v>
      </c>
      <c r="F52" s="53">
        <v>0</v>
      </c>
      <c r="G52" s="53">
        <v>0</v>
      </c>
      <c r="H52" s="62">
        <v>0</v>
      </c>
      <c r="I52" s="63">
        <v>0</v>
      </c>
      <c r="J52" s="62">
        <v>0</v>
      </c>
      <c r="K52" s="63">
        <v>0</v>
      </c>
      <c r="L52" s="8"/>
      <c r="M52" s="52">
        <f t="shared" si="0"/>
        <v>0</v>
      </c>
      <c r="N52" s="53">
        <f t="shared" si="10"/>
        <v>0</v>
      </c>
      <c r="O52" s="52">
        <f t="shared" si="2"/>
        <v>0</v>
      </c>
      <c r="P52" s="53">
        <f t="shared" si="11"/>
        <v>0</v>
      </c>
      <c r="Q52" s="52">
        <f t="shared" si="4"/>
        <v>0</v>
      </c>
      <c r="R52" s="53">
        <f t="shared" si="12"/>
        <v>0</v>
      </c>
      <c r="S52" s="8"/>
      <c r="T52" s="8"/>
      <c r="U52" s="8"/>
      <c r="V52" s="8"/>
      <c r="W52" s="8"/>
      <c r="X52" s="8"/>
      <c r="Y52" s="8"/>
      <c r="Z52" s="8"/>
    </row>
    <row r="53" spans="1:26">
      <c r="A53" s="51" t="s">
        <v>172</v>
      </c>
      <c r="B53" s="50" t="s">
        <v>149</v>
      </c>
      <c r="C53" s="52">
        <v>0</v>
      </c>
      <c r="D53" s="53">
        <v>0</v>
      </c>
      <c r="E53" s="62">
        <v>0</v>
      </c>
      <c r="F53" s="53">
        <v>0</v>
      </c>
      <c r="G53" s="53">
        <v>0</v>
      </c>
      <c r="H53" s="62">
        <v>0</v>
      </c>
      <c r="I53" s="63">
        <v>0</v>
      </c>
      <c r="J53" s="62">
        <v>0</v>
      </c>
      <c r="K53" s="63">
        <v>0</v>
      </c>
      <c r="L53" s="8"/>
      <c r="M53" s="52">
        <f t="shared" si="0"/>
        <v>0</v>
      </c>
      <c r="N53" s="53">
        <f t="shared" si="10"/>
        <v>0</v>
      </c>
      <c r="O53" s="52">
        <f t="shared" si="2"/>
        <v>0</v>
      </c>
      <c r="P53" s="53">
        <f t="shared" si="11"/>
        <v>0</v>
      </c>
      <c r="Q53" s="52">
        <f t="shared" si="4"/>
        <v>0</v>
      </c>
      <c r="R53" s="53">
        <f t="shared" si="12"/>
        <v>0</v>
      </c>
      <c r="S53" s="8"/>
      <c r="T53" s="8"/>
      <c r="U53" s="8"/>
      <c r="V53" s="8"/>
      <c r="W53" s="8"/>
      <c r="X53" s="8"/>
      <c r="Y53" s="8"/>
      <c r="Z53" s="8"/>
    </row>
    <row r="54" spans="1:26">
      <c r="A54" s="51"/>
      <c r="B54" s="50" t="s">
        <v>314</v>
      </c>
      <c r="C54" s="52">
        <v>0</v>
      </c>
      <c r="D54" s="53">
        <v>0</v>
      </c>
      <c r="E54" s="62">
        <v>0</v>
      </c>
      <c r="F54" s="53">
        <v>0</v>
      </c>
      <c r="G54" s="53">
        <v>0</v>
      </c>
      <c r="H54" s="62">
        <v>0</v>
      </c>
      <c r="I54" s="63">
        <v>0</v>
      </c>
      <c r="J54" s="62">
        <v>0</v>
      </c>
      <c r="K54" s="63">
        <v>0</v>
      </c>
      <c r="L54" s="8"/>
      <c r="M54" s="52">
        <f>C54+E54-G54</f>
        <v>0</v>
      </c>
      <c r="N54" s="53">
        <f>(D54+F54)*$J$5</f>
        <v>0</v>
      </c>
      <c r="O54" s="52">
        <f>G54+H54</f>
        <v>0</v>
      </c>
      <c r="P54" s="53">
        <f>(G54+I54)*$J$7</f>
        <v>0</v>
      </c>
      <c r="Q54" s="52">
        <f>C54+E54+H54</f>
        <v>0</v>
      </c>
      <c r="R54" s="53">
        <f>N54+P54</f>
        <v>0</v>
      </c>
      <c r="S54" s="8"/>
      <c r="T54" s="8"/>
      <c r="U54" s="8"/>
      <c r="V54" s="8"/>
      <c r="W54" s="8"/>
      <c r="X54" s="8"/>
      <c r="Y54" s="8"/>
      <c r="Z54" s="8"/>
    </row>
    <row r="55" spans="1:26">
      <c r="A55" s="57"/>
      <c r="B55" s="58" t="s">
        <v>167</v>
      </c>
      <c r="C55" s="64">
        <f>SUM(C48:C54)+C47+C42+C36+C26</f>
        <v>0</v>
      </c>
      <c r="D55" s="65">
        <f t="shared" ref="D55:K55" si="13">SUM(D48:D54)+D47+D42+D36+D26</f>
        <v>0</v>
      </c>
      <c r="E55" s="66">
        <f t="shared" si="13"/>
        <v>77.55680000000001</v>
      </c>
      <c r="F55" s="65">
        <f t="shared" si="13"/>
        <v>31.964176438733155</v>
      </c>
      <c r="G55" s="65">
        <f t="shared" si="13"/>
        <v>37.546199999999999</v>
      </c>
      <c r="H55" s="66">
        <f t="shared" si="13"/>
        <v>8.686369591688079</v>
      </c>
      <c r="I55" s="65">
        <f t="shared" si="13"/>
        <v>8.0154000000000014</v>
      </c>
      <c r="J55" s="64">
        <f t="shared" si="13"/>
        <v>31.964176438733155</v>
      </c>
      <c r="K55" s="65">
        <f t="shared" si="13"/>
        <v>45.561599999999999</v>
      </c>
      <c r="L55" s="8"/>
      <c r="M55" s="59">
        <f t="shared" ref="M55:R55" si="14">SUM(M48:M53)+M47+M42+M36+M26</f>
        <v>40.010600000000004</v>
      </c>
      <c r="N55" s="56">
        <f t="shared" si="14"/>
        <v>40.010600000000004</v>
      </c>
      <c r="O55" s="59">
        <f t="shared" si="14"/>
        <v>46.232569591688076</v>
      </c>
      <c r="P55" s="56">
        <f t="shared" si="14"/>
        <v>46.479870334240957</v>
      </c>
      <c r="Q55" s="59">
        <f t="shared" si="14"/>
        <v>86.243169591688087</v>
      </c>
      <c r="R55" s="56">
        <f t="shared" si="14"/>
        <v>86.490470334240968</v>
      </c>
      <c r="S55" s="8"/>
      <c r="T55" s="8"/>
      <c r="U55" s="8"/>
      <c r="V55" s="8"/>
      <c r="W55" s="8"/>
      <c r="X55" s="8"/>
      <c r="Y55" s="8"/>
      <c r="Z55" s="8"/>
    </row>
    <row r="56" spans="1:26">
      <c r="A56" s="41"/>
      <c r="B56" s="51" t="s">
        <v>52</v>
      </c>
      <c r="C56" s="68">
        <v>0</v>
      </c>
      <c r="D56" s="69">
        <v>0</v>
      </c>
      <c r="E56" s="68">
        <v>77.55680000000001</v>
      </c>
      <c r="F56" s="53">
        <v>31.964176438733155</v>
      </c>
      <c r="G56" s="53">
        <v>37.546199999999999</v>
      </c>
      <c r="H56" s="68">
        <v>8.686369591688079</v>
      </c>
      <c r="I56" s="53">
        <v>8.0154000000000014</v>
      </c>
      <c r="J56" s="68">
        <v>31.964176438733155</v>
      </c>
      <c r="K56" s="53">
        <v>45.561599999999991</v>
      </c>
      <c r="L56" s="8"/>
      <c r="M56" s="8"/>
      <c r="N56" s="87"/>
      <c r="O56" s="87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8">
      <c r="A58" s="125"/>
      <c r="B58" s="60" t="s">
        <v>82</v>
      </c>
      <c r="C58" s="34"/>
      <c r="D58" s="34"/>
      <c r="E58" s="34"/>
      <c r="F58" s="34"/>
      <c r="G58" s="61"/>
      <c r="H58" s="61"/>
      <c r="J58" s="39"/>
      <c r="K58" s="39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125"/>
      <c r="B59" s="109"/>
      <c r="C59" s="110" t="s">
        <v>36</v>
      </c>
      <c r="D59" s="110" t="s">
        <v>37</v>
      </c>
      <c r="E59" s="111"/>
      <c r="F59" s="110" t="s">
        <v>41</v>
      </c>
      <c r="G59" s="110" t="s">
        <v>41</v>
      </c>
      <c r="H59" s="110" t="s">
        <v>39</v>
      </c>
      <c r="I59" s="110" t="s">
        <v>40</v>
      </c>
      <c r="J59" s="110" t="s">
        <v>138</v>
      </c>
      <c r="K59" s="111"/>
      <c r="L59" s="8"/>
      <c r="M59" s="163" t="s">
        <v>322</v>
      </c>
      <c r="N59" s="163"/>
      <c r="O59" s="163"/>
      <c r="P59" s="163"/>
      <c r="Q59" s="163"/>
      <c r="R59" s="163"/>
      <c r="S59" s="163"/>
      <c r="T59" s="8"/>
      <c r="U59" s="8"/>
      <c r="V59" s="8"/>
      <c r="W59" s="8"/>
      <c r="X59" s="8"/>
      <c r="Y59" s="8"/>
      <c r="Z59" s="8"/>
    </row>
    <row r="60" spans="1:26">
      <c r="A60" s="125"/>
      <c r="B60" s="125"/>
      <c r="C60" s="120" t="s">
        <v>156</v>
      </c>
      <c r="D60" s="120" t="s">
        <v>54</v>
      </c>
      <c r="E60" s="120" t="s">
        <v>156</v>
      </c>
      <c r="F60" s="120" t="s">
        <v>164</v>
      </c>
      <c r="G60" s="120" t="s">
        <v>165</v>
      </c>
      <c r="H60" s="120" t="s">
        <v>166</v>
      </c>
      <c r="I60" s="120" t="s">
        <v>165</v>
      </c>
      <c r="J60" s="120" t="s">
        <v>54</v>
      </c>
      <c r="K60" s="120" t="s">
        <v>156</v>
      </c>
      <c r="L60" s="8"/>
      <c r="M60" s="6"/>
      <c r="N60" s="6"/>
      <c r="O60" s="162" t="s">
        <v>327</v>
      </c>
      <c r="P60" s="6"/>
      <c r="Q60" s="162" t="s">
        <v>326</v>
      </c>
      <c r="R60" s="6" t="s">
        <v>325</v>
      </c>
      <c r="S60" s="6"/>
      <c r="T60" s="8"/>
      <c r="U60" s="8"/>
      <c r="V60" s="8"/>
      <c r="W60" s="8"/>
      <c r="X60" s="8"/>
      <c r="Y60" s="8"/>
      <c r="Z60" s="8"/>
    </row>
    <row r="61" spans="1:26">
      <c r="B61" s="125" t="s">
        <v>315</v>
      </c>
      <c r="C61" s="120"/>
      <c r="D61" s="120"/>
      <c r="E61" s="120"/>
      <c r="F61" s="120"/>
      <c r="G61" s="120"/>
      <c r="H61" s="120"/>
      <c r="I61" s="120"/>
      <c r="J61" s="120"/>
      <c r="K61" s="120"/>
      <c r="L61" s="8"/>
      <c r="M61" s="146" t="s">
        <v>323</v>
      </c>
      <c r="N61" s="146"/>
      <c r="O61" s="146"/>
      <c r="P61" s="146"/>
      <c r="Q61" s="146"/>
      <c r="R61" s="146"/>
      <c r="S61" s="146"/>
      <c r="T61" s="8"/>
      <c r="U61" s="8"/>
      <c r="V61" s="8"/>
      <c r="W61" s="8"/>
      <c r="X61" s="8"/>
      <c r="Y61" s="8"/>
      <c r="Z61" s="8"/>
    </row>
    <row r="62" spans="1:26">
      <c r="B62" s="125" t="s">
        <v>143</v>
      </c>
      <c r="C62" s="120" t="s">
        <v>123</v>
      </c>
      <c r="D62" s="120" t="s">
        <v>122</v>
      </c>
      <c r="E62" s="120" t="s">
        <v>316</v>
      </c>
      <c r="F62" s="120" t="s">
        <v>161</v>
      </c>
      <c r="G62" s="120" t="s">
        <v>317</v>
      </c>
      <c r="H62" s="120" t="s">
        <v>159</v>
      </c>
      <c r="I62" s="120" t="s">
        <v>160</v>
      </c>
      <c r="J62" s="120" t="s">
        <v>124</v>
      </c>
      <c r="K62" s="120" t="s">
        <v>376</v>
      </c>
      <c r="L62" s="8"/>
      <c r="M62" s="153" t="s">
        <v>320</v>
      </c>
      <c r="N62" s="6"/>
      <c r="O62" s="150">
        <f>G63+D54+F54</f>
        <v>-1.5702106549864328</v>
      </c>
      <c r="P62" s="147">
        <f>SUMPRODUCT(P63:P64,O63:O64)</f>
        <v>1.7580297041303234</v>
      </c>
      <c r="Q62" s="145"/>
      <c r="R62" s="145"/>
      <c r="S62" s="145"/>
      <c r="T62" s="8"/>
      <c r="U62" s="8"/>
      <c r="V62" s="8"/>
      <c r="W62" s="8"/>
      <c r="X62" s="8"/>
      <c r="Y62" s="8"/>
      <c r="Z62" s="8"/>
    </row>
    <row r="63" spans="1:26">
      <c r="B63" s="125" t="s">
        <v>158</v>
      </c>
      <c r="C63" s="120">
        <f>D56</f>
        <v>0</v>
      </c>
      <c r="D63" s="120">
        <f>F56</f>
        <v>31.964176438733155</v>
      </c>
      <c r="E63" s="120">
        <f>J56-D63-C63</f>
        <v>0</v>
      </c>
      <c r="F63" s="120">
        <v>-1.0972407478869026</v>
      </c>
      <c r="G63" s="120">
        <v>-1.5702106549864328</v>
      </c>
      <c r="H63" s="120">
        <v>0</v>
      </c>
      <c r="I63" s="120">
        <v>0</v>
      </c>
      <c r="J63" s="120">
        <v>0</v>
      </c>
      <c r="K63" s="120">
        <v>0</v>
      </c>
      <c r="M63" s="153" t="s">
        <v>318</v>
      </c>
      <c r="N63" s="159"/>
      <c r="O63" s="157">
        <f>SUM(J26,J36,J42,J47,J48,J50)</f>
        <v>31.964176438733155</v>
      </c>
      <c r="P63" s="151">
        <v>5.5E-2</v>
      </c>
      <c r="Q63" s="149">
        <f>1+P63*O$62/$P$62</f>
        <v>0.95087592330132109</v>
      </c>
      <c r="R63" s="157">
        <f>O63*Q63</f>
        <v>30.393965783746722</v>
      </c>
      <c r="S63" s="145"/>
    </row>
    <row r="64" spans="1:26">
      <c r="B64" s="125" t="s">
        <v>193</v>
      </c>
      <c r="C64" s="120">
        <v>1</v>
      </c>
      <c r="D64" s="120">
        <v>1</v>
      </c>
      <c r="E64" s="120">
        <v>0.5</v>
      </c>
      <c r="F64" s="120">
        <v>9.1959840556265535E-2</v>
      </c>
      <c r="G64" s="120">
        <v>0</v>
      </c>
      <c r="H64" s="120">
        <v>2.0297272007606455E-2</v>
      </c>
      <c r="I64" s="120">
        <v>1.1907909295419057E-2</v>
      </c>
      <c r="J64" s="120" t="s">
        <v>55</v>
      </c>
      <c r="K64" s="120" t="s">
        <v>55</v>
      </c>
      <c r="M64" s="154" t="s">
        <v>319</v>
      </c>
      <c r="N64" s="160"/>
      <c r="O64" s="158">
        <f>SUM(J49,J51:J53)</f>
        <v>0</v>
      </c>
      <c r="P64" s="152">
        <v>0.01</v>
      </c>
      <c r="Q64" s="148">
        <f>1+P64*O$62/$P$62</f>
        <v>0.99106834969114932</v>
      </c>
      <c r="R64" s="158">
        <f>O64*Q64</f>
        <v>0</v>
      </c>
      <c r="S64" s="141"/>
    </row>
    <row r="65" spans="1:19">
      <c r="B65" s="125" t="s">
        <v>138</v>
      </c>
      <c r="C65" s="120">
        <f>I56</f>
        <v>8.0154000000000014</v>
      </c>
      <c r="D65" s="120">
        <f>G56</f>
        <v>37.546199999999999</v>
      </c>
      <c r="E65" s="120">
        <f>K56-D65-C65</f>
        <v>0</v>
      </c>
      <c r="F65" s="120">
        <v>-2.7665999999999999</v>
      </c>
      <c r="G65" s="120">
        <v>0</v>
      </c>
      <c r="H65" s="120">
        <v>0</v>
      </c>
      <c r="I65" s="120">
        <v>0</v>
      </c>
      <c r="J65" s="120">
        <v>0</v>
      </c>
      <c r="K65" s="120">
        <v>0</v>
      </c>
      <c r="M65" s="145" t="s">
        <v>324</v>
      </c>
      <c r="N65" s="6"/>
      <c r="O65" s="146"/>
      <c r="P65" s="146"/>
      <c r="Q65" s="146"/>
      <c r="R65" s="146"/>
      <c r="S65" s="146"/>
    </row>
    <row r="66" spans="1:19">
      <c r="B66" s="125" t="s">
        <v>42</v>
      </c>
      <c r="C66" s="120">
        <v>1</v>
      </c>
      <c r="D66" s="120">
        <v>1</v>
      </c>
      <c r="E66" s="120">
        <f>F68</f>
        <v>0</v>
      </c>
      <c r="F66" s="120">
        <v>0.10984977295183504</v>
      </c>
      <c r="G66" s="120">
        <v>2.7708998603502059E-3</v>
      </c>
      <c r="H66" s="120">
        <v>0</v>
      </c>
      <c r="I66" s="120">
        <v>0</v>
      </c>
      <c r="J66" s="120" t="s">
        <v>55</v>
      </c>
      <c r="K66" s="120" t="s">
        <v>55</v>
      </c>
      <c r="M66" s="155" t="s">
        <v>321</v>
      </c>
      <c r="N66" s="161"/>
      <c r="O66" s="180">
        <f>G55+I55-G54-I54</f>
        <v>45.561599999999999</v>
      </c>
      <c r="P66" s="150">
        <f>G65+G54+I54+J65+K65-J63</f>
        <v>0</v>
      </c>
      <c r="Q66" s="156">
        <f>1+IF(O66,P66/O66)</f>
        <v>1</v>
      </c>
      <c r="R66" s="179">
        <f>O66*Q66</f>
        <v>45.561599999999999</v>
      </c>
      <c r="S66" s="141"/>
    </row>
    <row r="67" spans="1:19">
      <c r="B67" s="125"/>
      <c r="C67" s="120"/>
      <c r="D67" s="120"/>
      <c r="E67" s="120"/>
      <c r="F67" s="199" t="s">
        <v>406</v>
      </c>
      <c r="G67" s="120" t="s">
        <v>548</v>
      </c>
      <c r="H67" s="31" t="s">
        <v>391</v>
      </c>
      <c r="I67" s="31" t="s">
        <v>392</v>
      </c>
      <c r="J67" s="31" t="s">
        <v>393</v>
      </c>
      <c r="K67" s="31" t="s">
        <v>405</v>
      </c>
      <c r="M67" s="51"/>
      <c r="N67" s="41"/>
      <c r="O67" s="190"/>
      <c r="P67" s="191"/>
      <c r="Q67" s="192"/>
      <c r="R67" s="190"/>
      <c r="S67" s="141"/>
    </row>
    <row r="68" spans="1:19">
      <c r="B68" s="125"/>
      <c r="C68" s="120"/>
      <c r="D68" s="120"/>
      <c r="E68" s="120"/>
      <c r="F68" s="199">
        <v>0</v>
      </c>
      <c r="G68" s="120">
        <v>0</v>
      </c>
      <c r="H68" s="120">
        <v>0</v>
      </c>
      <c r="I68" s="120">
        <v>0</v>
      </c>
      <c r="J68" s="120">
        <v>3.4924040332701525</v>
      </c>
      <c r="K68" s="120">
        <v>0.50767880466897108</v>
      </c>
      <c r="M68" s="51"/>
      <c r="N68" s="41"/>
      <c r="O68" s="190"/>
      <c r="P68" s="191"/>
      <c r="Q68" s="192"/>
      <c r="R68" s="190"/>
      <c r="S68" s="141"/>
    </row>
    <row r="69" spans="1:19">
      <c r="A69" s="125"/>
      <c r="B69" s="125"/>
      <c r="C69" s="125"/>
      <c r="D69" s="125"/>
      <c r="E69" s="125"/>
      <c r="F69" s="125"/>
      <c r="G69" s="125"/>
      <c r="H69" s="125"/>
      <c r="I69" s="125"/>
      <c r="J69" s="125"/>
      <c r="K69" s="125"/>
      <c r="N69" s="127"/>
      <c r="O69" s="127"/>
      <c r="Q69" s="127"/>
    </row>
    <row r="70" spans="1:19">
      <c r="A70" s="125"/>
      <c r="B70" s="177" t="s">
        <v>337</v>
      </c>
      <c r="C70" s="177"/>
      <c r="D70" s="144"/>
      <c r="E70" s="178" t="s">
        <v>198</v>
      </c>
      <c r="F70" s="175">
        <f>1+SUM(F63,I63)/(SUMPRODUCT(C63:E63,C64:E64)+G63)</f>
        <v>0.96389938859266411</v>
      </c>
      <c r="H70" s="143"/>
      <c r="I70" s="125"/>
      <c r="J70" s="125"/>
      <c r="K70" s="125"/>
    </row>
    <row r="71" spans="1:19">
      <c r="E71" s="6" t="s">
        <v>53</v>
      </c>
      <c r="F71" s="176">
        <f ca="1">1+F65/(SUMPRODUCT(C65:E65,C66:E66)+P66+G68+Tiny)</f>
        <v>0.93927781289640233</v>
      </c>
    </row>
    <row r="74" spans="1:19" ht="16.5" thickBot="1">
      <c r="B74" s="168" t="s">
        <v>211</v>
      </c>
      <c r="C74" s="173"/>
      <c r="D74" s="173" t="s">
        <v>327</v>
      </c>
      <c r="E74" s="173" t="s">
        <v>489</v>
      </c>
      <c r="F74" s="173" t="s">
        <v>332</v>
      </c>
      <c r="G74" s="173"/>
      <c r="H74" s="173" t="s">
        <v>332</v>
      </c>
      <c r="I74" s="173"/>
    </row>
    <row r="75" spans="1:19" ht="15.75" thickTop="1">
      <c r="B75" s="172"/>
      <c r="C75" s="172" t="s">
        <v>329</v>
      </c>
      <c r="D75" s="172" t="s">
        <v>330</v>
      </c>
      <c r="E75" s="172" t="s">
        <v>490</v>
      </c>
      <c r="F75" s="172" t="s">
        <v>330</v>
      </c>
      <c r="G75" s="172"/>
      <c r="H75" s="172" t="s">
        <v>331</v>
      </c>
      <c r="I75" s="172" t="s">
        <v>54</v>
      </c>
      <c r="N75" s="128" t="s">
        <v>608</v>
      </c>
      <c r="O75" s="128"/>
      <c r="P75" s="128"/>
    </row>
    <row r="76" spans="1:19" ht="15">
      <c r="B76" s="169" t="s">
        <v>254</v>
      </c>
      <c r="C76" s="170">
        <f>C36</f>
        <v>0</v>
      </c>
      <c r="D76" s="170">
        <f>D36</f>
        <v>0</v>
      </c>
      <c r="E76" s="215">
        <v>0.4</v>
      </c>
      <c r="F76" s="170">
        <f>D76*Q$63</f>
        <v>0</v>
      </c>
      <c r="G76" s="171"/>
      <c r="H76" s="171">
        <f t="shared" ref="H76:H85" ca="1" si="15">IF(C76&gt;0,MAX(0.8*E76,F76/(C76+Tiny)),E76)</f>
        <v>0.4</v>
      </c>
      <c r="I76" s="170">
        <f t="shared" ref="I76:I86" si="16">C76*H76</f>
        <v>0</v>
      </c>
      <c r="N76" s="128"/>
      <c r="O76" s="302" t="str">
        <f ca="1">IF(AuxYear&gt;BaseYear,"","~")&amp;"FI_T"</f>
        <v>FI_T</v>
      </c>
      <c r="P76" s="128"/>
    </row>
    <row r="77" spans="1:19" ht="15">
      <c r="B77" s="169" t="s">
        <v>255</v>
      </c>
      <c r="C77" s="170">
        <f>C26</f>
        <v>0</v>
      </c>
      <c r="D77" s="170">
        <f>D26</f>
        <v>0</v>
      </c>
      <c r="E77" s="215">
        <v>0.54</v>
      </c>
      <c r="F77" s="170">
        <f>D77*Q$63</f>
        <v>0</v>
      </c>
      <c r="G77" s="171"/>
      <c r="H77" s="171">
        <f t="shared" ca="1" si="15"/>
        <v>0.54</v>
      </c>
      <c r="I77" s="170">
        <f t="shared" si="16"/>
        <v>0</v>
      </c>
      <c r="N77" s="128"/>
      <c r="O77" s="128" t="s">
        <v>218</v>
      </c>
      <c r="P77" s="128" t="s">
        <v>269</v>
      </c>
    </row>
    <row r="78" spans="1:19" ht="15">
      <c r="B78" s="169" t="s">
        <v>256</v>
      </c>
      <c r="C78" s="170">
        <f>C47-C43</f>
        <v>0</v>
      </c>
      <c r="D78" s="170">
        <f>D47-D43</f>
        <v>0</v>
      </c>
      <c r="E78" s="215">
        <v>0.44</v>
      </c>
      <c r="F78" s="170">
        <f>D78*Q$63</f>
        <v>0</v>
      </c>
      <c r="G78" s="171"/>
      <c r="H78" s="171">
        <f t="shared" ca="1" si="15"/>
        <v>0.44</v>
      </c>
      <c r="I78" s="170">
        <f t="shared" si="16"/>
        <v>0</v>
      </c>
      <c r="N78" s="128"/>
      <c r="O78" s="128" t="s">
        <v>169</v>
      </c>
      <c r="P78" s="129">
        <f>1/(1+SUM(C26,E26,H26,C36,E36,H36)/SUM(C47,E47,H47))</f>
        <v>0.32375871973738202</v>
      </c>
    </row>
    <row r="79" spans="1:19" ht="15">
      <c r="B79" s="169" t="s">
        <v>347</v>
      </c>
      <c r="C79" s="170">
        <f>C43</f>
        <v>0</v>
      </c>
      <c r="D79" s="170">
        <f>D43</f>
        <v>0</v>
      </c>
      <c r="E79" s="215">
        <v>0.42</v>
      </c>
      <c r="F79" s="170">
        <f>D79*Q$63</f>
        <v>0</v>
      </c>
      <c r="G79" s="171"/>
      <c r="H79" s="171">
        <f t="shared" ca="1" si="15"/>
        <v>0.42</v>
      </c>
      <c r="I79" s="170">
        <f t="shared" si="16"/>
        <v>0</v>
      </c>
      <c r="N79" s="128"/>
      <c r="O79" s="128" t="s">
        <v>57</v>
      </c>
      <c r="P79" s="130">
        <f>(SUM(J49:J53)+J42)/J56</f>
        <v>2.2130900937424106E-3</v>
      </c>
    </row>
    <row r="80" spans="1:19" ht="15">
      <c r="B80" s="169" t="s">
        <v>257</v>
      </c>
      <c r="C80" s="170">
        <f>C42-C38-C39</f>
        <v>0</v>
      </c>
      <c r="D80" s="170">
        <f>D42-D38-D39</f>
        <v>0</v>
      </c>
      <c r="E80" s="215">
        <v>0.4</v>
      </c>
      <c r="F80" s="170">
        <f>D80*Q$63</f>
        <v>0</v>
      </c>
      <c r="G80" s="171"/>
      <c r="H80" s="171">
        <f t="shared" ca="1" si="15"/>
        <v>0.4</v>
      </c>
      <c r="I80" s="170">
        <f t="shared" si="16"/>
        <v>0</v>
      </c>
      <c r="N80" s="128"/>
      <c r="O80" s="128" t="s">
        <v>417</v>
      </c>
      <c r="P80" s="129">
        <f>F70</f>
        <v>0.96389938859266411</v>
      </c>
    </row>
    <row r="81" spans="2:16" ht="15">
      <c r="B81" s="169" t="s">
        <v>147</v>
      </c>
      <c r="C81" s="170">
        <f>C49</f>
        <v>0</v>
      </c>
      <c r="D81" s="170">
        <f>D49+H63</f>
        <v>0</v>
      </c>
      <c r="E81" s="215">
        <v>0.99</v>
      </c>
      <c r="F81" s="170">
        <f>D81*Q$64</f>
        <v>0</v>
      </c>
      <c r="G81" s="171"/>
      <c r="H81" s="171">
        <f t="shared" ca="1" si="15"/>
        <v>0.99</v>
      </c>
      <c r="I81" s="170">
        <f t="shared" si="16"/>
        <v>0</v>
      </c>
      <c r="N81" s="128"/>
      <c r="O81" s="128"/>
      <c r="P81" s="128"/>
    </row>
    <row r="82" spans="2:16">
      <c r="B82" s="169" t="s">
        <v>112</v>
      </c>
      <c r="C82" s="170">
        <f>C48</f>
        <v>0</v>
      </c>
      <c r="D82" s="170">
        <f>D48</f>
        <v>0</v>
      </c>
      <c r="E82" s="215">
        <v>0.35</v>
      </c>
      <c r="F82" s="170">
        <f>D82*Q$63</f>
        <v>0</v>
      </c>
      <c r="G82" s="171"/>
      <c r="H82" s="171">
        <f t="shared" ca="1" si="15"/>
        <v>0.35</v>
      </c>
      <c r="I82" s="170">
        <f t="shared" si="16"/>
        <v>0</v>
      </c>
      <c r="N82" s="8"/>
      <c r="O82" s="8"/>
      <c r="P82" s="8"/>
    </row>
    <row r="83" spans="2:16">
      <c r="B83" s="169" t="s">
        <v>194</v>
      </c>
      <c r="C83" s="170">
        <f>C50</f>
        <v>0</v>
      </c>
      <c r="D83" s="170">
        <f>D50</f>
        <v>0</v>
      </c>
      <c r="E83" s="215">
        <v>0.1</v>
      </c>
      <c r="F83" s="170">
        <f>D83*Q$63</f>
        <v>0</v>
      </c>
      <c r="G83" s="171"/>
      <c r="H83" s="171">
        <f t="shared" ca="1" si="15"/>
        <v>0.1</v>
      </c>
      <c r="I83" s="170">
        <f t="shared" si="16"/>
        <v>0</v>
      </c>
      <c r="N83" s="8"/>
      <c r="O83" s="8"/>
      <c r="P83" s="8"/>
    </row>
    <row r="84" spans="2:16">
      <c r="B84" s="169" t="s">
        <v>197</v>
      </c>
      <c r="C84" s="170">
        <f>SUM(C52:C53)</f>
        <v>0</v>
      </c>
      <c r="D84" s="170">
        <f>SUM(D52:D53)</f>
        <v>0</v>
      </c>
      <c r="E84" s="215">
        <v>0.99</v>
      </c>
      <c r="F84" s="170">
        <f>D84*Q$64</f>
        <v>0</v>
      </c>
      <c r="G84" s="171"/>
      <c r="H84" s="171">
        <f t="shared" ca="1" si="15"/>
        <v>0.99</v>
      </c>
      <c r="I84" s="170">
        <f t="shared" si="16"/>
        <v>0</v>
      </c>
      <c r="N84" s="8"/>
      <c r="O84" s="8"/>
      <c r="P84" s="8"/>
    </row>
    <row r="85" spans="2:16">
      <c r="B85" s="169" t="s">
        <v>195</v>
      </c>
      <c r="C85" s="170">
        <f>SUM(C51)</f>
        <v>0</v>
      </c>
      <c r="D85" s="170">
        <f>SUM(D51)</f>
        <v>0</v>
      </c>
      <c r="E85" s="215">
        <v>0.99</v>
      </c>
      <c r="F85" s="170">
        <f>D85*Q$64</f>
        <v>0</v>
      </c>
      <c r="G85" s="171"/>
      <c r="H85" s="171">
        <f t="shared" ca="1" si="15"/>
        <v>0.99</v>
      </c>
      <c r="I85" s="170">
        <f t="shared" si="16"/>
        <v>0</v>
      </c>
      <c r="N85" s="8"/>
      <c r="O85" s="8"/>
      <c r="P85" s="8"/>
    </row>
    <row r="86" spans="2:16">
      <c r="B86" s="169" t="s">
        <v>52</v>
      </c>
      <c r="C86" s="170">
        <f>SUM(C76:C84)</f>
        <v>0</v>
      </c>
      <c r="D86" s="170">
        <f>SUM(D76:D84)</f>
        <v>0</v>
      </c>
      <c r="E86" s="171"/>
      <c r="F86" s="170">
        <f>SUM(F76:F84)</f>
        <v>0</v>
      </c>
      <c r="G86" s="171"/>
      <c r="H86" s="171">
        <f ca="1">MAX(0.1,F86/(C86+Tiny))</f>
        <v>0.1</v>
      </c>
      <c r="I86" s="228">
        <f t="shared" si="16"/>
        <v>0</v>
      </c>
      <c r="N86" s="8"/>
      <c r="O86" s="8"/>
      <c r="P86" s="8"/>
    </row>
    <row r="88" spans="2:16" ht="16.5" thickBot="1">
      <c r="B88" s="168" t="s">
        <v>37</v>
      </c>
      <c r="C88" s="173"/>
      <c r="D88" s="173" t="s">
        <v>327</v>
      </c>
      <c r="E88" s="173" t="s">
        <v>327</v>
      </c>
      <c r="F88" s="173" t="s">
        <v>332</v>
      </c>
      <c r="G88" s="173" t="s">
        <v>332</v>
      </c>
      <c r="H88" s="173" t="s">
        <v>332</v>
      </c>
      <c r="I88" s="173"/>
    </row>
    <row r="89" spans="2:16" ht="13.5" thickTop="1">
      <c r="B89" s="172"/>
      <c r="C89" s="172" t="s">
        <v>329</v>
      </c>
      <c r="D89" s="172" t="s">
        <v>330</v>
      </c>
      <c r="E89" s="172" t="s">
        <v>205</v>
      </c>
      <c r="F89" s="172" t="s">
        <v>330</v>
      </c>
      <c r="G89" s="172" t="s">
        <v>205</v>
      </c>
      <c r="H89" s="172" t="s">
        <v>331</v>
      </c>
      <c r="I89" s="172" t="s">
        <v>54</v>
      </c>
    </row>
    <row r="90" spans="2:16">
      <c r="B90" s="169" t="s">
        <v>254</v>
      </c>
      <c r="C90" s="170">
        <f>E36</f>
        <v>1.5716032743557009</v>
      </c>
      <c r="D90" s="170">
        <f>F36</f>
        <v>0.51839999999999997</v>
      </c>
      <c r="E90" s="170">
        <f>G36</f>
        <v>0.8450104013253259</v>
      </c>
      <c r="F90" s="170">
        <f t="shared" ref="F90:F95" si="17">MIN(D90*Q$63,C90/2)</f>
        <v>0.4929340786394048</v>
      </c>
      <c r="G90" s="170">
        <f>E90*Q$66+D90*Q$63-F90</f>
        <v>0.8450104013253259</v>
      </c>
      <c r="H90" s="171">
        <f t="shared" ref="H90:H96" si="18">MAX(0.5,IF(C90,SUM(F90:G90)/C90,0.9))</f>
        <v>0.85132456886311736</v>
      </c>
      <c r="I90" s="170">
        <f t="shared" ref="I90:I97" si="19">C90*H90</f>
        <v>1.3379444799647306</v>
      </c>
    </row>
    <row r="91" spans="2:16">
      <c r="B91" s="169" t="s">
        <v>255</v>
      </c>
      <c r="C91" s="170">
        <f>E26</f>
        <v>50.661490380398163</v>
      </c>
      <c r="D91" s="170">
        <f>F26</f>
        <v>23.657435195512694</v>
      </c>
      <c r="E91" s="170">
        <f>G26</f>
        <v>22.661700901520302</v>
      </c>
      <c r="F91" s="170">
        <f t="shared" si="17"/>
        <v>22.495285534474302</v>
      </c>
      <c r="G91" s="170">
        <f>E91*Q$66+D91*Q$63-F91</f>
        <v>22.661700901520302</v>
      </c>
      <c r="H91" s="171">
        <f t="shared" si="18"/>
        <v>0.89134737444413303</v>
      </c>
      <c r="I91" s="170">
        <f t="shared" si="19"/>
        <v>45.156986435994604</v>
      </c>
    </row>
    <row r="92" spans="2:16">
      <c r="B92" s="169" t="s">
        <v>256</v>
      </c>
      <c r="C92" s="170">
        <f>E47-E43</f>
        <v>24.580196397385127</v>
      </c>
      <c r="D92" s="170">
        <f>F47-F43</f>
        <v>7.7176016409892663</v>
      </c>
      <c r="E92" s="170">
        <f>G47-G43</f>
        <v>13.488735841966387</v>
      </c>
      <c r="F92" s="170">
        <f t="shared" si="17"/>
        <v>7.3384815860474593</v>
      </c>
      <c r="G92" s="170">
        <f>E92*Q$66+D92*Q$63-F92</f>
        <v>13.488735841966387</v>
      </c>
      <c r="H92" s="171">
        <f t="shared" si="18"/>
        <v>0.84731696571104176</v>
      </c>
      <c r="I92" s="170">
        <f t="shared" si="19"/>
        <v>20.827217428013846</v>
      </c>
    </row>
    <row r="93" spans="2:16">
      <c r="B93" s="169" t="s">
        <v>347</v>
      </c>
      <c r="C93" s="170">
        <f>E43</f>
        <v>0.47389672338150035</v>
      </c>
      <c r="D93" s="170">
        <f>F43</f>
        <v>0</v>
      </c>
      <c r="E93" s="170">
        <f>G43</f>
        <v>0.39196183364562626</v>
      </c>
      <c r="F93" s="170">
        <f t="shared" si="17"/>
        <v>0</v>
      </c>
      <c r="G93" s="170">
        <f>E93*Q$66+D93*Q$63-F93</f>
        <v>0.39196183364562626</v>
      </c>
      <c r="H93" s="171">
        <f t="shared" si="18"/>
        <v>0.82710391168939534</v>
      </c>
      <c r="I93" s="170">
        <f t="shared" si="19"/>
        <v>0.39196183364562626</v>
      </c>
    </row>
    <row r="94" spans="2:16">
      <c r="B94" s="169" t="s">
        <v>257</v>
      </c>
      <c r="C94" s="170">
        <f>E42-E38-E39</f>
        <v>0.25861322447950902</v>
      </c>
      <c r="D94" s="170">
        <f>F42-F38-F39</f>
        <v>6.6610311090048113E-2</v>
      </c>
      <c r="E94" s="170">
        <f>G42-G38-G39</f>
        <v>0.15278572112972116</v>
      </c>
      <c r="F94" s="170">
        <f t="shared" si="17"/>
        <v>6.3338141059137723E-2</v>
      </c>
      <c r="G94" s="170">
        <f>E94*Q$66+D94*Q$63-F94</f>
        <v>0.15278572112972116</v>
      </c>
      <c r="H94" s="171">
        <f t="shared" si="18"/>
        <v>0.83570305665471967</v>
      </c>
      <c r="I94" s="170">
        <f t="shared" si="19"/>
        <v>0.21612386218885887</v>
      </c>
    </row>
    <row r="95" spans="2:16">
      <c r="B95" s="169" t="s">
        <v>549</v>
      </c>
      <c r="C95" s="170">
        <f>SUM(C38:C39,E38:E39)</f>
        <v>1.1000000000000001E-2</v>
      </c>
      <c r="D95" s="170">
        <f>SUM(D38:D39,F38:F39)</f>
        <v>4.1292911411467932E-3</v>
      </c>
      <c r="E95" s="170">
        <f>G38+G39</f>
        <v>6.0053004126363104E-3</v>
      </c>
      <c r="F95" s="170">
        <f t="shared" si="17"/>
        <v>3.9264435264179231E-3</v>
      </c>
      <c r="G95" s="170">
        <f>MAX(C95*0.72,E95*Q$66+D95*Q$63)-F95</f>
        <v>6.0053004126363104E-3</v>
      </c>
      <c r="H95" s="171">
        <f>MAX(0.5,IF(C95,SUM(F95:G95)/C95,0.9))</f>
        <v>0.90288581264129386</v>
      </c>
      <c r="I95" s="170">
        <f>C95*H95</f>
        <v>9.9317439390542335E-3</v>
      </c>
    </row>
    <row r="96" spans="2:16">
      <c r="B96" s="169" t="s">
        <v>194</v>
      </c>
      <c r="C96" s="170">
        <f>E50</f>
        <v>0</v>
      </c>
      <c r="D96" s="170">
        <f>F50</f>
        <v>0</v>
      </c>
      <c r="E96" s="170">
        <f>G50</f>
        <v>0</v>
      </c>
      <c r="F96" s="170">
        <f>D96*Q$63</f>
        <v>0</v>
      </c>
      <c r="G96" s="170">
        <f>E96*Q$66</f>
        <v>0</v>
      </c>
      <c r="H96" s="171">
        <f t="shared" si="18"/>
        <v>0.9</v>
      </c>
      <c r="I96" s="170">
        <f t="shared" si="19"/>
        <v>0</v>
      </c>
    </row>
    <row r="97" spans="2:13">
      <c r="B97" s="169" t="s">
        <v>52</v>
      </c>
      <c r="C97" s="170">
        <f>SUM(C90:C96)</f>
        <v>77.556799999999996</v>
      </c>
      <c r="D97" s="170">
        <f>SUM(D90:D96)</f>
        <v>31.964176438733155</v>
      </c>
      <c r="E97" s="170">
        <f>SUM(E90:E96)</f>
        <v>37.546199999999999</v>
      </c>
      <c r="F97" s="170">
        <f>SUM(F90:F96)</f>
        <v>30.393965783746719</v>
      </c>
      <c r="G97" s="170">
        <f>SUM(G90:G96)</f>
        <v>37.546199999999999</v>
      </c>
      <c r="H97" s="171">
        <f ca="1">MAX(0.1,SUM(F97:G97)/(C97+Tiny))</f>
        <v>0.87600527333348865</v>
      </c>
      <c r="I97" s="170">
        <f t="shared" si="19"/>
        <v>67.940165782870707</v>
      </c>
    </row>
    <row r="99" spans="2:13" ht="16.5" thickBot="1">
      <c r="B99" s="168" t="s">
        <v>205</v>
      </c>
      <c r="C99" s="173"/>
      <c r="D99" s="173"/>
      <c r="E99" s="173" t="s">
        <v>327</v>
      </c>
      <c r="F99" s="173" t="s">
        <v>489</v>
      </c>
      <c r="G99" s="173" t="s">
        <v>332</v>
      </c>
      <c r="H99" s="173" t="s">
        <v>332</v>
      </c>
      <c r="I99" s="173"/>
    </row>
    <row r="100" spans="2:13" ht="13.5" thickTop="1">
      <c r="B100" s="172"/>
      <c r="C100" s="172" t="s">
        <v>329</v>
      </c>
      <c r="D100" s="172"/>
      <c r="E100" s="172" t="s">
        <v>205</v>
      </c>
      <c r="F100" s="172" t="s">
        <v>490</v>
      </c>
      <c r="G100" s="172" t="s">
        <v>205</v>
      </c>
      <c r="H100" s="172" t="s">
        <v>331</v>
      </c>
      <c r="I100" s="172" t="s">
        <v>54</v>
      </c>
      <c r="L100" s="172"/>
      <c r="M100" s="172" t="s">
        <v>329</v>
      </c>
    </row>
    <row r="101" spans="2:13">
      <c r="B101" s="169" t="s">
        <v>254</v>
      </c>
      <c r="C101" s="170">
        <f>H36</f>
        <v>0.3849967256442991</v>
      </c>
      <c r="D101" s="169"/>
      <c r="E101" s="170">
        <f>I36</f>
        <v>0.34290914516271875</v>
      </c>
      <c r="F101" s="216">
        <v>0.9</v>
      </c>
      <c r="G101" s="170">
        <f t="shared" ref="G101:G107" si="20">E101*Q$66</f>
        <v>0.34290914516271875</v>
      </c>
      <c r="H101" s="171">
        <f t="shared" ref="H101:H107" ca="1" si="21">IF(C101&gt;0,MAX(0.7*F101,G101/(C101+Tiny)),F101)</f>
        <v>0.89068067708413179</v>
      </c>
      <c r="I101" s="170">
        <f t="shared" ref="I101:I107" ca="1" si="22">MAX(Tiny,C101*H101)</f>
        <v>0.34290914427203806</v>
      </c>
      <c r="L101" s="169" t="s">
        <v>254</v>
      </c>
      <c r="M101" s="125">
        <f>SUM(C76,C90,C101)</f>
        <v>1.9565999999999999</v>
      </c>
    </row>
    <row r="102" spans="2:13">
      <c r="B102" s="169" t="s">
        <v>255</v>
      </c>
      <c r="C102" s="170">
        <f>H26</f>
        <v>4.9300696196018361</v>
      </c>
      <c r="D102" s="169"/>
      <c r="E102" s="170">
        <f>I26</f>
        <v>4.3911177582644694</v>
      </c>
      <c r="F102" s="216">
        <v>0.9</v>
      </c>
      <c r="G102" s="170">
        <f t="shared" si="20"/>
        <v>4.3911177582644694</v>
      </c>
      <c r="H102" s="171">
        <f t="shared" ca="1" si="21"/>
        <v>0.89068067921694494</v>
      </c>
      <c r="I102" s="170">
        <f t="shared" ca="1" si="22"/>
        <v>4.391117757373789</v>
      </c>
      <c r="L102" s="169" t="s">
        <v>255</v>
      </c>
      <c r="M102" s="125">
        <f t="shared" ref="M102:M108" si="23">SUM(C77,C91,C102)</f>
        <v>55.591560000000001</v>
      </c>
    </row>
    <row r="103" spans="2:13">
      <c r="B103" s="169" t="s">
        <v>256</v>
      </c>
      <c r="C103" s="170">
        <f>H47-H43</f>
        <v>2.4234036026148753</v>
      </c>
      <c r="D103" s="169"/>
      <c r="E103" s="170">
        <f>I47-I43</f>
        <v>2.218436510765839</v>
      </c>
      <c r="F103" s="216">
        <v>0.88</v>
      </c>
      <c r="G103" s="170">
        <f t="shared" si="20"/>
        <v>2.218436510765839</v>
      </c>
      <c r="H103" s="171">
        <f t="shared" ca="1" si="21"/>
        <v>0.9154218090031323</v>
      </c>
      <c r="I103" s="170">
        <f t="shared" ca="1" si="22"/>
        <v>2.2184365098504171</v>
      </c>
      <c r="L103" s="169" t="s">
        <v>256</v>
      </c>
      <c r="M103" s="125">
        <f t="shared" si="23"/>
        <v>27.003600000000002</v>
      </c>
    </row>
    <row r="104" spans="2:13">
      <c r="B104" s="169" t="s">
        <v>347</v>
      </c>
      <c r="C104" s="170">
        <f>H43</f>
        <v>7.4383276618499708E-2</v>
      </c>
      <c r="D104" s="169"/>
      <c r="E104" s="170">
        <f>I43</f>
        <v>6.3307225249746149E-2</v>
      </c>
      <c r="F104" s="216">
        <v>0.87</v>
      </c>
      <c r="G104" s="170">
        <f t="shared" si="20"/>
        <v>6.3307225249746149E-2</v>
      </c>
      <c r="H104" s="171">
        <f t="shared" ca="1" si="21"/>
        <v>0.85109485998236167</v>
      </c>
      <c r="I104" s="170">
        <f t="shared" ca="1" si="22"/>
        <v>6.3307224398651288E-2</v>
      </c>
      <c r="L104" s="169" t="s">
        <v>347</v>
      </c>
      <c r="M104" s="125">
        <f t="shared" si="23"/>
        <v>0.5482800000000001</v>
      </c>
    </row>
    <row r="105" spans="2:13">
      <c r="B105" s="169" t="s">
        <v>257</v>
      </c>
      <c r="C105" s="170">
        <f>H42-H38-H39</f>
        <v>0.48298677552049102</v>
      </c>
      <c r="D105" s="169"/>
      <c r="E105" s="170">
        <f>I42-I38-I39</f>
        <v>0.41106756761128849</v>
      </c>
      <c r="F105" s="216">
        <v>0.86</v>
      </c>
      <c r="G105" s="170">
        <f t="shared" si="20"/>
        <v>0.41106756761128849</v>
      </c>
      <c r="H105" s="171">
        <f t="shared" ca="1" si="21"/>
        <v>0.85109486966223113</v>
      </c>
      <c r="I105" s="170">
        <f t="shared" ca="1" si="22"/>
        <v>0.41106756676019357</v>
      </c>
      <c r="L105" s="169" t="s">
        <v>257</v>
      </c>
      <c r="M105" s="125">
        <f t="shared" si="23"/>
        <v>0.74160000000000004</v>
      </c>
    </row>
    <row r="106" spans="2:13">
      <c r="B106" s="169" t="s">
        <v>549</v>
      </c>
      <c r="C106" s="170">
        <f>H38+H39</f>
        <v>0</v>
      </c>
      <c r="D106" s="169"/>
      <c r="E106" s="170">
        <f>I38+I39</f>
        <v>0</v>
      </c>
      <c r="F106" s="216">
        <v>0.8</v>
      </c>
      <c r="G106" s="170">
        <f t="shared" si="20"/>
        <v>0</v>
      </c>
      <c r="H106" s="171">
        <f ca="1">IF(C106&gt;0,MAX(0.7*F106,G106/(C106+Tiny)),F106)</f>
        <v>0.8</v>
      </c>
      <c r="I106" s="170">
        <f ca="1">MAX(Tiny,C106*H106)</f>
        <v>1.0000000000000001E-9</v>
      </c>
      <c r="L106" s="169" t="s">
        <v>549</v>
      </c>
      <c r="M106" s="125">
        <f t="shared" si="23"/>
        <v>1.1000000000000001E-2</v>
      </c>
    </row>
    <row r="107" spans="2:13">
      <c r="B107" s="169" t="s">
        <v>194</v>
      </c>
      <c r="C107" s="170">
        <f>H50</f>
        <v>0.39052959168807766</v>
      </c>
      <c r="D107" s="169"/>
      <c r="E107" s="170">
        <f>I50</f>
        <v>0.58856179294593924</v>
      </c>
      <c r="F107" s="216">
        <v>0.9</v>
      </c>
      <c r="G107" s="170">
        <f t="shared" si="20"/>
        <v>0.58856179294593924</v>
      </c>
      <c r="H107" s="171">
        <f t="shared" ca="1" si="21"/>
        <v>1.5070862847928481</v>
      </c>
      <c r="I107" s="170">
        <f t="shared" ca="1" si="22"/>
        <v>0.5885617914388529</v>
      </c>
      <c r="L107" s="169" t="s">
        <v>194</v>
      </c>
      <c r="M107" s="125">
        <f t="shared" si="23"/>
        <v>0.39052959168807766</v>
      </c>
    </row>
    <row r="108" spans="2:13">
      <c r="B108" s="169" t="s">
        <v>52</v>
      </c>
      <c r="C108" s="170">
        <f>SUM(C101:C107)</f>
        <v>8.686369591688079</v>
      </c>
      <c r="D108" s="169"/>
      <c r="E108" s="170">
        <f>SUM(E101:E107)</f>
        <v>8.0154000000000014</v>
      </c>
      <c r="F108" s="169"/>
      <c r="G108" s="170">
        <f>SUM(G101:G107)</f>
        <v>8.0154000000000014</v>
      </c>
      <c r="H108" s="171">
        <f ca="1">MAX(0.1,SUM(F108:G108)/(C108+Tiny))</f>
        <v>0.92275603915669446</v>
      </c>
      <c r="I108" s="170">
        <f ca="1">C108*H108</f>
        <v>8.0153999990772444</v>
      </c>
      <c r="L108" s="169" t="s">
        <v>52</v>
      </c>
      <c r="M108" s="125">
        <f t="shared" si="23"/>
        <v>86.243169591688073</v>
      </c>
    </row>
    <row r="110" spans="2:13">
      <c r="C110" s="125"/>
      <c r="D110" s="125"/>
      <c r="E110" s="125"/>
      <c r="F110" s="125"/>
      <c r="G110" s="125"/>
      <c r="H110" s="125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10"/>
  <sheetViews>
    <sheetView topLeftCell="A31" zoomScale="80" zoomScaleNormal="100" workbookViewId="0">
      <selection activeCell="F62" sqref="F62:K68"/>
    </sheetView>
  </sheetViews>
  <sheetFormatPr defaultColWidth="9.140625" defaultRowHeight="12.75"/>
  <cols>
    <col min="1" max="1" width="12.5703125" customWidth="1"/>
    <col min="2" max="2" width="22.42578125" customWidth="1"/>
    <col min="3" max="3" width="9.140625" customWidth="1"/>
    <col min="4" max="4" width="9.7109375" customWidth="1"/>
    <col min="5" max="5" width="9.140625" customWidth="1"/>
    <col min="6" max="6" width="9.85546875" customWidth="1"/>
    <col min="7" max="15" width="9.140625" customWidth="1"/>
    <col min="16" max="16" width="10" customWidth="1"/>
    <col min="17" max="251" width="9.140625" customWidth="1"/>
  </cols>
  <sheetData>
    <row r="1" spans="1:26" ht="15.75">
      <c r="A1" s="121" t="s">
        <v>211</v>
      </c>
      <c r="C1" s="13"/>
      <c r="D1" s="17"/>
      <c r="E1" s="135" t="s">
        <v>307</v>
      </c>
      <c r="F1" s="135" t="str">
        <f ca="1">MID(CELL("filename",E1),FIND("VT_",CELL("filename",E1))+3,3)</f>
        <v>FI_</v>
      </c>
      <c r="G1" s="135" t="s">
        <v>309</v>
      </c>
      <c r="H1" s="136">
        <v>1.0000000000000001E-9</v>
      </c>
      <c r="I1" s="8"/>
      <c r="J1" s="42" t="s">
        <v>268</v>
      </c>
      <c r="K1" s="37" t="s">
        <v>85</v>
      </c>
      <c r="L1" s="17"/>
      <c r="M1" s="38"/>
      <c r="N1" s="40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C2" s="12"/>
      <c r="D2" s="17"/>
      <c r="G2" s="17"/>
      <c r="H2" s="17"/>
      <c r="I2" s="8"/>
      <c r="J2" s="42" t="s">
        <v>118</v>
      </c>
      <c r="K2" s="37" t="s">
        <v>125</v>
      </c>
      <c r="L2" s="17"/>
      <c r="M2" s="40"/>
      <c r="N2" s="40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>
      <c r="C3" s="12"/>
      <c r="D3" s="17"/>
      <c r="G3" s="17"/>
      <c r="H3" s="17"/>
      <c r="I3" s="17"/>
      <c r="J3" s="17"/>
      <c r="K3" s="17"/>
      <c r="L3" s="17"/>
      <c r="M3" s="40"/>
      <c r="N3" s="40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3.5" thickBot="1">
      <c r="A4" s="37" t="s">
        <v>238</v>
      </c>
      <c r="B4" s="43" t="s">
        <v>126</v>
      </c>
      <c r="C4" s="10"/>
      <c r="D4" s="17"/>
      <c r="G4" s="17"/>
      <c r="H4" s="17"/>
      <c r="I4" s="17"/>
      <c r="J4" s="17"/>
      <c r="K4" s="17"/>
      <c r="L4" s="106" t="s">
        <v>111</v>
      </c>
      <c r="M4" s="114"/>
      <c r="N4" s="40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23.25" thickBot="1">
      <c r="A5" s="37" t="s">
        <v>239</v>
      </c>
      <c r="B5" s="88" t="s">
        <v>237</v>
      </c>
      <c r="C5" s="14"/>
      <c r="D5" s="17"/>
      <c r="E5" s="108"/>
      <c r="F5" s="107" t="s">
        <v>150</v>
      </c>
      <c r="G5" s="108"/>
      <c r="H5" s="17"/>
      <c r="I5" s="37" t="s">
        <v>64</v>
      </c>
      <c r="J5" s="44">
        <f ca="1">(C26+C36+C42+C47)/(D26+D36+D42+D47+Tiny)</f>
        <v>0</v>
      </c>
      <c r="K5" s="17"/>
      <c r="L5" s="37" t="s">
        <v>58</v>
      </c>
      <c r="M5" s="70">
        <f>IF(D49,C49/D49,1)</f>
        <v>1</v>
      </c>
      <c r="N5" s="8"/>
      <c r="O5" s="8"/>
      <c r="P5" s="8"/>
      <c r="Q5" s="8"/>
      <c r="R5" s="8"/>
    </row>
    <row r="6" spans="1:26">
      <c r="A6" s="37" t="s">
        <v>240</v>
      </c>
      <c r="B6" s="43">
        <v>2017</v>
      </c>
      <c r="C6" s="10"/>
      <c r="D6" s="17"/>
      <c r="E6" s="7" t="s">
        <v>139</v>
      </c>
      <c r="F6" s="45">
        <v>4.1868000000000002E-2</v>
      </c>
      <c r="G6" s="19" t="s">
        <v>137</v>
      </c>
      <c r="H6" s="17"/>
      <c r="I6" s="37" t="s">
        <v>71</v>
      </c>
      <c r="J6" s="46">
        <f>IF(J5,1/J5,1)</f>
        <v>1</v>
      </c>
      <c r="K6" s="17"/>
      <c r="L6" s="37" t="s">
        <v>112</v>
      </c>
      <c r="M6" s="70">
        <f>IF(D48&gt;0,C48/D48,1)</f>
        <v>1</v>
      </c>
      <c r="N6" s="8"/>
      <c r="O6" s="8"/>
      <c r="P6" s="8"/>
      <c r="Q6" s="8"/>
      <c r="R6" s="8"/>
    </row>
    <row r="7" spans="1:26">
      <c r="A7" s="37" t="s">
        <v>241</v>
      </c>
      <c r="B7" s="43">
        <v>1</v>
      </c>
      <c r="C7" s="38"/>
      <c r="D7" s="17"/>
      <c r="E7" s="7" t="s">
        <v>140</v>
      </c>
      <c r="F7" s="45">
        <f>3.6/1000</f>
        <v>3.5999999999999999E-3</v>
      </c>
      <c r="G7" s="19" t="s">
        <v>137</v>
      </c>
      <c r="H7" s="17"/>
      <c r="I7" s="37" t="s">
        <v>72</v>
      </c>
      <c r="J7" s="44">
        <f>IF(I55=0,1,H55/I55)</f>
        <v>0.56663961488862979</v>
      </c>
      <c r="K7" s="17"/>
      <c r="L7" s="37" t="s">
        <v>113</v>
      </c>
      <c r="M7" s="70">
        <v>2.5253149727915649</v>
      </c>
      <c r="N7" s="8"/>
      <c r="O7" s="8"/>
      <c r="P7" s="8"/>
      <c r="Q7" s="8"/>
      <c r="R7" s="8"/>
    </row>
    <row r="8" spans="1:26">
      <c r="A8" s="47" t="s">
        <v>153</v>
      </c>
      <c r="B8" s="43">
        <v>0</v>
      </c>
      <c r="C8" s="38"/>
      <c r="D8" s="17"/>
      <c r="E8" s="7" t="s">
        <v>142</v>
      </c>
      <c r="F8" s="45">
        <f>24*365*F7</f>
        <v>31.535999999999998</v>
      </c>
      <c r="G8" s="19" t="s">
        <v>137</v>
      </c>
      <c r="H8" s="17"/>
      <c r="I8" s="37" t="s">
        <v>73</v>
      </c>
      <c r="J8" s="46">
        <f>1/J7</f>
        <v>1.7647901306662879</v>
      </c>
      <c r="K8" s="17"/>
      <c r="L8" s="37" t="s">
        <v>194</v>
      </c>
      <c r="M8" s="70">
        <v>6.0972348732123196</v>
      </c>
      <c r="N8" s="8"/>
      <c r="O8" s="8"/>
      <c r="P8" s="8"/>
      <c r="Q8" s="8"/>
      <c r="R8" s="8"/>
    </row>
    <row r="9" spans="1:26">
      <c r="A9" s="47" t="s">
        <v>154</v>
      </c>
      <c r="B9" s="43">
        <v>0</v>
      </c>
      <c r="C9" s="38"/>
      <c r="D9" s="17"/>
      <c r="E9" s="7" t="s">
        <v>141</v>
      </c>
      <c r="F9" s="45">
        <f>1/1000</f>
        <v>1E-3</v>
      </c>
      <c r="G9" s="19" t="s">
        <v>137</v>
      </c>
      <c r="H9" s="17"/>
      <c r="I9" s="17"/>
      <c r="J9" s="17"/>
      <c r="K9" s="17"/>
      <c r="L9" s="8"/>
      <c r="M9" s="8"/>
      <c r="N9" s="8"/>
      <c r="O9" s="8"/>
      <c r="P9" s="8"/>
      <c r="Q9" s="8"/>
      <c r="R9" s="8"/>
    </row>
    <row r="10" spans="1:26">
      <c r="A10" s="47" t="s">
        <v>155</v>
      </c>
      <c r="B10" s="43">
        <v>0</v>
      </c>
      <c r="C10" s="8"/>
      <c r="D10" s="8"/>
      <c r="E10" s="22"/>
      <c r="F10" s="22"/>
      <c r="G10" s="22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26">
      <c r="A11" s="8"/>
      <c r="B11" s="8"/>
      <c r="C11" s="8"/>
      <c r="D11" s="8"/>
      <c r="E11" s="22"/>
      <c r="F11" s="22"/>
      <c r="G11" s="22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26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26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26" ht="18">
      <c r="A14" s="32" t="s">
        <v>209</v>
      </c>
      <c r="B14" s="48"/>
      <c r="C14" s="8"/>
      <c r="G14" s="22"/>
      <c r="H14" s="8"/>
      <c r="I14" s="8"/>
      <c r="J14" s="8"/>
      <c r="K14" s="8"/>
      <c r="L14" s="8"/>
      <c r="M14" s="32" t="s">
        <v>74</v>
      </c>
      <c r="N14" s="32"/>
      <c r="O14" s="32"/>
      <c r="P14" s="32"/>
      <c r="Q14" s="48"/>
      <c r="R14" s="49"/>
    </row>
    <row r="15" spans="1:26">
      <c r="A15" s="109"/>
      <c r="B15" s="109"/>
      <c r="C15" s="110" t="s">
        <v>36</v>
      </c>
      <c r="D15" s="111"/>
      <c r="E15" s="110" t="s">
        <v>37</v>
      </c>
      <c r="F15" s="111"/>
      <c r="G15" s="111"/>
      <c r="H15" s="110" t="s">
        <v>38</v>
      </c>
      <c r="I15" s="111"/>
      <c r="J15" s="110" t="s">
        <v>75</v>
      </c>
      <c r="K15" s="111"/>
      <c r="L15" s="8"/>
      <c r="M15" s="110" t="s">
        <v>76</v>
      </c>
      <c r="N15" s="109"/>
      <c r="O15" s="110" t="s">
        <v>77</v>
      </c>
      <c r="P15" s="109"/>
      <c r="Q15" s="110" t="s">
        <v>78</v>
      </c>
      <c r="R15" s="109"/>
    </row>
    <row r="16" spans="1:26">
      <c r="A16" s="41"/>
      <c r="B16" s="19"/>
      <c r="C16" s="7" t="s">
        <v>157</v>
      </c>
      <c r="D16" s="7" t="s">
        <v>163</v>
      </c>
      <c r="E16" s="7" t="s">
        <v>157</v>
      </c>
      <c r="F16" s="7" t="s">
        <v>163</v>
      </c>
      <c r="G16" s="7" t="s">
        <v>162</v>
      </c>
      <c r="H16" s="7" t="s">
        <v>157</v>
      </c>
      <c r="I16" s="7" t="s">
        <v>162</v>
      </c>
      <c r="J16" s="7"/>
      <c r="K16" s="7"/>
      <c r="L16" s="8"/>
      <c r="M16" s="41"/>
      <c r="N16" s="41"/>
      <c r="O16" s="41"/>
      <c r="P16" s="41"/>
      <c r="Q16" s="41"/>
      <c r="R16" s="41"/>
    </row>
    <row r="17" spans="1:26">
      <c r="A17" s="41"/>
      <c r="B17" s="104"/>
      <c r="C17" s="119">
        <f>-$F$6</f>
        <v>-4.1868000000000002E-2</v>
      </c>
      <c r="D17" s="119">
        <f>$F$7</f>
        <v>3.5999999999999999E-3</v>
      </c>
      <c r="E17" s="119">
        <f>-$F$6</f>
        <v>-4.1868000000000002E-2</v>
      </c>
      <c r="F17" s="119">
        <f>$F$7</f>
        <v>3.5999999999999999E-3</v>
      </c>
      <c r="G17" s="119">
        <f>$F$9</f>
        <v>1E-3</v>
      </c>
      <c r="H17" s="119">
        <f>-$F$6</f>
        <v>-4.1868000000000002E-2</v>
      </c>
      <c r="I17" s="119">
        <f>$F$9</f>
        <v>1E-3</v>
      </c>
      <c r="J17" s="119">
        <f>$F$7</f>
        <v>3.5999999999999999E-3</v>
      </c>
      <c r="K17" s="119">
        <f>$F$9</f>
        <v>1E-3</v>
      </c>
      <c r="L17" s="8"/>
      <c r="M17" s="51" t="s">
        <v>79</v>
      </c>
      <c r="N17" s="41"/>
      <c r="O17" s="51" t="s">
        <v>79</v>
      </c>
      <c r="P17" s="41"/>
      <c r="Q17" s="51" t="s">
        <v>79</v>
      </c>
      <c r="R17" s="41"/>
    </row>
    <row r="18" spans="1:26" ht="23.25" thickBot="1">
      <c r="A18" s="112" t="s">
        <v>210</v>
      </c>
      <c r="B18" s="124" t="s">
        <v>242</v>
      </c>
      <c r="C18" s="113" t="s">
        <v>243</v>
      </c>
      <c r="D18" s="113" t="s">
        <v>244</v>
      </c>
      <c r="E18" s="113" t="s">
        <v>245</v>
      </c>
      <c r="F18" s="113" t="s">
        <v>246</v>
      </c>
      <c r="G18" s="113" t="s">
        <v>247</v>
      </c>
      <c r="H18" s="113" t="s">
        <v>248</v>
      </c>
      <c r="I18" s="113" t="s">
        <v>249</v>
      </c>
      <c r="J18" s="113" t="s">
        <v>127</v>
      </c>
      <c r="K18" s="113" t="s">
        <v>250</v>
      </c>
      <c r="L18" s="8"/>
      <c r="M18" s="113" t="s">
        <v>80</v>
      </c>
      <c r="N18" s="113" t="s">
        <v>81</v>
      </c>
      <c r="O18" s="113" t="s">
        <v>80</v>
      </c>
      <c r="P18" s="113" t="s">
        <v>81</v>
      </c>
      <c r="Q18" s="113" t="s">
        <v>80</v>
      </c>
      <c r="R18" s="113" t="s">
        <v>81</v>
      </c>
    </row>
    <row r="19" spans="1:26">
      <c r="A19" s="51" t="s">
        <v>4</v>
      </c>
      <c r="B19" s="50" t="s">
        <v>144</v>
      </c>
      <c r="C19" s="52">
        <v>0</v>
      </c>
      <c r="D19" s="53">
        <v>0</v>
      </c>
      <c r="E19" s="62">
        <v>0</v>
      </c>
      <c r="F19" s="53">
        <v>0</v>
      </c>
      <c r="G19" s="53">
        <v>0</v>
      </c>
      <c r="H19" s="62">
        <v>0</v>
      </c>
      <c r="I19" s="63">
        <v>0</v>
      </c>
      <c r="J19" s="62">
        <v>0</v>
      </c>
      <c r="K19" s="63">
        <v>0</v>
      </c>
      <c r="L19" s="8"/>
      <c r="M19" s="52">
        <f t="shared" ref="M19:M54" si="0">C19+E19-G19</f>
        <v>0</v>
      </c>
      <c r="N19" s="53">
        <f t="shared" ref="N19:N47" si="1">C19+E19-G19</f>
        <v>0</v>
      </c>
      <c r="O19" s="52">
        <f t="shared" ref="O19:O54" si="2">G19+H19</f>
        <v>0</v>
      </c>
      <c r="P19" s="53">
        <f t="shared" ref="P19:P47" si="3">H19+G19</f>
        <v>0</v>
      </c>
      <c r="Q19" s="52">
        <f t="shared" ref="Q19:Q54" si="4">C19+E19+H19</f>
        <v>0</v>
      </c>
      <c r="R19" s="53">
        <f t="shared" ref="R19:R47" si="5">C19+E19+H19</f>
        <v>0</v>
      </c>
    </row>
    <row r="20" spans="1:26">
      <c r="A20" s="51" t="s">
        <v>6</v>
      </c>
      <c r="B20" s="50" t="s">
        <v>173</v>
      </c>
      <c r="C20" s="52">
        <v>0</v>
      </c>
      <c r="D20" s="53">
        <v>0</v>
      </c>
      <c r="E20" s="62">
        <v>0</v>
      </c>
      <c r="F20" s="53">
        <v>0</v>
      </c>
      <c r="G20" s="53">
        <v>0</v>
      </c>
      <c r="H20" s="62">
        <v>0</v>
      </c>
      <c r="I20" s="63">
        <v>0</v>
      </c>
      <c r="J20" s="62">
        <v>0</v>
      </c>
      <c r="K20" s="63">
        <v>0</v>
      </c>
      <c r="L20" s="8"/>
      <c r="M20" s="52">
        <f t="shared" si="0"/>
        <v>0</v>
      </c>
      <c r="N20" s="53">
        <f t="shared" si="1"/>
        <v>0</v>
      </c>
      <c r="O20" s="52">
        <f t="shared" si="2"/>
        <v>0</v>
      </c>
      <c r="P20" s="53">
        <f t="shared" si="3"/>
        <v>0</v>
      </c>
      <c r="Q20" s="52">
        <f t="shared" si="4"/>
        <v>0</v>
      </c>
      <c r="R20" s="53">
        <f t="shared" si="5"/>
        <v>0</v>
      </c>
    </row>
    <row r="21" spans="1:26">
      <c r="A21" s="51" t="s">
        <v>5</v>
      </c>
      <c r="B21" s="50" t="s">
        <v>174</v>
      </c>
      <c r="C21" s="52">
        <v>0</v>
      </c>
      <c r="D21" s="53">
        <v>0</v>
      </c>
      <c r="E21" s="62">
        <v>0</v>
      </c>
      <c r="F21" s="53">
        <v>0</v>
      </c>
      <c r="G21" s="53">
        <v>0</v>
      </c>
      <c r="H21" s="62">
        <v>0</v>
      </c>
      <c r="I21" s="63">
        <v>0</v>
      </c>
      <c r="J21" s="62">
        <v>0</v>
      </c>
      <c r="K21" s="63">
        <v>0</v>
      </c>
      <c r="L21" s="8"/>
      <c r="M21" s="52">
        <f t="shared" si="0"/>
        <v>0</v>
      </c>
      <c r="N21" s="53">
        <f t="shared" si="1"/>
        <v>0</v>
      </c>
      <c r="O21" s="52">
        <f t="shared" si="2"/>
        <v>0</v>
      </c>
      <c r="P21" s="53">
        <f t="shared" si="3"/>
        <v>0</v>
      </c>
      <c r="Q21" s="52">
        <f t="shared" si="4"/>
        <v>0</v>
      </c>
      <c r="R21" s="53">
        <f t="shared" si="5"/>
        <v>0</v>
      </c>
    </row>
    <row r="22" spans="1:26">
      <c r="A22" s="51" t="s">
        <v>7</v>
      </c>
      <c r="B22" s="50" t="s">
        <v>175</v>
      </c>
      <c r="C22" s="52">
        <v>0</v>
      </c>
      <c r="D22" s="53">
        <v>0</v>
      </c>
      <c r="E22" s="62">
        <v>0</v>
      </c>
      <c r="F22" s="53">
        <v>0</v>
      </c>
      <c r="G22" s="53">
        <v>0</v>
      </c>
      <c r="H22" s="62">
        <v>0</v>
      </c>
      <c r="I22" s="63">
        <v>0</v>
      </c>
      <c r="J22" s="62">
        <v>0</v>
      </c>
      <c r="K22" s="63">
        <v>0</v>
      </c>
      <c r="L22" s="8"/>
      <c r="M22" s="52">
        <f t="shared" si="0"/>
        <v>0</v>
      </c>
      <c r="N22" s="53">
        <f t="shared" si="1"/>
        <v>0</v>
      </c>
      <c r="O22" s="52">
        <f t="shared" si="2"/>
        <v>0</v>
      </c>
      <c r="P22" s="53">
        <f t="shared" si="3"/>
        <v>0</v>
      </c>
      <c r="Q22" s="52">
        <f t="shared" si="4"/>
        <v>0</v>
      </c>
      <c r="R22" s="53">
        <f t="shared" si="5"/>
        <v>0</v>
      </c>
    </row>
    <row r="23" spans="1:26">
      <c r="A23" s="51" t="s">
        <v>10</v>
      </c>
      <c r="B23" s="50" t="s">
        <v>176</v>
      </c>
      <c r="C23" s="52">
        <v>0</v>
      </c>
      <c r="D23" s="53">
        <v>0</v>
      </c>
      <c r="E23" s="62">
        <v>16.601400000000002</v>
      </c>
      <c r="F23" s="53">
        <v>7.1313709434684025</v>
      </c>
      <c r="G23" s="53">
        <v>7.9402054215121369</v>
      </c>
      <c r="H23" s="62">
        <v>1.93896</v>
      </c>
      <c r="I23" s="63">
        <v>1.8928491379943799</v>
      </c>
      <c r="J23" s="62">
        <v>7.1313709434684025</v>
      </c>
      <c r="K23" s="63">
        <v>9.8330545595065164</v>
      </c>
      <c r="L23" s="8"/>
      <c r="M23" s="52">
        <f t="shared" si="0"/>
        <v>8.6611945784878657</v>
      </c>
      <c r="N23" s="53">
        <f t="shared" si="1"/>
        <v>8.6611945784878657</v>
      </c>
      <c r="O23" s="52">
        <f t="shared" si="2"/>
        <v>9.8791654215121376</v>
      </c>
      <c r="P23" s="53">
        <f t="shared" si="3"/>
        <v>9.8791654215121376</v>
      </c>
      <c r="Q23" s="52">
        <f t="shared" si="4"/>
        <v>18.540360000000003</v>
      </c>
      <c r="R23" s="53">
        <f t="shared" si="5"/>
        <v>18.540360000000003</v>
      </c>
      <c r="S23" s="8"/>
      <c r="T23" s="8"/>
      <c r="U23" s="8"/>
      <c r="V23" s="8"/>
      <c r="W23" s="8"/>
      <c r="X23" s="8"/>
      <c r="Y23" s="8"/>
      <c r="Z23" s="8"/>
    </row>
    <row r="24" spans="1:26">
      <c r="A24" s="51" t="s">
        <v>17</v>
      </c>
      <c r="B24" s="50" t="s">
        <v>177</v>
      </c>
      <c r="C24" s="52">
        <v>0</v>
      </c>
      <c r="D24" s="53">
        <v>0</v>
      </c>
      <c r="E24" s="62">
        <v>0</v>
      </c>
      <c r="F24" s="53">
        <v>0</v>
      </c>
      <c r="G24" s="53">
        <v>0</v>
      </c>
      <c r="H24" s="62">
        <v>0</v>
      </c>
      <c r="I24" s="63">
        <v>0</v>
      </c>
      <c r="J24" s="62">
        <v>0</v>
      </c>
      <c r="K24" s="63">
        <v>0</v>
      </c>
      <c r="L24" s="8"/>
      <c r="M24" s="52">
        <f t="shared" si="0"/>
        <v>0</v>
      </c>
      <c r="N24" s="53">
        <f t="shared" si="1"/>
        <v>0</v>
      </c>
      <c r="O24" s="52">
        <f t="shared" si="2"/>
        <v>0</v>
      </c>
      <c r="P24" s="53">
        <f t="shared" si="3"/>
        <v>0</v>
      </c>
      <c r="Q24" s="52">
        <f t="shared" si="4"/>
        <v>0</v>
      </c>
      <c r="R24" s="53">
        <f t="shared" si="5"/>
        <v>0</v>
      </c>
      <c r="S24" s="8"/>
      <c r="T24" s="8"/>
      <c r="U24" s="8"/>
      <c r="V24" s="8"/>
      <c r="W24" s="8"/>
      <c r="X24" s="8"/>
      <c r="Y24" s="8"/>
      <c r="Z24" s="8"/>
    </row>
    <row r="25" spans="1:26">
      <c r="A25" s="51" t="s">
        <v>235</v>
      </c>
      <c r="B25" s="50" t="s">
        <v>178</v>
      </c>
      <c r="C25" s="52">
        <v>0</v>
      </c>
      <c r="D25" s="53">
        <v>0</v>
      </c>
      <c r="E25" s="62">
        <v>0</v>
      </c>
      <c r="F25" s="53">
        <v>0</v>
      </c>
      <c r="G25" s="53">
        <v>0</v>
      </c>
      <c r="H25" s="62">
        <v>0</v>
      </c>
      <c r="I25" s="63">
        <v>0</v>
      </c>
      <c r="J25" s="62">
        <v>0</v>
      </c>
      <c r="K25" s="63">
        <v>0</v>
      </c>
      <c r="L25" s="8"/>
      <c r="M25" s="52">
        <f t="shared" si="0"/>
        <v>0</v>
      </c>
      <c r="N25" s="53">
        <f t="shared" si="1"/>
        <v>0</v>
      </c>
      <c r="O25" s="52">
        <f t="shared" si="2"/>
        <v>0</v>
      </c>
      <c r="P25" s="53">
        <f t="shared" si="3"/>
        <v>0</v>
      </c>
      <c r="Q25" s="52">
        <f t="shared" si="4"/>
        <v>0</v>
      </c>
      <c r="R25" s="53">
        <f t="shared" si="5"/>
        <v>0</v>
      </c>
      <c r="S25" s="8"/>
      <c r="T25" s="8"/>
      <c r="U25" s="8"/>
      <c r="V25" s="8"/>
      <c r="W25" s="8"/>
      <c r="X25" s="8"/>
      <c r="Y25" s="8"/>
      <c r="Z25" s="8"/>
    </row>
    <row r="26" spans="1:26">
      <c r="A26" s="51" t="s">
        <v>151</v>
      </c>
      <c r="B26" s="54" t="s">
        <v>83</v>
      </c>
      <c r="C26" s="64">
        <f t="shared" ref="C26:K26" si="6">C19+C23</f>
        <v>0</v>
      </c>
      <c r="D26" s="65">
        <f t="shared" si="6"/>
        <v>0</v>
      </c>
      <c r="E26" s="66">
        <f t="shared" si="6"/>
        <v>16.601400000000002</v>
      </c>
      <c r="F26" s="65">
        <f t="shared" si="6"/>
        <v>7.1313709434684025</v>
      </c>
      <c r="G26" s="65">
        <f t="shared" si="6"/>
        <v>7.9402054215121369</v>
      </c>
      <c r="H26" s="66">
        <f t="shared" si="6"/>
        <v>1.93896</v>
      </c>
      <c r="I26" s="67">
        <f t="shared" si="6"/>
        <v>1.8928491379943799</v>
      </c>
      <c r="J26" s="66">
        <f t="shared" si="6"/>
        <v>7.1313709434684025</v>
      </c>
      <c r="K26" s="67">
        <f t="shared" si="6"/>
        <v>9.8330545595065164</v>
      </c>
      <c r="L26" s="8"/>
      <c r="M26" s="55">
        <f t="shared" si="0"/>
        <v>8.6611945784878657</v>
      </c>
      <c r="N26" s="56">
        <f t="shared" si="1"/>
        <v>8.6611945784878657</v>
      </c>
      <c r="O26" s="55">
        <f t="shared" si="2"/>
        <v>9.8791654215121376</v>
      </c>
      <c r="P26" s="56">
        <f t="shared" si="3"/>
        <v>9.8791654215121376</v>
      </c>
      <c r="Q26" s="55">
        <f t="shared" si="4"/>
        <v>18.540360000000003</v>
      </c>
      <c r="R26" s="56">
        <f t="shared" si="5"/>
        <v>18.540360000000003</v>
      </c>
      <c r="S26" s="8"/>
      <c r="T26" s="8"/>
      <c r="U26" s="8"/>
      <c r="V26" s="8"/>
      <c r="W26" s="8"/>
      <c r="X26" s="8"/>
      <c r="Y26" s="8"/>
      <c r="Z26" s="8"/>
    </row>
    <row r="27" spans="1:26">
      <c r="A27" s="51" t="s">
        <v>13</v>
      </c>
      <c r="B27" s="50" t="s">
        <v>179</v>
      </c>
      <c r="C27" s="52">
        <v>0</v>
      </c>
      <c r="D27" s="53">
        <v>0</v>
      </c>
      <c r="E27" s="62">
        <v>0</v>
      </c>
      <c r="F27" s="53">
        <v>0</v>
      </c>
      <c r="G27" s="53">
        <v>0</v>
      </c>
      <c r="H27" s="62">
        <v>0</v>
      </c>
      <c r="I27" s="63">
        <v>0</v>
      </c>
      <c r="J27" s="62">
        <v>0</v>
      </c>
      <c r="K27" s="63">
        <v>0</v>
      </c>
      <c r="L27" s="8"/>
      <c r="M27" s="52">
        <f t="shared" si="0"/>
        <v>0</v>
      </c>
      <c r="N27" s="53">
        <f t="shared" si="1"/>
        <v>0</v>
      </c>
      <c r="O27" s="52">
        <f t="shared" si="2"/>
        <v>0</v>
      </c>
      <c r="P27" s="53">
        <f t="shared" si="3"/>
        <v>0</v>
      </c>
      <c r="Q27" s="52">
        <f t="shared" si="4"/>
        <v>0</v>
      </c>
      <c r="R27" s="53">
        <f t="shared" si="5"/>
        <v>0</v>
      </c>
      <c r="S27" s="8"/>
      <c r="T27" s="8"/>
      <c r="U27" s="8"/>
      <c r="V27" s="8"/>
      <c r="W27" s="8"/>
      <c r="X27" s="8"/>
      <c r="Y27" s="8"/>
      <c r="Z27" s="8"/>
    </row>
    <row r="28" spans="1:26">
      <c r="A28" s="51" t="s">
        <v>25</v>
      </c>
      <c r="B28" s="50" t="s">
        <v>180</v>
      </c>
      <c r="C28" s="52">
        <v>0</v>
      </c>
      <c r="D28" s="53">
        <v>0</v>
      </c>
      <c r="E28" s="62">
        <v>0</v>
      </c>
      <c r="F28" s="53">
        <v>0</v>
      </c>
      <c r="G28" s="53">
        <v>0</v>
      </c>
      <c r="H28" s="62">
        <v>0</v>
      </c>
      <c r="I28" s="63">
        <v>0</v>
      </c>
      <c r="J28" s="62">
        <v>0</v>
      </c>
      <c r="K28" s="63">
        <v>0</v>
      </c>
      <c r="L28" s="8"/>
      <c r="M28" s="52">
        <f t="shared" si="0"/>
        <v>0</v>
      </c>
      <c r="N28" s="53">
        <f t="shared" si="1"/>
        <v>0</v>
      </c>
      <c r="O28" s="52">
        <f t="shared" si="2"/>
        <v>0</v>
      </c>
      <c r="P28" s="53">
        <f t="shared" si="3"/>
        <v>0</v>
      </c>
      <c r="Q28" s="52">
        <f t="shared" si="4"/>
        <v>0</v>
      </c>
      <c r="R28" s="53">
        <f t="shared" si="5"/>
        <v>0</v>
      </c>
      <c r="S28" s="8"/>
      <c r="T28" s="8"/>
      <c r="U28" s="8"/>
      <c r="V28" s="8"/>
      <c r="W28" s="8"/>
      <c r="X28" s="8"/>
      <c r="Y28" s="8"/>
      <c r="Z28" s="8"/>
    </row>
    <row r="29" spans="1:26">
      <c r="A29" s="51" t="s">
        <v>20</v>
      </c>
      <c r="B29" s="50" t="s">
        <v>181</v>
      </c>
      <c r="C29" s="52">
        <v>0</v>
      </c>
      <c r="D29" s="53">
        <v>0</v>
      </c>
      <c r="E29" s="62">
        <v>0</v>
      </c>
      <c r="F29" s="53">
        <v>0</v>
      </c>
      <c r="G29" s="53">
        <v>0</v>
      </c>
      <c r="H29" s="62">
        <v>0</v>
      </c>
      <c r="I29" s="63">
        <v>0</v>
      </c>
      <c r="J29" s="62">
        <v>0</v>
      </c>
      <c r="K29" s="63">
        <v>0</v>
      </c>
      <c r="L29" s="8"/>
      <c r="M29" s="52">
        <f t="shared" si="0"/>
        <v>0</v>
      </c>
      <c r="N29" s="53">
        <f t="shared" si="1"/>
        <v>0</v>
      </c>
      <c r="O29" s="52">
        <f t="shared" si="2"/>
        <v>0</v>
      </c>
      <c r="P29" s="53">
        <f t="shared" si="3"/>
        <v>0</v>
      </c>
      <c r="Q29" s="52">
        <f t="shared" si="4"/>
        <v>0</v>
      </c>
      <c r="R29" s="53">
        <f t="shared" si="5"/>
        <v>0</v>
      </c>
      <c r="S29" s="8"/>
      <c r="T29" s="8"/>
      <c r="U29" s="8"/>
      <c r="V29" s="8"/>
      <c r="W29" s="8"/>
      <c r="X29" s="8"/>
      <c r="Y29" s="8"/>
      <c r="Z29" s="8"/>
    </row>
    <row r="30" spans="1:26">
      <c r="A30" s="51" t="s">
        <v>27</v>
      </c>
      <c r="B30" s="50" t="s">
        <v>182</v>
      </c>
      <c r="C30" s="52">
        <v>0</v>
      </c>
      <c r="D30" s="53">
        <v>0</v>
      </c>
      <c r="E30" s="62">
        <v>0</v>
      </c>
      <c r="F30" s="53">
        <v>0</v>
      </c>
      <c r="G30" s="53">
        <v>0</v>
      </c>
      <c r="H30" s="62">
        <v>0</v>
      </c>
      <c r="I30" s="63">
        <v>0</v>
      </c>
      <c r="J30" s="62">
        <v>0</v>
      </c>
      <c r="K30" s="63">
        <v>0</v>
      </c>
      <c r="L30" s="8"/>
      <c r="M30" s="52">
        <f t="shared" si="0"/>
        <v>0</v>
      </c>
      <c r="N30" s="53">
        <f t="shared" si="1"/>
        <v>0</v>
      </c>
      <c r="O30" s="52">
        <f t="shared" si="2"/>
        <v>0</v>
      </c>
      <c r="P30" s="53">
        <f t="shared" si="3"/>
        <v>0</v>
      </c>
      <c r="Q30" s="52">
        <f t="shared" si="4"/>
        <v>0</v>
      </c>
      <c r="R30" s="53">
        <f t="shared" si="5"/>
        <v>0</v>
      </c>
      <c r="S30" s="8"/>
      <c r="T30" s="8"/>
      <c r="U30" s="8"/>
      <c r="V30" s="8"/>
      <c r="W30" s="8"/>
      <c r="X30" s="8"/>
      <c r="Y30" s="8"/>
      <c r="Z30" s="8"/>
    </row>
    <row r="31" spans="1:26">
      <c r="A31" s="51" t="s">
        <v>14</v>
      </c>
      <c r="B31" s="50" t="s">
        <v>183</v>
      </c>
      <c r="C31" s="52">
        <v>0</v>
      </c>
      <c r="D31" s="53">
        <v>0</v>
      </c>
      <c r="E31" s="62">
        <v>0</v>
      </c>
      <c r="F31" s="53">
        <v>0</v>
      </c>
      <c r="G31" s="53">
        <v>0</v>
      </c>
      <c r="H31" s="62">
        <v>0</v>
      </c>
      <c r="I31" s="63">
        <v>0</v>
      </c>
      <c r="J31" s="62">
        <v>0</v>
      </c>
      <c r="K31" s="63">
        <v>0</v>
      </c>
      <c r="L31" s="8"/>
      <c r="M31" s="52">
        <f t="shared" si="0"/>
        <v>0</v>
      </c>
      <c r="N31" s="53">
        <f t="shared" si="1"/>
        <v>0</v>
      </c>
      <c r="O31" s="52">
        <f t="shared" si="2"/>
        <v>0</v>
      </c>
      <c r="P31" s="53">
        <f t="shared" si="3"/>
        <v>0</v>
      </c>
      <c r="Q31" s="52">
        <f t="shared" si="4"/>
        <v>0</v>
      </c>
      <c r="R31" s="53">
        <f t="shared" si="5"/>
        <v>0</v>
      </c>
      <c r="S31" s="8"/>
      <c r="T31" s="8"/>
      <c r="U31" s="8"/>
      <c r="V31" s="8"/>
      <c r="W31" s="8"/>
      <c r="X31" s="8"/>
      <c r="Y31" s="8"/>
      <c r="Z31" s="8"/>
    </row>
    <row r="32" spans="1:26">
      <c r="A32" s="51" t="s">
        <v>16</v>
      </c>
      <c r="B32" s="50" t="s">
        <v>184</v>
      </c>
      <c r="C32" s="52">
        <v>0</v>
      </c>
      <c r="D32" s="53">
        <v>0</v>
      </c>
      <c r="E32" s="62">
        <v>0</v>
      </c>
      <c r="F32" s="53">
        <v>0</v>
      </c>
      <c r="G32" s="53">
        <v>0</v>
      </c>
      <c r="H32" s="62">
        <v>0</v>
      </c>
      <c r="I32" s="63">
        <v>0</v>
      </c>
      <c r="J32" s="62">
        <v>0</v>
      </c>
      <c r="K32" s="63">
        <v>0</v>
      </c>
      <c r="L32" s="8"/>
      <c r="M32" s="52">
        <f t="shared" si="0"/>
        <v>0</v>
      </c>
      <c r="N32" s="53">
        <f t="shared" si="1"/>
        <v>0</v>
      </c>
      <c r="O32" s="52">
        <f t="shared" si="2"/>
        <v>0</v>
      </c>
      <c r="P32" s="53">
        <f t="shared" si="3"/>
        <v>0</v>
      </c>
      <c r="Q32" s="52">
        <f t="shared" si="4"/>
        <v>0</v>
      </c>
      <c r="R32" s="53">
        <f t="shared" si="5"/>
        <v>0</v>
      </c>
      <c r="S32" s="8"/>
      <c r="T32" s="8"/>
      <c r="U32" s="8"/>
      <c r="V32" s="8"/>
      <c r="W32" s="8"/>
      <c r="X32" s="8"/>
      <c r="Y32" s="8"/>
      <c r="Z32" s="8"/>
    </row>
    <row r="33" spans="1:26">
      <c r="A33" s="51" t="s">
        <v>34</v>
      </c>
      <c r="B33" s="50" t="s">
        <v>185</v>
      </c>
      <c r="C33" s="52">
        <v>0</v>
      </c>
      <c r="D33" s="53">
        <v>0</v>
      </c>
      <c r="E33" s="62">
        <v>0</v>
      </c>
      <c r="F33" s="53">
        <v>0</v>
      </c>
      <c r="G33" s="53">
        <v>0</v>
      </c>
      <c r="H33" s="62">
        <v>0</v>
      </c>
      <c r="I33" s="63">
        <v>0</v>
      </c>
      <c r="J33" s="62">
        <v>0</v>
      </c>
      <c r="K33" s="63">
        <v>0</v>
      </c>
      <c r="L33" s="8"/>
      <c r="M33" s="52">
        <f t="shared" si="0"/>
        <v>0</v>
      </c>
      <c r="N33" s="53">
        <f t="shared" si="1"/>
        <v>0</v>
      </c>
      <c r="O33" s="52">
        <f t="shared" si="2"/>
        <v>0</v>
      </c>
      <c r="P33" s="53">
        <f t="shared" si="3"/>
        <v>0</v>
      </c>
      <c r="Q33" s="52">
        <f t="shared" si="4"/>
        <v>0</v>
      </c>
      <c r="R33" s="53">
        <f t="shared" si="5"/>
        <v>0</v>
      </c>
      <c r="S33" s="8"/>
      <c r="T33" s="8"/>
      <c r="U33" s="8"/>
      <c r="V33" s="8"/>
      <c r="W33" s="8"/>
      <c r="X33" s="8"/>
      <c r="Y33" s="8"/>
      <c r="Z33" s="8"/>
    </row>
    <row r="34" spans="1:26">
      <c r="A34" s="51" t="s">
        <v>24</v>
      </c>
      <c r="B34" s="50" t="s">
        <v>186</v>
      </c>
      <c r="C34" s="52">
        <v>0</v>
      </c>
      <c r="D34" s="53">
        <v>0</v>
      </c>
      <c r="E34" s="62">
        <v>0</v>
      </c>
      <c r="F34" s="53">
        <v>0</v>
      </c>
      <c r="G34" s="53">
        <v>0</v>
      </c>
      <c r="H34" s="62">
        <v>0</v>
      </c>
      <c r="I34" s="63">
        <v>0</v>
      </c>
      <c r="J34" s="62">
        <v>0</v>
      </c>
      <c r="K34" s="63">
        <v>0</v>
      </c>
      <c r="L34" s="8"/>
      <c r="M34" s="52">
        <f t="shared" si="0"/>
        <v>0</v>
      </c>
      <c r="N34" s="53">
        <f t="shared" si="1"/>
        <v>0</v>
      </c>
      <c r="O34" s="52">
        <f t="shared" si="2"/>
        <v>0</v>
      </c>
      <c r="P34" s="53">
        <f t="shared" si="3"/>
        <v>0</v>
      </c>
      <c r="Q34" s="52">
        <f t="shared" si="4"/>
        <v>0</v>
      </c>
      <c r="R34" s="53">
        <f t="shared" si="5"/>
        <v>0</v>
      </c>
      <c r="S34" s="8"/>
      <c r="T34" s="8"/>
      <c r="U34" s="8"/>
      <c r="V34" s="8"/>
      <c r="W34" s="8"/>
      <c r="X34" s="8"/>
      <c r="Y34" s="8"/>
      <c r="Z34" s="8"/>
    </row>
    <row r="35" spans="1:26">
      <c r="A35" s="51" t="s">
        <v>26</v>
      </c>
      <c r="B35" s="50" t="s">
        <v>187</v>
      </c>
      <c r="C35" s="52">
        <v>0</v>
      </c>
      <c r="D35" s="53">
        <v>0</v>
      </c>
      <c r="E35" s="62">
        <v>0.11052000000000001</v>
      </c>
      <c r="F35" s="53">
        <v>3.5306408603899483E-2</v>
      </c>
      <c r="G35" s="53">
        <v>6.3537846214605301E-2</v>
      </c>
      <c r="H35" s="62">
        <v>0.30492000000000002</v>
      </c>
      <c r="I35" s="63">
        <v>0.29766862604553285</v>
      </c>
      <c r="J35" s="62">
        <v>3.5306408603899483E-2</v>
      </c>
      <c r="K35" s="63">
        <v>0.36120647226013813</v>
      </c>
      <c r="L35" s="8"/>
      <c r="M35" s="52">
        <f t="shared" si="0"/>
        <v>4.6982153785394706E-2</v>
      </c>
      <c r="N35" s="53">
        <f t="shared" si="1"/>
        <v>4.6982153785394706E-2</v>
      </c>
      <c r="O35" s="52">
        <f t="shared" si="2"/>
        <v>0.36845784621460531</v>
      </c>
      <c r="P35" s="53">
        <f t="shared" si="3"/>
        <v>0.36845784621460531</v>
      </c>
      <c r="Q35" s="52">
        <f t="shared" si="4"/>
        <v>0.41544000000000003</v>
      </c>
      <c r="R35" s="53">
        <f t="shared" si="5"/>
        <v>0.41544000000000003</v>
      </c>
      <c r="S35" s="8"/>
      <c r="T35" s="8"/>
      <c r="U35" s="8"/>
      <c r="V35" s="8"/>
      <c r="W35" s="8"/>
      <c r="X35" s="8"/>
      <c r="Y35" s="8"/>
      <c r="Z35" s="8"/>
    </row>
    <row r="36" spans="1:26">
      <c r="A36" s="51" t="s">
        <v>56</v>
      </c>
      <c r="B36" s="54" t="s">
        <v>236</v>
      </c>
      <c r="C36" s="64">
        <f t="shared" ref="C36:K36" si="7">SUM(C27:C35)+C46+C25+C24</f>
        <v>0</v>
      </c>
      <c r="D36" s="65">
        <f t="shared" si="7"/>
        <v>0</v>
      </c>
      <c r="E36" s="66">
        <f t="shared" si="7"/>
        <v>0.11052000000000001</v>
      </c>
      <c r="F36" s="65">
        <f t="shared" si="7"/>
        <v>3.5306408603899483E-2</v>
      </c>
      <c r="G36" s="65">
        <f t="shared" si="7"/>
        <v>6.3537846214605301E-2</v>
      </c>
      <c r="H36" s="66">
        <f t="shared" si="7"/>
        <v>0.30492000000000002</v>
      </c>
      <c r="I36" s="67">
        <f t="shared" si="7"/>
        <v>0.29766862604553285</v>
      </c>
      <c r="J36" s="66">
        <f t="shared" si="7"/>
        <v>3.5306408603899483E-2</v>
      </c>
      <c r="K36" s="67">
        <f t="shared" si="7"/>
        <v>0.36120647226013813</v>
      </c>
      <c r="L36" s="8"/>
      <c r="M36" s="55">
        <f t="shared" si="0"/>
        <v>4.6982153785394706E-2</v>
      </c>
      <c r="N36" s="56">
        <f t="shared" si="1"/>
        <v>4.6982153785394706E-2</v>
      </c>
      <c r="O36" s="55">
        <f t="shared" si="2"/>
        <v>0.36845784621460531</v>
      </c>
      <c r="P36" s="56">
        <f t="shared" si="3"/>
        <v>0.36845784621460531</v>
      </c>
      <c r="Q36" s="55">
        <f t="shared" si="4"/>
        <v>0.41544000000000003</v>
      </c>
      <c r="R36" s="56">
        <f t="shared" si="5"/>
        <v>0.41544000000000003</v>
      </c>
      <c r="S36" s="8"/>
      <c r="T36" s="8"/>
      <c r="U36" s="8"/>
      <c r="V36" s="8"/>
      <c r="W36" s="8"/>
      <c r="X36" s="8"/>
      <c r="Y36" s="8"/>
      <c r="Z36" s="8"/>
    </row>
    <row r="37" spans="1:26">
      <c r="A37" s="51" t="s">
        <v>481</v>
      </c>
      <c r="B37" s="50" t="s">
        <v>251</v>
      </c>
      <c r="C37" s="52">
        <v>0</v>
      </c>
      <c r="D37" s="53">
        <v>0</v>
      </c>
      <c r="E37" s="62">
        <v>0</v>
      </c>
      <c r="F37" s="53">
        <v>0</v>
      </c>
      <c r="G37" s="53">
        <v>0</v>
      </c>
      <c r="H37" s="62">
        <v>0</v>
      </c>
      <c r="I37" s="63">
        <v>0</v>
      </c>
      <c r="J37" s="62">
        <v>0</v>
      </c>
      <c r="K37" s="63">
        <v>0</v>
      </c>
      <c r="L37" s="8"/>
      <c r="M37" s="52">
        <f t="shared" si="0"/>
        <v>0</v>
      </c>
      <c r="N37" s="53">
        <f t="shared" si="1"/>
        <v>0</v>
      </c>
      <c r="O37" s="52">
        <f t="shared" si="2"/>
        <v>0</v>
      </c>
      <c r="P37" s="53">
        <f t="shared" si="3"/>
        <v>0</v>
      </c>
      <c r="Q37" s="52">
        <f t="shared" si="4"/>
        <v>0</v>
      </c>
      <c r="R37" s="53">
        <f t="shared" si="5"/>
        <v>0</v>
      </c>
      <c r="S37" s="8"/>
      <c r="T37" s="8"/>
      <c r="U37" s="8"/>
      <c r="V37" s="8"/>
      <c r="W37" s="8"/>
      <c r="X37" s="8"/>
      <c r="Y37" s="8"/>
      <c r="Z37" s="8"/>
    </row>
    <row r="38" spans="1:26">
      <c r="A38" s="51" t="s">
        <v>120</v>
      </c>
      <c r="B38" s="50" t="s">
        <v>188</v>
      </c>
      <c r="C38" s="52">
        <v>0</v>
      </c>
      <c r="D38" s="53">
        <v>0</v>
      </c>
      <c r="E38" s="62">
        <v>0</v>
      </c>
      <c r="F38" s="53">
        <v>0</v>
      </c>
      <c r="G38" s="53">
        <v>0</v>
      </c>
      <c r="H38" s="62">
        <v>0</v>
      </c>
      <c r="I38" s="63">
        <v>0</v>
      </c>
      <c r="J38" s="62">
        <v>0</v>
      </c>
      <c r="K38" s="63">
        <v>0</v>
      </c>
      <c r="L38" s="8"/>
      <c r="M38" s="52">
        <f t="shared" si="0"/>
        <v>0</v>
      </c>
      <c r="N38" s="53">
        <f t="shared" si="1"/>
        <v>0</v>
      </c>
      <c r="O38" s="52">
        <f t="shared" si="2"/>
        <v>0</v>
      </c>
      <c r="P38" s="53">
        <f t="shared" si="3"/>
        <v>0</v>
      </c>
      <c r="Q38" s="52">
        <f t="shared" si="4"/>
        <v>0</v>
      </c>
      <c r="R38" s="53">
        <f t="shared" si="5"/>
        <v>0</v>
      </c>
      <c r="S38" s="8"/>
      <c r="T38" s="8"/>
      <c r="U38" s="8"/>
      <c r="V38" s="8"/>
      <c r="W38" s="8"/>
      <c r="X38" s="8"/>
      <c r="Y38" s="8"/>
      <c r="Z38" s="8"/>
    </row>
    <row r="39" spans="1:26">
      <c r="A39" s="51" t="s">
        <v>121</v>
      </c>
      <c r="B39" s="51" t="s">
        <v>128</v>
      </c>
      <c r="C39" s="52">
        <v>0</v>
      </c>
      <c r="D39" s="53">
        <v>0</v>
      </c>
      <c r="E39" s="62">
        <v>2.8103599999999997</v>
      </c>
      <c r="F39" s="53">
        <v>0.97047285217494506</v>
      </c>
      <c r="G39" s="53">
        <v>1.6405009686214709</v>
      </c>
      <c r="H39" s="62">
        <v>1.1833199999999999</v>
      </c>
      <c r="I39" s="63">
        <v>1.1038378925331664</v>
      </c>
      <c r="J39" s="62">
        <v>0.97047285217494506</v>
      </c>
      <c r="K39" s="63">
        <v>2.7443388611546373</v>
      </c>
      <c r="L39" s="8"/>
      <c r="M39" s="52">
        <f t="shared" si="0"/>
        <v>1.1698590313785289</v>
      </c>
      <c r="N39" s="53">
        <f t="shared" si="1"/>
        <v>1.1698590313785289</v>
      </c>
      <c r="O39" s="52">
        <f t="shared" si="2"/>
        <v>2.8238209686214706</v>
      </c>
      <c r="P39" s="53">
        <f t="shared" si="3"/>
        <v>2.8238209686214706</v>
      </c>
      <c r="Q39" s="52">
        <f t="shared" si="4"/>
        <v>3.9936799999999995</v>
      </c>
      <c r="R39" s="53">
        <f t="shared" si="5"/>
        <v>3.9936799999999995</v>
      </c>
      <c r="S39" s="8"/>
      <c r="T39" s="8"/>
      <c r="U39" s="8"/>
      <c r="V39" s="8"/>
      <c r="W39" s="8"/>
      <c r="X39" s="8"/>
      <c r="Y39" s="8"/>
      <c r="Z39" s="8"/>
    </row>
    <row r="40" spans="1:26">
      <c r="A40" s="51" t="s">
        <v>119</v>
      </c>
      <c r="B40" s="50" t="s">
        <v>189</v>
      </c>
      <c r="C40" s="52">
        <v>0</v>
      </c>
      <c r="D40" s="53">
        <v>0</v>
      </c>
      <c r="E40" s="62">
        <v>1.9130400000000005</v>
      </c>
      <c r="F40" s="53">
        <v>0.45326626760775368</v>
      </c>
      <c r="G40" s="53">
        <v>1.2084496856429074</v>
      </c>
      <c r="H40" s="62">
        <v>0.99468000000000001</v>
      </c>
      <c r="I40" s="63">
        <v>0.97102528189351478</v>
      </c>
      <c r="J40" s="62">
        <v>0.45326626760775368</v>
      </c>
      <c r="K40" s="63">
        <v>2.1794749675364224</v>
      </c>
      <c r="L40" s="8"/>
      <c r="M40" s="52">
        <f t="shared" si="0"/>
        <v>0.70459031435709307</v>
      </c>
      <c r="N40" s="53">
        <f t="shared" si="1"/>
        <v>0.70459031435709307</v>
      </c>
      <c r="O40" s="52">
        <f t="shared" si="2"/>
        <v>2.2031296856429075</v>
      </c>
      <c r="P40" s="53">
        <f t="shared" si="3"/>
        <v>2.2031296856429075</v>
      </c>
      <c r="Q40" s="52">
        <f t="shared" si="4"/>
        <v>2.9077200000000003</v>
      </c>
      <c r="R40" s="53">
        <f t="shared" si="5"/>
        <v>2.9077200000000003</v>
      </c>
      <c r="S40" s="8"/>
      <c r="T40" s="8"/>
      <c r="U40" s="8"/>
      <c r="V40" s="8"/>
      <c r="W40" s="8"/>
      <c r="X40" s="8"/>
      <c r="Y40" s="8"/>
      <c r="Z40" s="8"/>
    </row>
    <row r="41" spans="1:26">
      <c r="A41" s="51" t="s">
        <v>9</v>
      </c>
      <c r="B41" s="50" t="s">
        <v>190</v>
      </c>
      <c r="C41" s="52">
        <v>0</v>
      </c>
      <c r="D41" s="53">
        <v>0</v>
      </c>
      <c r="E41" s="62">
        <v>0</v>
      </c>
      <c r="F41" s="53">
        <v>0</v>
      </c>
      <c r="G41" s="53">
        <v>0</v>
      </c>
      <c r="H41" s="62">
        <v>0</v>
      </c>
      <c r="I41" s="63">
        <v>0</v>
      </c>
      <c r="J41" s="62">
        <v>0</v>
      </c>
      <c r="K41" s="63">
        <v>0</v>
      </c>
      <c r="L41" s="8"/>
      <c r="M41" s="52">
        <f t="shared" si="0"/>
        <v>0</v>
      </c>
      <c r="N41" s="53">
        <f t="shared" si="1"/>
        <v>0</v>
      </c>
      <c r="O41" s="52">
        <f t="shared" si="2"/>
        <v>0</v>
      </c>
      <c r="P41" s="53">
        <f t="shared" si="3"/>
        <v>0</v>
      </c>
      <c r="Q41" s="52">
        <f t="shared" si="4"/>
        <v>0</v>
      </c>
      <c r="R41" s="53">
        <f t="shared" si="5"/>
        <v>0</v>
      </c>
      <c r="S41" s="8"/>
      <c r="T41" s="8"/>
      <c r="U41" s="8"/>
      <c r="V41" s="8"/>
      <c r="W41" s="8"/>
      <c r="X41" s="8"/>
      <c r="Y41" s="8"/>
      <c r="Z41" s="8"/>
    </row>
    <row r="42" spans="1:26">
      <c r="A42" s="51" t="s">
        <v>152</v>
      </c>
      <c r="B42" s="54" t="s">
        <v>59</v>
      </c>
      <c r="C42" s="64">
        <f t="shared" ref="C42:K42" si="8">SUM(C37:C41)</f>
        <v>0</v>
      </c>
      <c r="D42" s="65">
        <f t="shared" si="8"/>
        <v>0</v>
      </c>
      <c r="E42" s="66">
        <f t="shared" si="8"/>
        <v>4.7233999999999998</v>
      </c>
      <c r="F42" s="65">
        <f t="shared" si="8"/>
        <v>1.4237391197826987</v>
      </c>
      <c r="G42" s="65">
        <f t="shared" si="8"/>
        <v>2.8489506542643781</v>
      </c>
      <c r="H42" s="66">
        <f t="shared" si="8"/>
        <v>2.1779999999999999</v>
      </c>
      <c r="I42" s="67">
        <f t="shared" si="8"/>
        <v>2.0748631744266812</v>
      </c>
      <c r="J42" s="66">
        <f t="shared" si="8"/>
        <v>1.4237391197826987</v>
      </c>
      <c r="K42" s="67">
        <f t="shared" si="8"/>
        <v>4.9238138286910598</v>
      </c>
      <c r="L42" s="8"/>
      <c r="M42" s="55">
        <f t="shared" si="0"/>
        <v>1.8744493457356217</v>
      </c>
      <c r="N42" s="56">
        <f t="shared" si="1"/>
        <v>1.8744493457356217</v>
      </c>
      <c r="O42" s="55">
        <f t="shared" si="2"/>
        <v>5.026950654264378</v>
      </c>
      <c r="P42" s="56">
        <f t="shared" si="3"/>
        <v>5.026950654264378</v>
      </c>
      <c r="Q42" s="55">
        <f t="shared" si="4"/>
        <v>6.9013999999999998</v>
      </c>
      <c r="R42" s="56">
        <f t="shared" si="5"/>
        <v>6.9013999999999998</v>
      </c>
      <c r="S42" s="8"/>
      <c r="T42" s="8"/>
      <c r="U42" s="8"/>
      <c r="V42" s="8"/>
      <c r="W42" s="8"/>
      <c r="X42" s="8"/>
      <c r="Y42" s="8"/>
      <c r="Z42" s="8"/>
    </row>
    <row r="43" spans="1:26">
      <c r="A43" s="51" t="s">
        <v>1</v>
      </c>
      <c r="B43" s="227" t="s">
        <v>253</v>
      </c>
      <c r="C43" s="52">
        <v>0</v>
      </c>
      <c r="D43" s="53">
        <v>0</v>
      </c>
      <c r="E43" s="62">
        <v>0.31607999999999997</v>
      </c>
      <c r="F43" s="53">
        <v>0</v>
      </c>
      <c r="G43" s="53">
        <v>0.27953074023188967</v>
      </c>
      <c r="H43" s="62">
        <v>6.4800000000000005E-3</v>
      </c>
      <c r="I43" s="63">
        <v>6.0447465973827198E-3</v>
      </c>
      <c r="J43" s="62">
        <v>0</v>
      </c>
      <c r="K43" s="63">
        <v>0.28557548682927242</v>
      </c>
      <c r="L43" s="8"/>
      <c r="M43" s="52">
        <f t="shared" si="0"/>
        <v>3.6549259768110298E-2</v>
      </c>
      <c r="N43" s="53">
        <f t="shared" si="1"/>
        <v>3.6549259768110298E-2</v>
      </c>
      <c r="O43" s="52">
        <f t="shared" si="2"/>
        <v>0.28601074023188966</v>
      </c>
      <c r="P43" s="53">
        <f t="shared" si="3"/>
        <v>0.28601074023188966</v>
      </c>
      <c r="Q43" s="52">
        <f t="shared" si="4"/>
        <v>0.32255999999999996</v>
      </c>
      <c r="R43" s="53">
        <f t="shared" si="5"/>
        <v>0.32255999999999996</v>
      </c>
      <c r="S43" s="8"/>
      <c r="T43" s="8"/>
      <c r="U43" s="8"/>
      <c r="V43" s="8"/>
      <c r="W43" s="8"/>
      <c r="X43" s="8"/>
      <c r="Y43" s="8"/>
      <c r="Z43" s="8"/>
    </row>
    <row r="44" spans="1:26" ht="19.5" customHeight="1">
      <c r="A44" s="51" t="s">
        <v>0</v>
      </c>
      <c r="B44" s="227" t="s">
        <v>252</v>
      </c>
      <c r="C44" s="52">
        <v>0</v>
      </c>
      <c r="D44" s="53">
        <v>0</v>
      </c>
      <c r="E44" s="62">
        <v>37.429200000000002</v>
      </c>
      <c r="F44" s="53">
        <v>10.8105096856273</v>
      </c>
      <c r="G44" s="53">
        <v>21.961850404179476</v>
      </c>
      <c r="H44" s="62">
        <v>1.1127600000000002</v>
      </c>
      <c r="I44" s="63">
        <v>1.07422722493113</v>
      </c>
      <c r="J44" s="62">
        <v>10.8105096856273</v>
      </c>
      <c r="K44" s="63">
        <v>23.036077629110604</v>
      </c>
      <c r="L44" s="8"/>
      <c r="M44" s="52">
        <f t="shared" si="0"/>
        <v>15.467349595820526</v>
      </c>
      <c r="N44" s="53">
        <f t="shared" si="1"/>
        <v>15.467349595820526</v>
      </c>
      <c r="O44" s="52">
        <f t="shared" si="2"/>
        <v>23.074610404179477</v>
      </c>
      <c r="P44" s="53">
        <f t="shared" si="3"/>
        <v>23.074610404179477</v>
      </c>
      <c r="Q44" s="52">
        <f t="shared" si="4"/>
        <v>38.541960000000003</v>
      </c>
      <c r="R44" s="53">
        <f t="shared" si="5"/>
        <v>38.541960000000003</v>
      </c>
      <c r="S44" s="8"/>
      <c r="T44" s="8"/>
      <c r="U44" s="8"/>
      <c r="V44" s="8"/>
      <c r="W44" s="8"/>
      <c r="X44" s="8"/>
      <c r="Y44" s="8"/>
      <c r="Z44" s="8"/>
    </row>
    <row r="45" spans="1:26">
      <c r="A45" s="51" t="s">
        <v>2</v>
      </c>
      <c r="B45" s="50" t="s">
        <v>191</v>
      </c>
      <c r="C45" s="52">
        <v>0</v>
      </c>
      <c r="D45" s="53">
        <v>0</v>
      </c>
      <c r="E45" s="62">
        <v>0</v>
      </c>
      <c r="F45" s="53">
        <v>0</v>
      </c>
      <c r="G45" s="53">
        <v>0</v>
      </c>
      <c r="H45" s="62">
        <v>0</v>
      </c>
      <c r="I45" s="63">
        <v>0</v>
      </c>
      <c r="J45" s="62">
        <v>0</v>
      </c>
      <c r="K45" s="63">
        <v>0</v>
      </c>
      <c r="L45" s="8"/>
      <c r="M45" s="52">
        <f t="shared" si="0"/>
        <v>0</v>
      </c>
      <c r="N45" s="53">
        <f t="shared" si="1"/>
        <v>0</v>
      </c>
      <c r="O45" s="52">
        <f t="shared" si="2"/>
        <v>0</v>
      </c>
      <c r="P45" s="53">
        <f t="shared" si="3"/>
        <v>0</v>
      </c>
      <c r="Q45" s="52">
        <f t="shared" si="4"/>
        <v>0</v>
      </c>
      <c r="R45" s="53">
        <f t="shared" si="5"/>
        <v>0</v>
      </c>
      <c r="S45" s="8"/>
      <c r="T45" s="8"/>
      <c r="U45" s="8"/>
      <c r="V45" s="8"/>
      <c r="W45" s="8"/>
      <c r="X45" s="8"/>
      <c r="Y45" s="8"/>
      <c r="Z45" s="8"/>
    </row>
    <row r="46" spans="1:26">
      <c r="A46" s="51" t="s">
        <v>32</v>
      </c>
      <c r="B46" s="50" t="s">
        <v>192</v>
      </c>
      <c r="C46" s="52">
        <v>0</v>
      </c>
      <c r="D46" s="53">
        <v>0</v>
      </c>
      <c r="E46" s="62">
        <v>0</v>
      </c>
      <c r="F46" s="53">
        <v>0</v>
      </c>
      <c r="G46" s="53">
        <v>0</v>
      </c>
      <c r="H46" s="62">
        <v>0</v>
      </c>
      <c r="I46" s="63">
        <v>0</v>
      </c>
      <c r="J46" s="62">
        <v>0</v>
      </c>
      <c r="K46" s="63">
        <v>0</v>
      </c>
      <c r="L46" s="8"/>
      <c r="M46" s="52">
        <f t="shared" si="0"/>
        <v>0</v>
      </c>
      <c r="N46" s="53">
        <f t="shared" si="1"/>
        <v>0</v>
      </c>
      <c r="O46" s="52">
        <f t="shared" si="2"/>
        <v>0</v>
      </c>
      <c r="P46" s="53">
        <f t="shared" si="3"/>
        <v>0</v>
      </c>
      <c r="Q46" s="52">
        <f t="shared" si="4"/>
        <v>0</v>
      </c>
      <c r="R46" s="53">
        <f t="shared" si="5"/>
        <v>0</v>
      </c>
      <c r="S46" s="8"/>
      <c r="T46" s="8"/>
      <c r="U46" s="8"/>
      <c r="V46" s="8"/>
      <c r="W46" s="8"/>
      <c r="X46" s="8"/>
      <c r="Y46" s="8"/>
      <c r="Z46" s="8"/>
    </row>
    <row r="47" spans="1:26">
      <c r="A47" s="51" t="s">
        <v>169</v>
      </c>
      <c r="B47" s="54" t="s">
        <v>84</v>
      </c>
      <c r="C47" s="64">
        <f t="shared" ref="C47:K47" si="9">SUM(C43:C46)-C46+C20+C21+C22</f>
        <v>0</v>
      </c>
      <c r="D47" s="65">
        <f t="shared" si="9"/>
        <v>0</v>
      </c>
      <c r="E47" s="66">
        <f t="shared" si="9"/>
        <v>37.745280000000001</v>
      </c>
      <c r="F47" s="65">
        <f t="shared" si="9"/>
        <v>10.8105096856273</v>
      </c>
      <c r="G47" s="65">
        <f t="shared" si="9"/>
        <v>22.241381144411367</v>
      </c>
      <c r="H47" s="66">
        <f t="shared" si="9"/>
        <v>1.1192400000000002</v>
      </c>
      <c r="I47" s="67">
        <f t="shared" si="9"/>
        <v>1.0802719715285127</v>
      </c>
      <c r="J47" s="66">
        <f t="shared" si="9"/>
        <v>10.8105096856273</v>
      </c>
      <c r="K47" s="67">
        <f t="shared" si="9"/>
        <v>23.321653115939878</v>
      </c>
      <c r="L47" s="8"/>
      <c r="M47" s="55">
        <f t="shared" si="0"/>
        <v>15.503898855588634</v>
      </c>
      <c r="N47" s="56">
        <f t="shared" si="1"/>
        <v>15.503898855588634</v>
      </c>
      <c r="O47" s="55">
        <f t="shared" si="2"/>
        <v>23.360621144411368</v>
      </c>
      <c r="P47" s="56">
        <f t="shared" si="3"/>
        <v>23.360621144411368</v>
      </c>
      <c r="Q47" s="55">
        <f t="shared" si="4"/>
        <v>38.864519999999999</v>
      </c>
      <c r="R47" s="56">
        <f t="shared" si="5"/>
        <v>38.864519999999999</v>
      </c>
      <c r="S47" s="8"/>
      <c r="T47" s="8"/>
      <c r="U47" s="8"/>
      <c r="V47" s="8"/>
      <c r="W47" s="8"/>
      <c r="X47" s="8"/>
      <c r="Y47" s="8"/>
      <c r="Z47" s="8"/>
    </row>
    <row r="48" spans="1:26">
      <c r="A48" s="51" t="s">
        <v>338</v>
      </c>
      <c r="B48" s="50" t="s">
        <v>145</v>
      </c>
      <c r="C48" s="52">
        <v>0</v>
      </c>
      <c r="D48" s="53">
        <v>0</v>
      </c>
      <c r="E48" s="62">
        <v>0</v>
      </c>
      <c r="F48" s="53">
        <v>0</v>
      </c>
      <c r="G48" s="53">
        <v>0</v>
      </c>
      <c r="H48" s="62">
        <v>0</v>
      </c>
      <c r="I48" s="63">
        <v>0</v>
      </c>
      <c r="J48" s="62">
        <v>0</v>
      </c>
      <c r="K48" s="63">
        <v>0</v>
      </c>
      <c r="L48" s="8"/>
      <c r="M48" s="52">
        <f t="shared" si="0"/>
        <v>0</v>
      </c>
      <c r="N48" s="53">
        <f t="shared" ref="N48:N54" si="10">(D48+F48)*$J$5</f>
        <v>0</v>
      </c>
      <c r="O48" s="52">
        <f t="shared" si="2"/>
        <v>0</v>
      </c>
      <c r="P48" s="53">
        <f t="shared" ref="P48:P54" si="11">(G48+I48)*$J$7</f>
        <v>0</v>
      </c>
      <c r="Q48" s="52">
        <f t="shared" si="4"/>
        <v>0</v>
      </c>
      <c r="R48" s="53">
        <f t="shared" ref="R48:R54" si="12">N48+P48</f>
        <v>0</v>
      </c>
      <c r="S48" s="8"/>
      <c r="T48" s="8"/>
      <c r="U48" s="8"/>
      <c r="V48" s="8"/>
      <c r="W48" s="8"/>
      <c r="X48" s="8"/>
      <c r="Y48" s="8"/>
      <c r="Z48" s="8"/>
    </row>
    <row r="49" spans="1:26">
      <c r="A49" s="51" t="s">
        <v>57</v>
      </c>
      <c r="B49" s="21" t="s">
        <v>147</v>
      </c>
      <c r="C49" s="52">
        <v>0</v>
      </c>
      <c r="D49" s="53">
        <v>0</v>
      </c>
      <c r="E49" s="62">
        <v>0</v>
      </c>
      <c r="F49" s="53">
        <v>0</v>
      </c>
      <c r="G49" s="53">
        <v>0</v>
      </c>
      <c r="H49" s="62">
        <v>0</v>
      </c>
      <c r="I49" s="63">
        <v>0</v>
      </c>
      <c r="J49" s="62">
        <v>0</v>
      </c>
      <c r="K49" s="63">
        <v>0</v>
      </c>
      <c r="L49" s="8"/>
      <c r="M49" s="52">
        <f t="shared" si="0"/>
        <v>0</v>
      </c>
      <c r="N49" s="53">
        <f t="shared" si="10"/>
        <v>0</v>
      </c>
      <c r="O49" s="52">
        <f t="shared" si="2"/>
        <v>0</v>
      </c>
      <c r="P49" s="53">
        <f t="shared" si="11"/>
        <v>0</v>
      </c>
      <c r="Q49" s="52">
        <f t="shared" si="4"/>
        <v>0</v>
      </c>
      <c r="R49" s="53">
        <f t="shared" si="12"/>
        <v>0</v>
      </c>
      <c r="S49" s="8"/>
      <c r="T49" s="8"/>
      <c r="U49" s="8"/>
      <c r="V49" s="8"/>
      <c r="W49" s="8"/>
      <c r="X49" s="8"/>
      <c r="Y49" s="8"/>
      <c r="Z49" s="8"/>
    </row>
    <row r="50" spans="1:26">
      <c r="A50" s="51" t="s">
        <v>170</v>
      </c>
      <c r="B50" s="21" t="s">
        <v>146</v>
      </c>
      <c r="C50" s="52">
        <v>0</v>
      </c>
      <c r="D50" s="53">
        <v>0</v>
      </c>
      <c r="E50" s="62">
        <v>0</v>
      </c>
      <c r="F50" s="53">
        <v>0</v>
      </c>
      <c r="G50" s="53">
        <v>0</v>
      </c>
      <c r="H50" s="62">
        <v>2.1339361243783648</v>
      </c>
      <c r="I50" s="63">
        <v>3.1039070900048946</v>
      </c>
      <c r="J50" s="62">
        <v>0</v>
      </c>
      <c r="K50" s="63">
        <v>3.1039070900048946</v>
      </c>
      <c r="L50" s="8"/>
      <c r="M50" s="52">
        <f t="shared" si="0"/>
        <v>0</v>
      </c>
      <c r="N50" s="53">
        <f t="shared" si="10"/>
        <v>0</v>
      </c>
      <c r="O50" s="52">
        <f t="shared" si="2"/>
        <v>2.1339361243783648</v>
      </c>
      <c r="P50" s="53">
        <f t="shared" si="11"/>
        <v>1.7587967181304611</v>
      </c>
      <c r="Q50" s="52">
        <f t="shared" si="4"/>
        <v>2.1339361243783648</v>
      </c>
      <c r="R50" s="53">
        <f t="shared" si="12"/>
        <v>1.7587967181304611</v>
      </c>
      <c r="S50" s="8"/>
      <c r="T50" s="8"/>
      <c r="U50" s="8"/>
      <c r="V50" s="8"/>
      <c r="W50" s="8"/>
      <c r="X50" s="8"/>
      <c r="Y50" s="8"/>
      <c r="Z50" s="8"/>
    </row>
    <row r="51" spans="1:26">
      <c r="A51" s="51" t="s">
        <v>171</v>
      </c>
      <c r="B51" s="21" t="s">
        <v>66</v>
      </c>
      <c r="C51" s="52">
        <v>0</v>
      </c>
      <c r="D51" s="53">
        <v>0</v>
      </c>
      <c r="E51" s="62">
        <v>0</v>
      </c>
      <c r="F51" s="53">
        <v>0</v>
      </c>
      <c r="G51" s="53">
        <v>0</v>
      </c>
      <c r="H51" s="62">
        <v>0</v>
      </c>
      <c r="I51" s="63">
        <v>0</v>
      </c>
      <c r="J51" s="62">
        <v>0</v>
      </c>
      <c r="K51" s="63">
        <v>0</v>
      </c>
      <c r="L51" s="8"/>
      <c r="M51" s="52">
        <f t="shared" si="0"/>
        <v>0</v>
      </c>
      <c r="N51" s="53">
        <f t="shared" si="10"/>
        <v>0</v>
      </c>
      <c r="O51" s="52">
        <f t="shared" si="2"/>
        <v>0</v>
      </c>
      <c r="P51" s="53">
        <f t="shared" si="11"/>
        <v>0</v>
      </c>
      <c r="Q51" s="52">
        <f t="shared" si="4"/>
        <v>0</v>
      </c>
      <c r="R51" s="53">
        <f t="shared" si="12"/>
        <v>0</v>
      </c>
      <c r="S51" s="8"/>
      <c r="T51" s="8"/>
      <c r="U51" s="8"/>
      <c r="V51" s="8"/>
      <c r="W51" s="8"/>
      <c r="X51" s="8"/>
      <c r="Y51" s="8"/>
      <c r="Z51" s="8"/>
    </row>
    <row r="52" spans="1:26">
      <c r="A52" s="51" t="s">
        <v>168</v>
      </c>
      <c r="B52" s="21" t="s">
        <v>148</v>
      </c>
      <c r="C52" s="52">
        <v>0</v>
      </c>
      <c r="D52" s="53">
        <v>0</v>
      </c>
      <c r="E52" s="62">
        <v>0</v>
      </c>
      <c r="F52" s="53">
        <v>0</v>
      </c>
      <c r="G52" s="53">
        <v>0</v>
      </c>
      <c r="H52" s="62">
        <v>0</v>
      </c>
      <c r="I52" s="63">
        <v>0</v>
      </c>
      <c r="J52" s="62">
        <v>0</v>
      </c>
      <c r="K52" s="63">
        <v>0</v>
      </c>
      <c r="L52" s="8"/>
      <c r="M52" s="52">
        <f t="shared" si="0"/>
        <v>0</v>
      </c>
      <c r="N52" s="53">
        <f t="shared" si="10"/>
        <v>0</v>
      </c>
      <c r="O52" s="52">
        <f t="shared" si="2"/>
        <v>0</v>
      </c>
      <c r="P52" s="53">
        <f t="shared" si="11"/>
        <v>0</v>
      </c>
      <c r="Q52" s="52">
        <f t="shared" si="4"/>
        <v>0</v>
      </c>
      <c r="R52" s="53">
        <f t="shared" si="12"/>
        <v>0</v>
      </c>
      <c r="S52" s="8"/>
      <c r="T52" s="8"/>
      <c r="U52" s="8"/>
      <c r="V52" s="8"/>
      <c r="W52" s="8"/>
      <c r="X52" s="8"/>
      <c r="Y52" s="8"/>
      <c r="Z52" s="8"/>
    </row>
    <row r="53" spans="1:26">
      <c r="A53" s="51" t="s">
        <v>172</v>
      </c>
      <c r="B53" s="50" t="s">
        <v>149</v>
      </c>
      <c r="C53" s="52">
        <v>0</v>
      </c>
      <c r="D53" s="53">
        <v>0</v>
      </c>
      <c r="E53" s="62">
        <v>0</v>
      </c>
      <c r="F53" s="53">
        <v>0</v>
      </c>
      <c r="G53" s="53">
        <v>0</v>
      </c>
      <c r="H53" s="62">
        <v>0</v>
      </c>
      <c r="I53" s="63">
        <v>0</v>
      </c>
      <c r="J53" s="62">
        <v>0</v>
      </c>
      <c r="K53" s="63">
        <v>0</v>
      </c>
      <c r="L53" s="8"/>
      <c r="M53" s="52">
        <f t="shared" si="0"/>
        <v>0</v>
      </c>
      <c r="N53" s="53">
        <f t="shared" si="10"/>
        <v>0</v>
      </c>
      <c r="O53" s="52">
        <f t="shared" si="2"/>
        <v>0</v>
      </c>
      <c r="P53" s="53">
        <f t="shared" si="11"/>
        <v>0</v>
      </c>
      <c r="Q53" s="52">
        <f t="shared" si="4"/>
        <v>0</v>
      </c>
      <c r="R53" s="53">
        <f t="shared" si="12"/>
        <v>0</v>
      </c>
      <c r="S53" s="8"/>
      <c r="T53" s="8"/>
      <c r="U53" s="8"/>
      <c r="V53" s="8"/>
      <c r="W53" s="8"/>
      <c r="X53" s="8"/>
      <c r="Y53" s="8"/>
      <c r="Z53" s="8"/>
    </row>
    <row r="54" spans="1:26">
      <c r="A54" s="51"/>
      <c r="B54" s="50" t="s">
        <v>314</v>
      </c>
      <c r="C54" s="52">
        <v>0</v>
      </c>
      <c r="D54" s="53">
        <v>0</v>
      </c>
      <c r="E54" s="62">
        <v>0</v>
      </c>
      <c r="F54" s="53">
        <v>0</v>
      </c>
      <c r="G54" s="53">
        <v>0</v>
      </c>
      <c r="H54" s="62">
        <v>-2.887200699999994</v>
      </c>
      <c r="I54" s="63">
        <v>0</v>
      </c>
      <c r="J54" s="62">
        <v>0</v>
      </c>
      <c r="K54" s="63">
        <v>0</v>
      </c>
      <c r="L54" s="8"/>
      <c r="M54" s="52">
        <f t="shared" si="0"/>
        <v>0</v>
      </c>
      <c r="N54" s="53">
        <f t="shared" si="10"/>
        <v>0</v>
      </c>
      <c r="O54" s="52">
        <f t="shared" si="2"/>
        <v>-2.887200699999994</v>
      </c>
      <c r="P54" s="53">
        <f t="shared" si="11"/>
        <v>0</v>
      </c>
      <c r="Q54" s="52">
        <f t="shared" si="4"/>
        <v>-2.887200699999994</v>
      </c>
      <c r="R54" s="53">
        <f t="shared" si="12"/>
        <v>0</v>
      </c>
      <c r="S54" s="8"/>
      <c r="T54" s="8"/>
      <c r="U54" s="8"/>
      <c r="V54" s="8"/>
      <c r="W54" s="8"/>
      <c r="X54" s="8"/>
      <c r="Y54" s="8"/>
      <c r="Z54" s="8"/>
    </row>
    <row r="55" spans="1:26">
      <c r="A55" s="57"/>
      <c r="B55" s="58" t="s">
        <v>167</v>
      </c>
      <c r="C55" s="64">
        <f t="shared" ref="C55:K55" si="13">SUM(C48:C54)+C47+C42+C36+C26</f>
        <v>0</v>
      </c>
      <c r="D55" s="65">
        <f t="shared" si="13"/>
        <v>0</v>
      </c>
      <c r="E55" s="66">
        <f t="shared" si="13"/>
        <v>59.180599999999998</v>
      </c>
      <c r="F55" s="65">
        <f t="shared" si="13"/>
        <v>19.400926157482303</v>
      </c>
      <c r="G55" s="65">
        <f t="shared" si="13"/>
        <v>33.094075066402489</v>
      </c>
      <c r="H55" s="66">
        <f t="shared" si="13"/>
        <v>4.7878554243783711</v>
      </c>
      <c r="I55" s="65">
        <f t="shared" si="13"/>
        <v>8.44956</v>
      </c>
      <c r="J55" s="64">
        <f t="shared" si="13"/>
        <v>19.400926157482303</v>
      </c>
      <c r="K55" s="65">
        <f t="shared" si="13"/>
        <v>41.543635066402487</v>
      </c>
      <c r="L55" s="8"/>
      <c r="M55" s="59">
        <f t="shared" ref="M55:R55" si="14">SUM(M48:M53)+M47+M42+M36+M26</f>
        <v>26.086524933597516</v>
      </c>
      <c r="N55" s="56">
        <f t="shared" si="14"/>
        <v>26.086524933597516</v>
      </c>
      <c r="O55" s="59">
        <f t="shared" si="14"/>
        <v>40.769131190780854</v>
      </c>
      <c r="P55" s="56">
        <f t="shared" si="14"/>
        <v>40.393991784532957</v>
      </c>
      <c r="Q55" s="59">
        <f t="shared" si="14"/>
        <v>66.85565612437837</v>
      </c>
      <c r="R55" s="56">
        <f t="shared" si="14"/>
        <v>66.48051671813046</v>
      </c>
      <c r="S55" s="8"/>
      <c r="T55" s="8"/>
      <c r="U55" s="8"/>
      <c r="V55" s="8"/>
      <c r="W55" s="8"/>
      <c r="X55" s="8"/>
      <c r="Y55" s="8"/>
      <c r="Z55" s="8"/>
    </row>
    <row r="56" spans="1:26">
      <c r="A56" s="41"/>
      <c r="B56" s="51" t="s">
        <v>52</v>
      </c>
      <c r="C56" s="68">
        <v>0</v>
      </c>
      <c r="D56" s="69">
        <v>0</v>
      </c>
      <c r="E56" s="68">
        <v>59.180600000000005</v>
      </c>
      <c r="F56" s="53">
        <v>19.400926157482303</v>
      </c>
      <c r="G56" s="53">
        <v>33.094075066402482</v>
      </c>
      <c r="H56" s="68">
        <v>4.7878554243783702</v>
      </c>
      <c r="I56" s="53">
        <v>8.4495600000000017</v>
      </c>
      <c r="J56" s="68">
        <v>19.400926157482303</v>
      </c>
      <c r="K56" s="53">
        <v>41.543635066402487</v>
      </c>
      <c r="L56" s="8"/>
      <c r="M56" s="8"/>
      <c r="N56" s="87"/>
      <c r="O56" s="87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8">
      <c r="A58" s="125"/>
      <c r="B58" s="60" t="s">
        <v>82</v>
      </c>
      <c r="C58" s="34"/>
      <c r="D58" s="34"/>
      <c r="E58" s="34"/>
      <c r="F58" s="34"/>
      <c r="G58" s="61"/>
      <c r="H58" s="61"/>
      <c r="J58" s="39"/>
      <c r="K58" s="39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125"/>
      <c r="B59" s="109"/>
      <c r="C59" s="110" t="s">
        <v>36</v>
      </c>
      <c r="D59" s="110" t="s">
        <v>37</v>
      </c>
      <c r="E59" s="111"/>
      <c r="F59" s="110" t="s">
        <v>41</v>
      </c>
      <c r="G59" s="110" t="s">
        <v>41</v>
      </c>
      <c r="H59" s="110" t="s">
        <v>39</v>
      </c>
      <c r="I59" s="110" t="s">
        <v>40</v>
      </c>
      <c r="J59" s="110" t="s">
        <v>138</v>
      </c>
      <c r="K59" s="111"/>
      <c r="L59" s="8"/>
      <c r="M59" s="163" t="s">
        <v>322</v>
      </c>
      <c r="N59" s="163"/>
      <c r="O59" s="163"/>
      <c r="P59" s="163"/>
      <c r="Q59" s="163"/>
      <c r="R59" s="163"/>
      <c r="S59" s="163"/>
      <c r="T59" s="8"/>
      <c r="U59" s="8"/>
      <c r="V59" s="8"/>
      <c r="W59" s="8"/>
      <c r="X59" s="8"/>
      <c r="Y59" s="8"/>
      <c r="Z59" s="8"/>
    </row>
    <row r="60" spans="1:26">
      <c r="A60" s="125"/>
      <c r="B60" s="125"/>
      <c r="C60" s="120" t="s">
        <v>156</v>
      </c>
      <c r="D60" s="120" t="s">
        <v>54</v>
      </c>
      <c r="E60" s="120" t="s">
        <v>156</v>
      </c>
      <c r="F60" s="120" t="s">
        <v>164</v>
      </c>
      <c r="G60" s="120" t="s">
        <v>165</v>
      </c>
      <c r="H60" s="120" t="s">
        <v>166</v>
      </c>
      <c r="I60" s="120" t="s">
        <v>165</v>
      </c>
      <c r="J60" s="120" t="s">
        <v>54</v>
      </c>
      <c r="K60" s="120" t="s">
        <v>156</v>
      </c>
      <c r="L60" s="8"/>
      <c r="M60" s="6"/>
      <c r="N60" s="6"/>
      <c r="O60" s="162" t="s">
        <v>327</v>
      </c>
      <c r="P60" s="6"/>
      <c r="Q60" s="162" t="s">
        <v>326</v>
      </c>
      <c r="R60" s="6" t="s">
        <v>325</v>
      </c>
      <c r="S60" s="6"/>
      <c r="T60" s="8"/>
      <c r="U60" s="8"/>
      <c r="V60" s="8"/>
      <c r="W60" s="8"/>
      <c r="X60" s="8"/>
      <c r="Y60" s="8"/>
      <c r="Z60" s="8"/>
    </row>
    <row r="61" spans="1:26">
      <c r="B61" s="125" t="s">
        <v>315</v>
      </c>
      <c r="C61" s="120"/>
      <c r="D61" s="120"/>
      <c r="E61" s="120"/>
      <c r="F61" s="120"/>
      <c r="G61" s="120"/>
      <c r="H61" s="120"/>
      <c r="I61" s="120"/>
      <c r="J61" s="120"/>
      <c r="K61" s="120"/>
      <c r="L61" s="8"/>
      <c r="M61" s="146" t="s">
        <v>323</v>
      </c>
      <c r="N61" s="146"/>
      <c r="O61" s="146"/>
      <c r="P61" s="146"/>
      <c r="Q61" s="146"/>
      <c r="R61" s="146"/>
      <c r="S61" s="146"/>
      <c r="T61" s="8"/>
      <c r="U61" s="8"/>
      <c r="V61" s="8"/>
      <c r="W61" s="8"/>
      <c r="X61" s="8"/>
      <c r="Y61" s="8"/>
      <c r="Z61" s="8"/>
    </row>
    <row r="62" spans="1:26">
      <c r="B62" s="125" t="s">
        <v>143</v>
      </c>
      <c r="C62" s="120" t="s">
        <v>123</v>
      </c>
      <c r="D62" s="120" t="s">
        <v>122</v>
      </c>
      <c r="E62" s="120" t="s">
        <v>316</v>
      </c>
      <c r="F62" s="120" t="s">
        <v>161</v>
      </c>
      <c r="G62" s="120" t="s">
        <v>317</v>
      </c>
      <c r="H62" s="120" t="s">
        <v>159</v>
      </c>
      <c r="I62" s="120" t="s">
        <v>160</v>
      </c>
      <c r="J62" s="120" t="s">
        <v>124</v>
      </c>
      <c r="K62" s="120" t="s">
        <v>376</v>
      </c>
      <c r="L62" s="8"/>
      <c r="M62" s="153" t="s">
        <v>320</v>
      </c>
      <c r="N62" s="6"/>
      <c r="O62" s="150">
        <f>G63+D54+F54</f>
        <v>-0.88540615748229823</v>
      </c>
      <c r="P62" s="147">
        <f>SUMPRODUCT(P63:P64,O63:O64)</f>
        <v>1.0670509386615266</v>
      </c>
      <c r="Q62" s="145"/>
      <c r="R62" s="145"/>
      <c r="S62" s="145"/>
      <c r="T62" s="8"/>
      <c r="U62" s="8"/>
      <c r="V62" s="8"/>
      <c r="W62" s="8"/>
      <c r="X62" s="8"/>
      <c r="Y62" s="8"/>
      <c r="Z62" s="8"/>
    </row>
    <row r="63" spans="1:26">
      <c r="B63" s="125" t="s">
        <v>158</v>
      </c>
      <c r="C63" s="120">
        <f>D56</f>
        <v>0</v>
      </c>
      <c r="D63" s="120">
        <f>F56</f>
        <v>19.400926157482303</v>
      </c>
      <c r="E63" s="120">
        <f>J56-D63-C63</f>
        <v>0</v>
      </c>
      <c r="F63" s="120">
        <v>-0.80842006838013658</v>
      </c>
      <c r="G63" s="120">
        <v>-0.88540615748229823</v>
      </c>
      <c r="H63" s="120">
        <v>0</v>
      </c>
      <c r="I63" s="120">
        <v>0</v>
      </c>
      <c r="J63" s="120">
        <v>0</v>
      </c>
      <c r="K63" s="120">
        <v>0</v>
      </c>
      <c r="M63" s="153" t="s">
        <v>318</v>
      </c>
      <c r="N63" s="159"/>
      <c r="O63" s="157">
        <f>SUM(J26,J36,J42,J47,J48,J50)</f>
        <v>19.400926157482303</v>
      </c>
      <c r="P63" s="151">
        <v>5.5E-2</v>
      </c>
      <c r="Q63" s="149">
        <f>1+P63*O$62/$P$62</f>
        <v>0.95436268607512709</v>
      </c>
      <c r="R63" s="157">
        <f>O63*Q63</f>
        <v>18.515520000000006</v>
      </c>
      <c r="S63" s="145"/>
    </row>
    <row r="64" spans="1:26">
      <c r="B64" s="125" t="s">
        <v>193</v>
      </c>
      <c r="C64" s="120">
        <v>1</v>
      </c>
      <c r="D64" s="120">
        <v>1</v>
      </c>
      <c r="E64" s="120">
        <v>0.5</v>
      </c>
      <c r="F64" s="120">
        <v>9.1959840556265535E-2</v>
      </c>
      <c r="G64" s="120">
        <v>0</v>
      </c>
      <c r="H64" s="120">
        <v>2.0297272007606455E-2</v>
      </c>
      <c r="I64" s="120">
        <v>1.1907909295419057E-2</v>
      </c>
      <c r="J64" s="120" t="s">
        <v>55</v>
      </c>
      <c r="K64" s="120" t="s">
        <v>55</v>
      </c>
      <c r="M64" s="154" t="s">
        <v>319</v>
      </c>
      <c r="N64" s="160"/>
      <c r="O64" s="158">
        <f>SUM(J49,J51:J53)</f>
        <v>0</v>
      </c>
      <c r="P64" s="152">
        <v>0.01</v>
      </c>
      <c r="Q64" s="148">
        <f>1+P64*O$62/$P$62</f>
        <v>0.99170230655911407</v>
      </c>
      <c r="R64" s="158">
        <f>O64*Q64</f>
        <v>0</v>
      </c>
      <c r="S64" s="141"/>
    </row>
    <row r="65" spans="1:20">
      <c r="B65" s="125" t="s">
        <v>138</v>
      </c>
      <c r="C65" s="120">
        <f>I56</f>
        <v>8.4495600000000017</v>
      </c>
      <c r="D65" s="120">
        <f>G56</f>
        <v>33.094075066402482</v>
      </c>
      <c r="E65" s="120">
        <f>K56-D65-C65</f>
        <v>0</v>
      </c>
      <c r="F65" s="120">
        <v>-2.99268</v>
      </c>
      <c r="G65" s="120">
        <v>0</v>
      </c>
      <c r="H65" s="120">
        <v>0</v>
      </c>
      <c r="I65" s="120">
        <v>0</v>
      </c>
      <c r="J65" s="120">
        <v>0</v>
      </c>
      <c r="K65" s="120">
        <v>0</v>
      </c>
      <c r="M65" s="145" t="s">
        <v>324</v>
      </c>
      <c r="N65" s="6"/>
      <c r="O65" s="146"/>
      <c r="P65" s="146"/>
      <c r="Q65" s="146"/>
      <c r="R65" s="146"/>
      <c r="S65" s="146"/>
    </row>
    <row r="66" spans="1:20">
      <c r="B66" s="125" t="s">
        <v>42</v>
      </c>
      <c r="C66" s="120">
        <v>1</v>
      </c>
      <c r="D66" s="120">
        <v>1</v>
      </c>
      <c r="E66" s="120">
        <f>F68</f>
        <v>0</v>
      </c>
      <c r="F66" s="120">
        <v>0.10984977295183504</v>
      </c>
      <c r="G66" s="120">
        <v>2.7708998603502059E-3</v>
      </c>
      <c r="H66" s="120">
        <v>0</v>
      </c>
      <c r="I66" s="120">
        <v>0</v>
      </c>
      <c r="J66" s="120" t="s">
        <v>55</v>
      </c>
      <c r="K66" s="120" t="s">
        <v>55</v>
      </c>
      <c r="M66" s="155" t="s">
        <v>321</v>
      </c>
      <c r="N66" s="161"/>
      <c r="O66" s="180">
        <f>G55+I55-G54-I54</f>
        <v>41.543635066402487</v>
      </c>
      <c r="P66" s="150">
        <f>G65+G54+I54+J65+K65-J63</f>
        <v>0</v>
      </c>
      <c r="Q66" s="156">
        <f>1+IF(O66,P66/O66)</f>
        <v>1</v>
      </c>
      <c r="R66" s="179">
        <f>O66*Q66</f>
        <v>41.543635066402487</v>
      </c>
      <c r="S66" s="141"/>
    </row>
    <row r="67" spans="1:20">
      <c r="B67" s="125"/>
      <c r="C67" s="120"/>
      <c r="D67" s="120"/>
      <c r="E67" s="120"/>
      <c r="F67" s="199" t="s">
        <v>406</v>
      </c>
      <c r="G67" s="120" t="s">
        <v>548</v>
      </c>
      <c r="H67" s="31" t="s">
        <v>391</v>
      </c>
      <c r="I67" s="31" t="s">
        <v>392</v>
      </c>
      <c r="J67" s="31" t="s">
        <v>393</v>
      </c>
      <c r="K67" s="31" t="s">
        <v>405</v>
      </c>
      <c r="M67" s="51"/>
      <c r="N67" s="41"/>
      <c r="O67" s="190"/>
      <c r="P67" s="191"/>
      <c r="Q67" s="192"/>
      <c r="R67" s="190"/>
      <c r="S67" s="141"/>
    </row>
    <row r="68" spans="1:20">
      <c r="B68" s="125"/>
      <c r="C68" s="120"/>
      <c r="D68" s="120"/>
      <c r="E68" s="120"/>
      <c r="F68" s="199">
        <v>0</v>
      </c>
      <c r="G68" s="120">
        <v>0</v>
      </c>
      <c r="H68" s="120">
        <v>0</v>
      </c>
      <c r="I68" s="120">
        <v>0</v>
      </c>
      <c r="J68" s="120">
        <v>2.8517616676370885</v>
      </c>
      <c r="K68" s="120">
        <v>0.68375677211848318</v>
      </c>
      <c r="M68" s="51"/>
      <c r="N68" s="41"/>
      <c r="O68" s="190"/>
      <c r="P68" s="191"/>
      <c r="Q68" s="192"/>
      <c r="R68" s="190"/>
      <c r="S68" s="141"/>
    </row>
    <row r="69" spans="1:20">
      <c r="A69" s="125"/>
      <c r="B69" s="125"/>
      <c r="C69" s="125"/>
      <c r="D69" s="125"/>
      <c r="E69" s="125"/>
      <c r="F69" s="125"/>
      <c r="G69" s="125"/>
      <c r="H69" s="125"/>
      <c r="I69" s="125"/>
      <c r="J69" s="125"/>
      <c r="K69" s="125"/>
      <c r="N69" s="127"/>
      <c r="O69" s="127"/>
      <c r="Q69" s="127"/>
    </row>
    <row r="70" spans="1:20">
      <c r="A70" s="125"/>
      <c r="B70" s="177" t="s">
        <v>337</v>
      </c>
      <c r="C70" s="177"/>
      <c r="D70" s="144"/>
      <c r="E70" s="178" t="s">
        <v>198</v>
      </c>
      <c r="F70" s="175">
        <f>1+SUM(F63,I63)/(SUMPRODUCT(C63:E63,C64:E64)+G63)</f>
        <v>0.95633824659636146</v>
      </c>
      <c r="H70" s="143"/>
      <c r="I70" s="125"/>
      <c r="J70" s="125"/>
      <c r="K70" s="125"/>
    </row>
    <row r="71" spans="1:20">
      <c r="E71" s="6" t="s">
        <v>53</v>
      </c>
      <c r="F71" s="176">
        <f ca="1">1+F65/(SUMPRODUCT(C65:E65,C66:E66)+P66+G68+Tiny)</f>
        <v>0.92796297206191691</v>
      </c>
    </row>
    <row r="74" spans="1:20" ht="16.5" thickBot="1">
      <c r="B74" s="168" t="s">
        <v>211</v>
      </c>
      <c r="C74" s="173"/>
      <c r="D74" s="173" t="s">
        <v>327</v>
      </c>
      <c r="E74" s="173" t="s">
        <v>489</v>
      </c>
      <c r="F74" s="173" t="s">
        <v>332</v>
      </c>
      <c r="G74" s="173"/>
      <c r="H74" s="173" t="s">
        <v>332</v>
      </c>
      <c r="I74" s="173"/>
    </row>
    <row r="75" spans="1:20" ht="15.75" thickTop="1">
      <c r="B75" s="172"/>
      <c r="C75" s="172" t="s">
        <v>329</v>
      </c>
      <c r="D75" s="172" t="s">
        <v>330</v>
      </c>
      <c r="E75" s="172" t="s">
        <v>490</v>
      </c>
      <c r="F75" s="172" t="s">
        <v>330</v>
      </c>
      <c r="G75" s="172"/>
      <c r="H75" s="172" t="s">
        <v>331</v>
      </c>
      <c r="I75" s="172" t="s">
        <v>54</v>
      </c>
      <c r="N75" s="128" t="s">
        <v>608</v>
      </c>
      <c r="O75" s="128"/>
      <c r="P75" s="128"/>
      <c r="S75">
        <f>EXP(0.51)</f>
        <v>1.6652911949458864</v>
      </c>
    </row>
    <row r="76" spans="1:20" ht="15">
      <c r="B76" s="169" t="s">
        <v>254</v>
      </c>
      <c r="C76" s="170">
        <f>C36</f>
        <v>0</v>
      </c>
      <c r="D76" s="170">
        <f>D36</f>
        <v>0</v>
      </c>
      <c r="E76" s="245">
        <v>0.4</v>
      </c>
      <c r="F76" s="170">
        <f>D76*Q$63</f>
        <v>0</v>
      </c>
      <c r="G76" s="184"/>
      <c r="H76" s="184">
        <f t="shared" ref="H76:H85" ca="1" si="15">IF(C76&gt;0,MAX(0.8*E76,F76/(C76+Tiny)),E76)</f>
        <v>0.4</v>
      </c>
      <c r="I76" s="170">
        <f t="shared" ref="I76:I86" si="16">C76*H76</f>
        <v>0</v>
      </c>
      <c r="N76" s="128"/>
      <c r="O76" s="302" t="str">
        <f ca="1">IF(AuxYear&gt;BaseYear,"~","")&amp;"FI_T"</f>
        <v>~FI_T</v>
      </c>
      <c r="P76" s="128"/>
      <c r="S76">
        <f>EXP(1)</f>
        <v>2.7182818284590451</v>
      </c>
      <c r="T76">
        <f>SQRT(S76)</f>
        <v>1.6487212707001282</v>
      </c>
    </row>
    <row r="77" spans="1:20" ht="15">
      <c r="B77" s="169" t="s">
        <v>255</v>
      </c>
      <c r="C77" s="170">
        <f>C26</f>
        <v>0</v>
      </c>
      <c r="D77" s="170">
        <f>D26</f>
        <v>0</v>
      </c>
      <c r="E77" s="245">
        <v>0.54</v>
      </c>
      <c r="F77" s="170">
        <f>D77*Q$63</f>
        <v>0</v>
      </c>
      <c r="G77" s="184"/>
      <c r="H77" s="184">
        <f t="shared" ca="1" si="15"/>
        <v>0.54</v>
      </c>
      <c r="I77" s="170">
        <f t="shared" si="16"/>
        <v>0</v>
      </c>
      <c r="N77" s="128"/>
      <c r="O77" s="128" t="s">
        <v>218</v>
      </c>
      <c r="P77" s="128" t="s">
        <v>269</v>
      </c>
      <c r="S77" s="143">
        <f>LN(SQRT(PI()))</f>
        <v>0.57236494292469997</v>
      </c>
    </row>
    <row r="78" spans="1:20" ht="15">
      <c r="B78" s="169" t="s">
        <v>256</v>
      </c>
      <c r="C78" s="170">
        <f>C47-C43</f>
        <v>0</v>
      </c>
      <c r="D78" s="170">
        <f>D47-D43</f>
        <v>0</v>
      </c>
      <c r="E78" s="245">
        <v>0.44</v>
      </c>
      <c r="F78" s="170">
        <f>D78*Q$63</f>
        <v>0</v>
      </c>
      <c r="G78" s="184"/>
      <c r="H78" s="184">
        <f t="shared" ca="1" si="15"/>
        <v>0.44</v>
      </c>
      <c r="I78" s="170">
        <f t="shared" si="16"/>
        <v>0</v>
      </c>
      <c r="N78" s="128"/>
      <c r="O78" s="128" t="s">
        <v>169</v>
      </c>
      <c r="P78" s="129">
        <f>1/(1+SUM(C26,E26,H26,C36,E36,H36)/SUM(C47,E47,H47))</f>
        <v>0.67216023709311878</v>
      </c>
      <c r="S78">
        <f>PI()</f>
        <v>3.1415926535897931</v>
      </c>
    </row>
    <row r="79" spans="1:20" ht="15">
      <c r="B79" s="169" t="s">
        <v>347</v>
      </c>
      <c r="C79" s="170">
        <f>C43</f>
        <v>0</v>
      </c>
      <c r="D79" s="170">
        <f>D43</f>
        <v>0</v>
      </c>
      <c r="E79" s="245">
        <v>0.42</v>
      </c>
      <c r="F79" s="170">
        <f>D79*Q$63</f>
        <v>0</v>
      </c>
      <c r="G79" s="184"/>
      <c r="H79" s="184">
        <f t="shared" ca="1" si="15"/>
        <v>0.42</v>
      </c>
      <c r="I79" s="170">
        <f t="shared" si="16"/>
        <v>0</v>
      </c>
      <c r="N79" s="128"/>
      <c r="O79" s="128" t="s">
        <v>57</v>
      </c>
      <c r="P79" s="130">
        <f>(SUM(J49:J53)+J42)/J56</f>
        <v>7.3385111010981774E-2</v>
      </c>
      <c r="S79" s="143">
        <f>0.8^3</f>
        <v>0.51200000000000012</v>
      </c>
    </row>
    <row r="80" spans="1:20" ht="15">
      <c r="B80" s="169" t="s">
        <v>257</v>
      </c>
      <c r="C80" s="170">
        <f>C42-C38-C39</f>
        <v>0</v>
      </c>
      <c r="D80" s="170">
        <f>D42-D38-D39</f>
        <v>0</v>
      </c>
      <c r="E80" s="245">
        <v>0.4</v>
      </c>
      <c r="F80" s="170">
        <f>D80*Q$63</f>
        <v>0</v>
      </c>
      <c r="G80" s="184"/>
      <c r="H80" s="184">
        <f t="shared" ca="1" si="15"/>
        <v>0.4</v>
      </c>
      <c r="I80" s="170">
        <f t="shared" si="16"/>
        <v>0</v>
      </c>
      <c r="N80" s="128"/>
      <c r="O80" s="128" t="s">
        <v>417</v>
      </c>
      <c r="P80" s="129">
        <f>F70</f>
        <v>0.95633824659636146</v>
      </c>
    </row>
    <row r="81" spans="2:16" ht="15">
      <c r="B81" s="169" t="s">
        <v>147</v>
      </c>
      <c r="C81" s="170">
        <f>C49</f>
        <v>0</v>
      </c>
      <c r="D81" s="170">
        <f>D49+H63</f>
        <v>0</v>
      </c>
      <c r="E81" s="245">
        <v>0.99</v>
      </c>
      <c r="F81" s="170">
        <f>D81*Q$64</f>
        <v>0</v>
      </c>
      <c r="G81" s="184"/>
      <c r="H81" s="184">
        <f t="shared" ca="1" si="15"/>
        <v>0.99</v>
      </c>
      <c r="I81" s="170">
        <f t="shared" si="16"/>
        <v>0</v>
      </c>
      <c r="N81" s="128"/>
      <c r="O81" s="128"/>
      <c r="P81" s="128"/>
    </row>
    <row r="82" spans="2:16">
      <c r="B82" s="169" t="s">
        <v>112</v>
      </c>
      <c r="C82" s="170">
        <f>C48</f>
        <v>0</v>
      </c>
      <c r="D82" s="170">
        <f>D48</f>
        <v>0</v>
      </c>
      <c r="E82" s="245">
        <v>0.35</v>
      </c>
      <c r="F82" s="170">
        <f>D82*Q$63^0.93</f>
        <v>0</v>
      </c>
      <c r="G82" s="184"/>
      <c r="H82" s="184">
        <f t="shared" ca="1" si="15"/>
        <v>0.35</v>
      </c>
      <c r="I82" s="170">
        <f t="shared" si="16"/>
        <v>0</v>
      </c>
      <c r="N82" s="8"/>
      <c r="O82" s="8"/>
      <c r="P82" s="8"/>
    </row>
    <row r="83" spans="2:16">
      <c r="B83" s="169" t="s">
        <v>194</v>
      </c>
      <c r="C83" s="170">
        <f>C50</f>
        <v>0</v>
      </c>
      <c r="D83" s="170">
        <f>D50</f>
        <v>0</v>
      </c>
      <c r="E83" s="245">
        <v>0.1</v>
      </c>
      <c r="F83" s="170">
        <f>D83*Q$63</f>
        <v>0</v>
      </c>
      <c r="G83" s="184"/>
      <c r="H83" s="184">
        <f t="shared" ca="1" si="15"/>
        <v>0.1</v>
      </c>
      <c r="I83" s="170">
        <f t="shared" si="16"/>
        <v>0</v>
      </c>
      <c r="N83" s="8"/>
      <c r="O83" s="8"/>
      <c r="P83" s="8"/>
    </row>
    <row r="84" spans="2:16">
      <c r="B84" s="169" t="s">
        <v>197</v>
      </c>
      <c r="C84" s="170">
        <f>SUM(C52:C53)</f>
        <v>0</v>
      </c>
      <c r="D84" s="170">
        <f>SUM(D52:D53)</f>
        <v>0</v>
      </c>
      <c r="E84" s="245">
        <v>0.99</v>
      </c>
      <c r="F84" s="170">
        <f>D84*Q$64</f>
        <v>0</v>
      </c>
      <c r="G84" s="184"/>
      <c r="H84" s="184">
        <f t="shared" ca="1" si="15"/>
        <v>0.99</v>
      </c>
      <c r="I84" s="170">
        <f t="shared" si="16"/>
        <v>0</v>
      </c>
      <c r="N84" s="8"/>
      <c r="O84" s="8"/>
      <c r="P84" s="8"/>
    </row>
    <row r="85" spans="2:16">
      <c r="B85" s="169" t="s">
        <v>195</v>
      </c>
      <c r="C85" s="170">
        <f>SUM(C51)</f>
        <v>0</v>
      </c>
      <c r="D85" s="170">
        <f>SUM(D51)</f>
        <v>0</v>
      </c>
      <c r="E85" s="245">
        <v>0.99</v>
      </c>
      <c r="F85" s="170">
        <f>D85*Q$64</f>
        <v>0</v>
      </c>
      <c r="G85" s="184"/>
      <c r="H85" s="184">
        <f t="shared" ca="1" si="15"/>
        <v>0.99</v>
      </c>
      <c r="I85" s="170">
        <f t="shared" si="16"/>
        <v>0</v>
      </c>
      <c r="N85" s="8"/>
      <c r="O85" s="8"/>
      <c r="P85" s="8"/>
    </row>
    <row r="86" spans="2:16">
      <c r="B86" s="169" t="s">
        <v>52</v>
      </c>
      <c r="C86" s="170">
        <f>SUM(C76:C84)</f>
        <v>0</v>
      </c>
      <c r="D86" s="170">
        <f>SUM(D76:D84)</f>
        <v>0</v>
      </c>
      <c r="E86" s="184"/>
      <c r="F86" s="170">
        <f>SUM(F76:F84)</f>
        <v>0</v>
      </c>
      <c r="G86" s="184"/>
      <c r="H86" s="184">
        <f ca="1">MAX(0.1,F86/(C86+Tiny))</f>
        <v>0.1</v>
      </c>
      <c r="I86" s="228">
        <f t="shared" si="16"/>
        <v>0</v>
      </c>
    </row>
    <row r="88" spans="2:16" ht="16.5" thickBot="1">
      <c r="B88" s="168" t="s">
        <v>37</v>
      </c>
      <c r="C88" s="173"/>
      <c r="D88" s="173" t="s">
        <v>327</v>
      </c>
      <c r="E88" s="173" t="s">
        <v>327</v>
      </c>
      <c r="F88" s="173" t="s">
        <v>332</v>
      </c>
      <c r="G88" s="173" t="s">
        <v>332</v>
      </c>
      <c r="H88" s="173" t="s">
        <v>332</v>
      </c>
      <c r="I88" s="173"/>
    </row>
    <row r="89" spans="2:16" ht="13.5" thickTop="1">
      <c r="B89" s="172"/>
      <c r="C89" s="172" t="s">
        <v>329</v>
      </c>
      <c r="D89" s="172" t="s">
        <v>330</v>
      </c>
      <c r="E89" s="172" t="s">
        <v>205</v>
      </c>
      <c r="F89" s="172" t="s">
        <v>330</v>
      </c>
      <c r="G89" s="172" t="s">
        <v>205</v>
      </c>
      <c r="H89" s="172" t="s">
        <v>331</v>
      </c>
      <c r="I89" s="172" t="s">
        <v>54</v>
      </c>
    </row>
    <row r="90" spans="2:16">
      <c r="B90" s="169" t="s">
        <v>254</v>
      </c>
      <c r="C90" s="170">
        <f>E36</f>
        <v>0.11052000000000001</v>
      </c>
      <c r="D90" s="170">
        <f>F36</f>
        <v>3.5306408603899483E-2</v>
      </c>
      <c r="E90" s="170">
        <f>G36</f>
        <v>6.3537846214605301E-2</v>
      </c>
      <c r="F90" s="170">
        <f>MIN(D90*Q$63,C90/2)</f>
        <v>3.3695118950883486E-2</v>
      </c>
      <c r="G90" s="170">
        <f>E90*Q$66+D90*Q$63-F90</f>
        <v>6.3537846214605315E-2</v>
      </c>
      <c r="H90" s="184">
        <f t="shared" ref="H90:H96" si="17">MAX(0.5,IF(C90,SUM(F90:G90)/C90,0.9))</f>
        <v>0.87977710066493653</v>
      </c>
      <c r="I90" s="170">
        <f t="shared" ref="I90:I97" si="18">C90*H90</f>
        <v>9.7232965165488794E-2</v>
      </c>
    </row>
    <row r="91" spans="2:16">
      <c r="B91" s="169" t="s">
        <v>255</v>
      </c>
      <c r="C91" s="170">
        <f>E26</f>
        <v>16.601400000000002</v>
      </c>
      <c r="D91" s="170">
        <f>F26</f>
        <v>7.1313709434684025</v>
      </c>
      <c r="E91" s="170">
        <f>G26</f>
        <v>7.9402054215121369</v>
      </c>
      <c r="F91" s="170">
        <f t="shared" ref="F91:F96" si="19">MIN(D91*Q$63,C91/2)</f>
        <v>6.805914329006618</v>
      </c>
      <c r="G91" s="170">
        <f t="shared" ref="G91:G96" si="20">E91*Q$66+D91*Q$63-F91</f>
        <v>7.9402054215121369</v>
      </c>
      <c r="H91" s="184">
        <f t="shared" si="17"/>
        <v>0.88824555462302901</v>
      </c>
      <c r="I91" s="170">
        <f t="shared" si="18"/>
        <v>14.746119750518755</v>
      </c>
    </row>
    <row r="92" spans="2:16">
      <c r="B92" s="169" t="s">
        <v>256</v>
      </c>
      <c r="C92" s="170">
        <f>E47-E43</f>
        <v>37.429200000000002</v>
      </c>
      <c r="D92" s="170">
        <f>F47-F43</f>
        <v>10.8105096856273</v>
      </c>
      <c r="E92" s="170">
        <f>G47-G43</f>
        <v>21.961850404179476</v>
      </c>
      <c r="F92" s="170">
        <f t="shared" si="19"/>
        <v>10.317147061416447</v>
      </c>
      <c r="G92" s="170">
        <f t="shared" si="20"/>
        <v>21.961850404179472</v>
      </c>
      <c r="H92" s="184">
        <f t="shared" si="17"/>
        <v>0.86240147974297932</v>
      </c>
      <c r="I92" s="170">
        <f t="shared" si="18"/>
        <v>32.278997465595921</v>
      </c>
    </row>
    <row r="93" spans="2:16">
      <c r="B93" s="169" t="s">
        <v>347</v>
      </c>
      <c r="C93" s="170">
        <f>E43</f>
        <v>0.31607999999999997</v>
      </c>
      <c r="D93" s="170">
        <f>F43</f>
        <v>0</v>
      </c>
      <c r="E93" s="170">
        <f>G43</f>
        <v>0.27953074023188967</v>
      </c>
      <c r="F93" s="170">
        <f t="shared" si="19"/>
        <v>0</v>
      </c>
      <c r="G93" s="170">
        <f t="shared" si="20"/>
        <v>0.27953074023188967</v>
      </c>
      <c r="H93" s="184">
        <f t="shared" si="17"/>
        <v>0.88436705970605445</v>
      </c>
      <c r="I93" s="170">
        <f t="shared" si="18"/>
        <v>0.27953074023188967</v>
      </c>
    </row>
    <row r="94" spans="2:16">
      <c r="B94" s="169" t="s">
        <v>257</v>
      </c>
      <c r="C94" s="170">
        <f>E42-E38-E39</f>
        <v>1.9130400000000001</v>
      </c>
      <c r="D94" s="170">
        <f>F42-F38-F39</f>
        <v>0.45326626760775368</v>
      </c>
      <c r="E94" s="170">
        <f>G42-G38-G39</f>
        <v>1.2084496856429072</v>
      </c>
      <c r="F94" s="170">
        <f t="shared" si="19"/>
        <v>0.4325804126613832</v>
      </c>
      <c r="G94" s="170">
        <f t="shared" si="20"/>
        <v>1.2084496856429072</v>
      </c>
      <c r="H94" s="184">
        <f t="shared" si="17"/>
        <v>0.85781274740951075</v>
      </c>
      <c r="I94" s="170">
        <f t="shared" si="18"/>
        <v>1.6410300983042905</v>
      </c>
    </row>
    <row r="95" spans="2:16">
      <c r="B95" s="169" t="s">
        <v>549</v>
      </c>
      <c r="C95" s="170">
        <f>SUM(C38:C39,E38:E39)</f>
        <v>2.8103599999999997</v>
      </c>
      <c r="D95" s="170">
        <f>SUM(D38:D39,F38:F39)</f>
        <v>0.97047285217494506</v>
      </c>
      <c r="E95" s="170">
        <f>G38+G39</f>
        <v>1.6405009686214709</v>
      </c>
      <c r="F95" s="170">
        <f t="shared" si="19"/>
        <v>0.92618307796467025</v>
      </c>
      <c r="G95" s="170">
        <f>MAX(C95*0.72,E95*Q$66+D95*Q$63)-F95</f>
        <v>1.6405009686214709</v>
      </c>
      <c r="H95" s="184">
        <f t="shared" si="17"/>
        <v>0.91329368713835291</v>
      </c>
      <c r="I95" s="170">
        <f t="shared" si="18"/>
        <v>2.5666840465861411</v>
      </c>
    </row>
    <row r="96" spans="2:16">
      <c r="B96" s="169" t="s">
        <v>194</v>
      </c>
      <c r="C96" s="170">
        <f>E50</f>
        <v>0</v>
      </c>
      <c r="D96" s="170">
        <f>F50</f>
        <v>0</v>
      </c>
      <c r="E96" s="170">
        <f>G50</f>
        <v>0</v>
      </c>
      <c r="F96" s="170">
        <f t="shared" si="19"/>
        <v>0</v>
      </c>
      <c r="G96" s="170">
        <f t="shared" si="20"/>
        <v>0</v>
      </c>
      <c r="H96" s="184">
        <f t="shared" si="17"/>
        <v>0.9</v>
      </c>
      <c r="I96" s="170">
        <f t="shared" si="18"/>
        <v>0</v>
      </c>
    </row>
    <row r="97" spans="2:13">
      <c r="B97" s="169" t="s">
        <v>52</v>
      </c>
      <c r="C97" s="170">
        <f>SUM(C90:C96)</f>
        <v>59.180600000000005</v>
      </c>
      <c r="D97" s="170">
        <f>SUM(D90:D96)</f>
        <v>19.400926157482299</v>
      </c>
      <c r="E97" s="170">
        <f>SUM(E90:E96)</f>
        <v>33.094075066402489</v>
      </c>
      <c r="F97" s="170">
        <f>SUM(F90:F96)</f>
        <v>18.515520000000002</v>
      </c>
      <c r="G97" s="170">
        <f>SUM(G90:G96)</f>
        <v>33.094075066402482</v>
      </c>
      <c r="H97" s="184">
        <f ca="1">MAX(0.1,SUM(F97:G97)/(C97+Tiny))</f>
        <v>0.8720694799567833</v>
      </c>
      <c r="I97" s="170">
        <f t="shared" si="18"/>
        <v>51.609595065530414</v>
      </c>
    </row>
    <row r="99" spans="2:13" ht="16.5" thickBot="1">
      <c r="B99" s="168" t="s">
        <v>205</v>
      </c>
      <c r="C99" s="173"/>
      <c r="D99" s="173"/>
      <c r="E99" s="173" t="s">
        <v>327</v>
      </c>
      <c r="F99" s="173" t="s">
        <v>489</v>
      </c>
      <c r="G99" s="173" t="s">
        <v>332</v>
      </c>
      <c r="H99" s="173" t="s">
        <v>332</v>
      </c>
      <c r="I99" s="173"/>
    </row>
    <row r="100" spans="2:13" ht="13.5" thickTop="1">
      <c r="B100" s="172"/>
      <c r="C100" s="172" t="s">
        <v>329</v>
      </c>
      <c r="D100" s="172"/>
      <c r="E100" s="172" t="s">
        <v>205</v>
      </c>
      <c r="F100" s="172" t="s">
        <v>490</v>
      </c>
      <c r="G100" s="172" t="s">
        <v>205</v>
      </c>
      <c r="H100" s="172" t="s">
        <v>331</v>
      </c>
      <c r="I100" s="172" t="s">
        <v>54</v>
      </c>
      <c r="L100" s="172"/>
      <c r="M100" s="172" t="s">
        <v>329</v>
      </c>
    </row>
    <row r="101" spans="2:13">
      <c r="B101" s="169" t="s">
        <v>254</v>
      </c>
      <c r="C101" s="170">
        <f>H36</f>
        <v>0.30492000000000002</v>
      </c>
      <c r="D101" s="169"/>
      <c r="E101" s="170">
        <f>I36</f>
        <v>0.29766862604553285</v>
      </c>
      <c r="F101" s="216">
        <v>0.9</v>
      </c>
      <c r="G101" s="170">
        <f t="shared" ref="G101:G107" si="21">E101*Q$66</f>
        <v>0.29766862604553285</v>
      </c>
      <c r="H101" s="184">
        <f t="shared" ref="H101:H107" ca="1" si="22">IF(C101&gt;0,MAX(0.7*F101,G101/(C101+Tiny)),F101)</f>
        <v>0.97621876252562656</v>
      </c>
      <c r="I101" s="170">
        <f t="shared" ref="I101:I107" ca="1" si="23">MAX(Tiny,C101*H101)</f>
        <v>0.29766862506931407</v>
      </c>
      <c r="L101" s="169" t="s">
        <v>254</v>
      </c>
      <c r="M101" s="125">
        <f t="shared" ref="M101:M108" si="24">SUM(C76,C90,C101)</f>
        <v>0.41544000000000003</v>
      </c>
    </row>
    <row r="102" spans="2:13">
      <c r="B102" s="169" t="s">
        <v>255</v>
      </c>
      <c r="C102" s="170">
        <f>H26</f>
        <v>1.93896</v>
      </c>
      <c r="D102" s="169"/>
      <c r="E102" s="170">
        <f>I26</f>
        <v>1.8928491379943799</v>
      </c>
      <c r="F102" s="216">
        <v>0.9</v>
      </c>
      <c r="G102" s="170">
        <f t="shared" si="21"/>
        <v>1.8928491379943799</v>
      </c>
      <c r="H102" s="184">
        <f t="shared" ca="1" si="22"/>
        <v>0.9762187652237081</v>
      </c>
      <c r="I102" s="170">
        <f t="shared" ca="1" si="23"/>
        <v>1.892849137018161</v>
      </c>
      <c r="L102" s="169" t="s">
        <v>255</v>
      </c>
      <c r="M102" s="125">
        <f t="shared" si="24"/>
        <v>18.540360000000003</v>
      </c>
    </row>
    <row r="103" spans="2:13">
      <c r="B103" s="169" t="s">
        <v>256</v>
      </c>
      <c r="C103" s="170">
        <f>H47-H43</f>
        <v>1.1127600000000002</v>
      </c>
      <c r="D103" s="169"/>
      <c r="E103" s="170">
        <f>I47-I43</f>
        <v>1.07422722493113</v>
      </c>
      <c r="F103" s="216">
        <v>0.88</v>
      </c>
      <c r="G103" s="170">
        <f t="shared" si="21"/>
        <v>1.07422722493113</v>
      </c>
      <c r="H103" s="184">
        <f t="shared" ca="1" si="22"/>
        <v>0.96537188968488963</v>
      </c>
      <c r="I103" s="170">
        <f t="shared" ca="1" si="23"/>
        <v>1.074227223965758</v>
      </c>
      <c r="L103" s="169" t="s">
        <v>256</v>
      </c>
      <c r="M103" s="125">
        <f t="shared" si="24"/>
        <v>38.541960000000003</v>
      </c>
    </row>
    <row r="104" spans="2:13">
      <c r="B104" s="169" t="s">
        <v>347</v>
      </c>
      <c r="C104" s="170">
        <f>H43</f>
        <v>6.4800000000000005E-3</v>
      </c>
      <c r="D104" s="169"/>
      <c r="E104" s="170">
        <f>I43</f>
        <v>6.0447465973827198E-3</v>
      </c>
      <c r="F104" s="216">
        <v>0.87</v>
      </c>
      <c r="G104" s="170">
        <f t="shared" si="21"/>
        <v>6.0447465973827198E-3</v>
      </c>
      <c r="H104" s="184">
        <f t="shared" ca="1" si="22"/>
        <v>0.93283112107277744</v>
      </c>
      <c r="I104" s="170">
        <f t="shared" ca="1" si="23"/>
        <v>6.0447456645515985E-3</v>
      </c>
      <c r="L104" s="169" t="s">
        <v>347</v>
      </c>
      <c r="M104" s="125">
        <f t="shared" si="24"/>
        <v>0.32255999999999996</v>
      </c>
    </row>
    <row r="105" spans="2:13">
      <c r="B105" s="169" t="s">
        <v>257</v>
      </c>
      <c r="C105" s="170">
        <f>H42-H38-H39</f>
        <v>0.99468000000000001</v>
      </c>
      <c r="D105" s="169"/>
      <c r="E105" s="170">
        <f>I42-I38-I39</f>
        <v>0.97102528189351478</v>
      </c>
      <c r="F105" s="216">
        <v>0.86</v>
      </c>
      <c r="G105" s="170">
        <f t="shared" si="21"/>
        <v>0.97102528189351478</v>
      </c>
      <c r="H105" s="184">
        <f t="shared" ca="1" si="22"/>
        <v>0.97621876474574343</v>
      </c>
      <c r="I105" s="170">
        <f t="shared" ca="1" si="23"/>
        <v>0.97102528091729612</v>
      </c>
      <c r="L105" s="169" t="s">
        <v>257</v>
      </c>
      <c r="M105" s="125">
        <f t="shared" si="24"/>
        <v>2.9077200000000003</v>
      </c>
    </row>
    <row r="106" spans="2:13">
      <c r="B106" s="169" t="s">
        <v>549</v>
      </c>
      <c r="C106" s="170">
        <f>H38+H39</f>
        <v>1.1833199999999999</v>
      </c>
      <c r="D106" s="169"/>
      <c r="E106" s="170">
        <f>I38+I39</f>
        <v>1.1038378925331664</v>
      </c>
      <c r="F106" s="216">
        <v>0.8</v>
      </c>
      <c r="G106" s="170">
        <f t="shared" si="21"/>
        <v>1.1038378925331664</v>
      </c>
      <c r="H106" s="184">
        <f t="shared" ca="1" si="22"/>
        <v>0.93283126423988028</v>
      </c>
      <c r="I106" s="170">
        <f t="shared" ca="1" si="23"/>
        <v>1.1038378916003351</v>
      </c>
      <c r="L106" s="169" t="s">
        <v>549</v>
      </c>
      <c r="M106" s="125">
        <f t="shared" si="24"/>
        <v>3.9936799999999995</v>
      </c>
    </row>
    <row r="107" spans="2:13">
      <c r="B107" s="169" t="s">
        <v>194</v>
      </c>
      <c r="C107" s="170">
        <f>H50</f>
        <v>2.1339361243783648</v>
      </c>
      <c r="D107" s="169"/>
      <c r="E107" s="170">
        <f>I50</f>
        <v>3.1039070900048946</v>
      </c>
      <c r="F107" s="216">
        <v>0.9</v>
      </c>
      <c r="G107" s="170">
        <f t="shared" si="21"/>
        <v>3.1039070900048946</v>
      </c>
      <c r="H107" s="184">
        <f t="shared" ca="1" si="22"/>
        <v>1.4545454538638292</v>
      </c>
      <c r="I107" s="170">
        <f t="shared" ca="1" si="23"/>
        <v>3.1039070885503492</v>
      </c>
      <c r="L107" s="169" t="s">
        <v>194</v>
      </c>
      <c r="M107" s="125">
        <f t="shared" si="24"/>
        <v>2.1339361243783648</v>
      </c>
    </row>
    <row r="108" spans="2:13">
      <c r="B108" s="169" t="s">
        <v>52</v>
      </c>
      <c r="C108" s="170">
        <f>SUM(C101:C107)</f>
        <v>7.675056124378365</v>
      </c>
      <c r="D108" s="169"/>
      <c r="E108" s="170">
        <f>SUM(E101:E107)</f>
        <v>8.4495600000000017</v>
      </c>
      <c r="F108" s="169"/>
      <c r="G108" s="170">
        <f>SUM(G101:G107)</f>
        <v>8.4495600000000017</v>
      </c>
      <c r="H108" s="184">
        <f ca="1">MAX(0.1,SUM(F108:G108)/(C108+Tiny))</f>
        <v>1.1009118190107638</v>
      </c>
      <c r="I108" s="170">
        <f>C108*H108</f>
        <v>8.4495599988990886</v>
      </c>
      <c r="L108" s="169" t="s">
        <v>52</v>
      </c>
      <c r="M108" s="125">
        <f t="shared" si="24"/>
        <v>66.85565612437837</v>
      </c>
    </row>
    <row r="110" spans="2:13">
      <c r="C110" s="125"/>
      <c r="D110" s="125"/>
      <c r="E110" s="125"/>
      <c r="F110" s="125"/>
      <c r="G110" s="125"/>
      <c r="H110" s="125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127"/>
  <sheetViews>
    <sheetView showGridLines="0" showRowColHeaders="0" showZeros="0" showOutlineSymbols="0" zoomScale="80" workbookViewId="0">
      <pane xSplit="2" ySplit="3" topLeftCell="C68" activePane="bottomRight" state="frozen"/>
      <selection pane="topRight" activeCell="C1" sqref="C1"/>
      <selection pane="bottomLeft" activeCell="A3" sqref="A3"/>
      <selection pane="bottomRight" activeCell="F76" sqref="F76"/>
    </sheetView>
  </sheetViews>
  <sheetFormatPr defaultColWidth="0" defaultRowHeight="12.75" zeroHeight="1"/>
  <cols>
    <col min="1" max="2" width="0" style="364" hidden="1" customWidth="1"/>
    <col min="3" max="11" width="7.28515625" style="364" hidden="1" customWidth="1"/>
    <col min="12" max="12" width="5.42578125" style="364" hidden="1" customWidth="1"/>
    <col min="13" max="21" width="7.28515625" style="364" hidden="1" customWidth="1"/>
    <col min="22" max="22" width="4.85546875" style="364" hidden="1" customWidth="1"/>
    <col min="23" max="31" width="7.28515625" style="364" hidden="1" customWidth="1"/>
    <col min="32" max="16384" width="0" style="364" hidden="1"/>
  </cols>
  <sheetData>
    <row r="1" spans="1:31" hidden="1">
      <c r="A1" s="364" t="s">
        <v>383</v>
      </c>
      <c r="B1" s="364">
        <f>MATCH(Region,$D1:$F1,0)</f>
        <v>3</v>
      </c>
      <c r="D1" s="365" t="s">
        <v>345</v>
      </c>
      <c r="E1" s="366" t="s">
        <v>683</v>
      </c>
      <c r="F1" s="367" t="s">
        <v>552</v>
      </c>
    </row>
    <row r="2" spans="1:31" hidden="1">
      <c r="A2" s="364" t="s">
        <v>333</v>
      </c>
      <c r="B2" s="364">
        <f>3.6*8.76</f>
        <v>31.536000000000001</v>
      </c>
    </row>
    <row r="3" spans="1:31" ht="18" hidden="1">
      <c r="C3" s="368" t="s">
        <v>345</v>
      </c>
      <c r="D3" s="369" t="s">
        <v>350</v>
      </c>
      <c r="E3" s="370"/>
      <c r="F3" s="370"/>
      <c r="G3" s="371"/>
      <c r="H3" s="371"/>
      <c r="I3" s="371"/>
      <c r="J3" s="371"/>
      <c r="K3" s="371"/>
      <c r="M3" s="368" t="s">
        <v>683</v>
      </c>
      <c r="N3" s="369" t="s">
        <v>314</v>
      </c>
      <c r="O3" s="370"/>
      <c r="P3" s="370"/>
      <c r="Q3" s="370"/>
      <c r="R3" s="371"/>
      <c r="S3" s="371"/>
      <c r="T3" s="371"/>
      <c r="U3" s="371"/>
      <c r="W3" s="368" t="s">
        <v>552</v>
      </c>
      <c r="X3" s="369" t="s">
        <v>553</v>
      </c>
      <c r="Y3" s="370"/>
      <c r="Z3" s="370"/>
      <c r="AA3" s="370"/>
      <c r="AB3" s="371"/>
      <c r="AC3" s="371"/>
      <c r="AD3" s="371"/>
      <c r="AE3" s="371"/>
    </row>
    <row r="4" spans="1:31" hidden="1"/>
    <row r="5" spans="1:31" hidden="1">
      <c r="A5" s="372">
        <f ca="1">BaseYear</f>
        <v>2010</v>
      </c>
      <c r="B5" s="373" t="s">
        <v>37</v>
      </c>
      <c r="C5" s="373" t="s">
        <v>254</v>
      </c>
      <c r="D5" s="373" t="s">
        <v>255</v>
      </c>
      <c r="E5" s="373" t="s">
        <v>256</v>
      </c>
      <c r="F5" s="373" t="s">
        <v>347</v>
      </c>
      <c r="G5" s="373" t="s">
        <v>348</v>
      </c>
      <c r="H5" s="373" t="s">
        <v>597</v>
      </c>
      <c r="I5" s="374"/>
      <c r="J5" s="375" t="b">
        <f ca="1">C3=INDEX($D$1:$F$1,CalIndex)</f>
        <v>0</v>
      </c>
      <c r="K5" s="374"/>
      <c r="M5" s="373" t="s">
        <v>254</v>
      </c>
      <c r="N5" s="373" t="s">
        <v>255</v>
      </c>
      <c r="O5" s="373" t="s">
        <v>256</v>
      </c>
      <c r="P5" s="373" t="s">
        <v>347</v>
      </c>
      <c r="Q5" s="373" t="s">
        <v>314</v>
      </c>
      <c r="R5" s="373"/>
      <c r="S5" s="374"/>
      <c r="T5" s="375" t="b">
        <f ca="1">M3=INDEX($D$1:$F$1,CalIndex)</f>
        <v>0</v>
      </c>
      <c r="U5" s="374"/>
      <c r="W5" s="373" t="s">
        <v>254</v>
      </c>
      <c r="X5" s="373" t="s">
        <v>255</v>
      </c>
      <c r="Y5" s="373" t="s">
        <v>256</v>
      </c>
      <c r="Z5" s="373" t="s">
        <v>347</v>
      </c>
      <c r="AA5" s="373" t="s">
        <v>348</v>
      </c>
      <c r="AB5" s="373" t="s">
        <v>597</v>
      </c>
      <c r="AC5" s="374"/>
      <c r="AD5" s="375" t="b">
        <f ca="1">W3=INDEX($D$1:$F$1,CalIndex)</f>
        <v>1</v>
      </c>
      <c r="AE5" s="374"/>
    </row>
    <row r="6" spans="1:31" hidden="1">
      <c r="B6" s="376">
        <v>1</v>
      </c>
      <c r="C6" s="377">
        <v>0.20990487382345133</v>
      </c>
      <c r="D6" s="377">
        <v>0.70029602669011137</v>
      </c>
      <c r="E6" s="377">
        <v>0.74550782963136486</v>
      </c>
      <c r="F6" s="377">
        <v>8.0397738704047914E-2</v>
      </c>
      <c r="G6" s="377">
        <v>3.4747800703721687E-2</v>
      </c>
      <c r="H6" s="377">
        <v>0.3571356292373597</v>
      </c>
      <c r="M6" s="377">
        <v>0</v>
      </c>
      <c r="N6" s="377">
        <v>0.84642757007858127</v>
      </c>
      <c r="O6" s="377">
        <v>0.67756958637751119</v>
      </c>
      <c r="P6" s="377">
        <v>5.7391573201743727E-2</v>
      </c>
      <c r="Q6" s="377">
        <v>0.11610774932540165</v>
      </c>
      <c r="R6" s="377"/>
      <c r="W6" s="377">
        <v>1</v>
      </c>
      <c r="X6" s="377">
        <v>1</v>
      </c>
      <c r="Y6" s="377">
        <v>1</v>
      </c>
      <c r="Z6" s="377">
        <v>1</v>
      </c>
      <c r="AA6" s="377">
        <v>1</v>
      </c>
      <c r="AB6" s="377">
        <v>1</v>
      </c>
    </row>
    <row r="7" spans="1:31" hidden="1">
      <c r="B7" s="376">
        <v>2</v>
      </c>
      <c r="C7" s="377">
        <v>8.4041575169043092E-2</v>
      </c>
      <c r="D7" s="377">
        <v>0.29855589178603836</v>
      </c>
      <c r="E7" s="377">
        <v>1.4810441986048439E-3</v>
      </c>
      <c r="F7" s="377">
        <v>5.8205059686275672E-2</v>
      </c>
      <c r="G7" s="377">
        <v>0.26257563124010669</v>
      </c>
      <c r="H7" s="377">
        <v>0.27001045636995313</v>
      </c>
      <c r="M7" s="377">
        <v>0</v>
      </c>
      <c r="N7" s="377">
        <v>0.15357242992141876</v>
      </c>
      <c r="O7" s="377">
        <v>1.0196204246051879E-2</v>
      </c>
      <c r="P7" s="377">
        <v>2.7553831903610066E-2</v>
      </c>
      <c r="Q7" s="377">
        <v>7.5247058854281595E-2</v>
      </c>
      <c r="R7" s="377"/>
      <c r="W7" s="377">
        <v>0</v>
      </c>
      <c r="X7" s="377">
        <v>0</v>
      </c>
      <c r="Y7" s="377">
        <v>0</v>
      </c>
      <c r="Z7" s="377">
        <v>0</v>
      </c>
      <c r="AA7" s="377">
        <v>0</v>
      </c>
      <c r="AB7" s="377"/>
    </row>
    <row r="8" spans="1:31" hidden="1">
      <c r="B8" s="376">
        <v>3</v>
      </c>
      <c r="C8" s="377">
        <v>0.38966843480190339</v>
      </c>
      <c r="D8" s="378">
        <v>0</v>
      </c>
      <c r="E8" s="377">
        <v>0.22465381148240945</v>
      </c>
      <c r="F8" s="377">
        <v>0.63933624177253034</v>
      </c>
      <c r="G8" s="377">
        <v>0.45093849193613056</v>
      </c>
      <c r="H8" s="377">
        <v>0.16706580767025334</v>
      </c>
      <c r="M8" s="377">
        <v>1</v>
      </c>
      <c r="N8" s="377">
        <v>0</v>
      </c>
      <c r="O8" s="377">
        <v>9.0387703539273015E-2</v>
      </c>
      <c r="P8" s="377">
        <v>0.74051903892799953</v>
      </c>
      <c r="Q8" s="377">
        <v>0.52699081704834294</v>
      </c>
      <c r="R8" s="377"/>
      <c r="W8" s="377">
        <v>0</v>
      </c>
      <c r="X8" s="377">
        <v>0</v>
      </c>
      <c r="Y8" s="377">
        <v>0</v>
      </c>
      <c r="Z8" s="377">
        <v>0</v>
      </c>
      <c r="AA8" s="377">
        <v>0</v>
      </c>
      <c r="AB8" s="377"/>
    </row>
    <row r="9" spans="1:31" hidden="1">
      <c r="B9" s="376">
        <v>4</v>
      </c>
      <c r="C9" s="377">
        <v>0.31638511620560211</v>
      </c>
      <c r="D9" s="377">
        <v>1.14808152385018E-3</v>
      </c>
      <c r="E9" s="377">
        <v>2.8357314687620844E-2</v>
      </c>
      <c r="F9" s="377">
        <v>0.2220609598371461</v>
      </c>
      <c r="G9" s="377">
        <v>0.25173807612004112</v>
      </c>
      <c r="H9" s="377">
        <v>0.20578810672243394</v>
      </c>
      <c r="M9" s="377">
        <v>0</v>
      </c>
      <c r="N9" s="377">
        <v>0</v>
      </c>
      <c r="O9" s="377">
        <v>0.22184650583716395</v>
      </c>
      <c r="P9" s="377">
        <v>0.17453555596664672</v>
      </c>
      <c r="Q9" s="377">
        <v>0.28165437477197391</v>
      </c>
      <c r="R9" s="377"/>
      <c r="W9" s="377">
        <v>0</v>
      </c>
      <c r="X9" s="377">
        <v>0</v>
      </c>
      <c r="Y9" s="377">
        <v>0</v>
      </c>
      <c r="Z9" s="377">
        <v>0</v>
      </c>
      <c r="AA9" s="377">
        <v>0</v>
      </c>
      <c r="AB9" s="377"/>
    </row>
    <row r="10" spans="1:31" hidden="1"/>
    <row r="11" spans="1:31" hidden="1">
      <c r="B11" s="373" t="s">
        <v>349</v>
      </c>
      <c r="C11" s="373" t="s">
        <v>254</v>
      </c>
      <c r="D11" s="373" t="s">
        <v>255</v>
      </c>
      <c r="E11" s="373" t="s">
        <v>256</v>
      </c>
      <c r="F11" s="373" t="s">
        <v>347</v>
      </c>
      <c r="G11" s="373" t="s">
        <v>314</v>
      </c>
      <c r="H11" s="379" t="s">
        <v>597</v>
      </c>
      <c r="I11" s="379" t="s">
        <v>598</v>
      </c>
      <c r="J11" s="380" t="s">
        <v>432</v>
      </c>
      <c r="K11" s="373"/>
      <c r="M11" s="373" t="s">
        <v>254</v>
      </c>
      <c r="N11" s="373" t="s">
        <v>255</v>
      </c>
      <c r="O11" s="373" t="s">
        <v>256</v>
      </c>
      <c r="P11" s="373" t="s">
        <v>347</v>
      </c>
      <c r="Q11" s="373" t="s">
        <v>314</v>
      </c>
      <c r="R11" s="373"/>
      <c r="T11" s="380" t="s">
        <v>432</v>
      </c>
      <c r="U11" s="373"/>
      <c r="W11" s="373" t="s">
        <v>254</v>
      </c>
      <c r="X11" s="373" t="s">
        <v>255</v>
      </c>
      <c r="Y11" s="373" t="s">
        <v>256</v>
      </c>
      <c r="Z11" s="373" t="s">
        <v>347</v>
      </c>
      <c r="AA11" s="373" t="s">
        <v>314</v>
      </c>
      <c r="AB11" s="379" t="s">
        <v>597</v>
      </c>
      <c r="AC11" s="379" t="s">
        <v>598</v>
      </c>
      <c r="AD11" s="380" t="s">
        <v>432</v>
      </c>
      <c r="AE11" s="373"/>
    </row>
    <row r="12" spans="1:31" hidden="1">
      <c r="B12" s="376">
        <v>1</v>
      </c>
      <c r="C12" s="377">
        <v>0.12613960738784311</v>
      </c>
      <c r="D12" s="377">
        <v>0.19635978277771926</v>
      </c>
      <c r="E12" s="377">
        <v>0.74006686346366035</v>
      </c>
      <c r="F12" s="377">
        <v>3.3204959845226666E-3</v>
      </c>
      <c r="G12" s="377">
        <v>0.12111273768638783</v>
      </c>
      <c r="H12" s="381">
        <v>0.3706170803589473</v>
      </c>
      <c r="I12" s="381">
        <v>0.88043914848038551</v>
      </c>
      <c r="J12" s="376" t="s">
        <v>433</v>
      </c>
      <c r="K12" s="377">
        <v>0.4</v>
      </c>
      <c r="M12" s="377">
        <v>0.21983300926455449</v>
      </c>
      <c r="N12" s="377">
        <v>0.45990698058573998</v>
      </c>
      <c r="O12" s="377">
        <v>0.58254867260735776</v>
      </c>
      <c r="P12" s="377">
        <v>0.16569635428441035</v>
      </c>
      <c r="Q12" s="377">
        <v>0.17614719476254134</v>
      </c>
      <c r="R12" s="377"/>
      <c r="T12" s="376" t="s">
        <v>433</v>
      </c>
      <c r="U12" s="377">
        <v>0.3</v>
      </c>
      <c r="W12" s="377">
        <v>1</v>
      </c>
      <c r="X12" s="377">
        <v>1</v>
      </c>
      <c r="Y12" s="377">
        <v>1</v>
      </c>
      <c r="Z12" s="377">
        <v>1</v>
      </c>
      <c r="AA12" s="377">
        <v>1</v>
      </c>
      <c r="AB12" s="377">
        <v>1</v>
      </c>
      <c r="AC12" s="377">
        <v>1</v>
      </c>
      <c r="AD12" s="376" t="s">
        <v>433</v>
      </c>
      <c r="AE12" s="377">
        <v>0.2</v>
      </c>
    </row>
    <row r="13" spans="1:31" hidden="1">
      <c r="B13" s="376">
        <v>2</v>
      </c>
      <c r="C13" s="377">
        <v>7.2326903831882672E-2</v>
      </c>
      <c r="D13" s="377">
        <v>0.78677049598253102</v>
      </c>
      <c r="E13" s="377">
        <v>0.24304413327206439</v>
      </c>
      <c r="F13" s="377">
        <v>1.8179293793987743E-2</v>
      </c>
      <c r="G13" s="377">
        <v>0.10258092375136239</v>
      </c>
      <c r="H13" s="381">
        <v>0.21761487087003237</v>
      </c>
      <c r="I13" s="381">
        <v>9.452403266836254E-2</v>
      </c>
      <c r="J13" s="376" t="s">
        <v>386</v>
      </c>
      <c r="K13" s="377">
        <v>0.46466294936307173</v>
      </c>
      <c r="M13" s="377">
        <v>5.5358572572343598E-2</v>
      </c>
      <c r="N13" s="377">
        <v>0.54009301941426002</v>
      </c>
      <c r="O13" s="377">
        <v>4.2421931833605868E-2</v>
      </c>
      <c r="P13" s="377">
        <v>0.12396894069647035</v>
      </c>
      <c r="Q13" s="377">
        <v>0.22978340816611731</v>
      </c>
      <c r="R13" s="377"/>
      <c r="T13" s="376" t="s">
        <v>386</v>
      </c>
      <c r="U13" s="377">
        <v>0.31277780826370805</v>
      </c>
      <c r="W13" s="377">
        <v>0</v>
      </c>
      <c r="X13" s="377">
        <v>0</v>
      </c>
      <c r="Y13" s="377">
        <v>0</v>
      </c>
      <c r="Z13" s="377">
        <v>0</v>
      </c>
      <c r="AA13" s="377">
        <v>0</v>
      </c>
      <c r="AB13" s="377"/>
      <c r="AD13" s="376" t="s">
        <v>386</v>
      </c>
      <c r="AE13" s="377">
        <v>0.23929445192036936</v>
      </c>
    </row>
    <row r="14" spans="1:31" hidden="1">
      <c r="B14" s="376">
        <v>3</v>
      </c>
      <c r="C14" s="377">
        <v>0.255842675920954</v>
      </c>
      <c r="D14" s="377">
        <v>1.3984161684326556E-2</v>
      </c>
      <c r="E14" s="377">
        <v>1.2417538825356955E-2</v>
      </c>
      <c r="F14" s="377">
        <v>0.2919815290963606</v>
      </c>
      <c r="G14" s="377">
        <v>0.10411714134198516</v>
      </c>
      <c r="H14" s="381">
        <v>0.1277224145557192</v>
      </c>
      <c r="I14" s="381">
        <v>1.0041504886865707E-3</v>
      </c>
      <c r="M14" s="377">
        <v>0.16693354683746997</v>
      </c>
      <c r="N14" s="377">
        <v>0</v>
      </c>
      <c r="O14" s="377">
        <v>1.7843254362528992E-2</v>
      </c>
      <c r="P14" s="377">
        <v>0.409398544368268</v>
      </c>
      <c r="Q14" s="377">
        <v>8.5459668685294379E-2</v>
      </c>
      <c r="R14" s="377"/>
      <c r="W14" s="377">
        <v>0</v>
      </c>
      <c r="X14" s="377">
        <v>0</v>
      </c>
      <c r="Y14" s="377">
        <v>0</v>
      </c>
      <c r="Z14" s="377">
        <v>0</v>
      </c>
      <c r="AA14" s="377">
        <v>0</v>
      </c>
      <c r="AB14" s="377"/>
    </row>
    <row r="15" spans="1:31" hidden="1">
      <c r="B15" s="376">
        <v>4</v>
      </c>
      <c r="C15" s="377">
        <v>0.5456908128593202</v>
      </c>
      <c r="D15" s="377">
        <v>2.8855595554231278E-3</v>
      </c>
      <c r="E15" s="377">
        <v>4.4714644389183007E-3</v>
      </c>
      <c r="F15" s="377">
        <v>0.68651868112512915</v>
      </c>
      <c r="G15" s="377">
        <v>0.67218919722026449</v>
      </c>
      <c r="H15" s="381">
        <v>0.2840456342153011</v>
      </c>
      <c r="I15" s="381">
        <v>2.4032668362565259E-2</v>
      </c>
      <c r="M15" s="377">
        <v>0.55787487132563196</v>
      </c>
      <c r="N15" s="377">
        <v>0</v>
      </c>
      <c r="O15" s="377">
        <v>0.35718614119650727</v>
      </c>
      <c r="P15" s="377">
        <v>0.30093616065085133</v>
      </c>
      <c r="Q15" s="377">
        <v>0.5086097283860469</v>
      </c>
      <c r="R15" s="377"/>
      <c r="W15" s="377">
        <v>0</v>
      </c>
      <c r="X15" s="377">
        <v>0</v>
      </c>
      <c r="Y15" s="377">
        <v>0</v>
      </c>
      <c r="Z15" s="377">
        <v>0</v>
      </c>
      <c r="AA15" s="377">
        <v>0</v>
      </c>
      <c r="AB15" s="377"/>
    </row>
    <row r="16" spans="1:31" hidden="1"/>
    <row r="17" spans="1:31" hidden="1">
      <c r="A17" s="372">
        <f ca="1">AuxYear</f>
        <v>2017</v>
      </c>
      <c r="B17" s="373" t="s">
        <v>37</v>
      </c>
      <c r="C17" s="373" t="s">
        <v>254</v>
      </c>
      <c r="D17" s="373" t="s">
        <v>255</v>
      </c>
      <c r="E17" s="373" t="s">
        <v>256</v>
      </c>
      <c r="F17" s="373" t="s">
        <v>347</v>
      </c>
      <c r="G17" s="373" t="s">
        <v>348</v>
      </c>
      <c r="H17" s="373" t="s">
        <v>597</v>
      </c>
      <c r="I17" s="382"/>
      <c r="J17" s="382" t="b">
        <f ca="1">C15=INDEX($D$1:$F$1,CalIndex)</f>
        <v>0</v>
      </c>
      <c r="K17" s="382"/>
      <c r="M17" s="373" t="s">
        <v>254</v>
      </c>
      <c r="N17" s="373" t="s">
        <v>255</v>
      </c>
      <c r="O17" s="373" t="s">
        <v>256</v>
      </c>
      <c r="P17" s="373" t="s">
        <v>347</v>
      </c>
      <c r="Q17" s="373" t="s">
        <v>314</v>
      </c>
      <c r="R17" s="373"/>
      <c r="T17" s="364" t="b">
        <f ca="1">M15=INDEX($D$1:$F$1,CalIndex)</f>
        <v>0</v>
      </c>
      <c r="W17" s="373" t="s">
        <v>254</v>
      </c>
      <c r="X17" s="373" t="s">
        <v>255</v>
      </c>
      <c r="Y17" s="373" t="s">
        <v>256</v>
      </c>
      <c r="Z17" s="373" t="s">
        <v>347</v>
      </c>
      <c r="AA17" s="373" t="s">
        <v>348</v>
      </c>
      <c r="AB17" s="373" t="s">
        <v>597</v>
      </c>
      <c r="AD17" s="364" t="b">
        <f ca="1">W15=INDEX($D$1:$F$1,CalIndex)</f>
        <v>0</v>
      </c>
    </row>
    <row r="18" spans="1:31" hidden="1">
      <c r="B18" s="376">
        <v>1</v>
      </c>
      <c r="C18" s="377">
        <v>0.17025440313111548</v>
      </c>
      <c r="D18" s="377">
        <v>0.81730310262529826</v>
      </c>
      <c r="E18" s="377">
        <v>0.96381954967169103</v>
      </c>
      <c r="F18" s="377">
        <v>0.10022799146870634</v>
      </c>
      <c r="G18" s="377">
        <v>8.0135527756463862E-2</v>
      </c>
      <c r="H18" s="377">
        <v>0.3571356292373597</v>
      </c>
      <c r="M18" s="377">
        <v>0</v>
      </c>
      <c r="N18" s="377">
        <v>0.84642757007858127</v>
      </c>
      <c r="O18" s="377">
        <v>0.67756958637751119</v>
      </c>
      <c r="P18" s="377">
        <v>5.7391573201743727E-2</v>
      </c>
      <c r="Q18" s="377">
        <v>0.11610774932540165</v>
      </c>
      <c r="R18" s="377"/>
      <c r="W18" s="377">
        <v>1</v>
      </c>
      <c r="X18" s="377">
        <v>1</v>
      </c>
      <c r="Y18" s="377">
        <v>1</v>
      </c>
      <c r="Z18" s="377">
        <v>1</v>
      </c>
      <c r="AA18" s="377">
        <v>1</v>
      </c>
      <c r="AB18" s="377">
        <v>1</v>
      </c>
    </row>
    <row r="19" spans="1:31" hidden="1">
      <c r="B19" s="376">
        <v>2</v>
      </c>
      <c r="C19" s="377">
        <v>0.15557729941291581</v>
      </c>
      <c r="D19" s="377">
        <v>0.10799522673031035</v>
      </c>
      <c r="E19" s="377">
        <v>0</v>
      </c>
      <c r="F19" s="377">
        <v>7.1868794587041263E-2</v>
      </c>
      <c r="G19" s="377">
        <v>0.25077807760946969</v>
      </c>
      <c r="H19" s="377">
        <v>0.27001045636995313</v>
      </c>
      <c r="M19" s="377">
        <v>0</v>
      </c>
      <c r="N19" s="377">
        <v>0.15357242992141876</v>
      </c>
      <c r="O19" s="377">
        <v>1.0196204246051879E-2</v>
      </c>
      <c r="P19" s="377">
        <v>2.7553831903610066E-2</v>
      </c>
      <c r="Q19" s="377">
        <v>7.5247058854281595E-2</v>
      </c>
      <c r="R19" s="377"/>
      <c r="W19" s="377">
        <v>0</v>
      </c>
      <c r="X19" s="377">
        <v>0</v>
      </c>
      <c r="Y19" s="377">
        <v>0</v>
      </c>
      <c r="Z19" s="377">
        <v>0</v>
      </c>
      <c r="AA19" s="377">
        <v>0</v>
      </c>
      <c r="AB19" s="377"/>
    </row>
    <row r="20" spans="1:31" hidden="1">
      <c r="B20" s="376">
        <v>3</v>
      </c>
      <c r="C20" s="377">
        <v>0.35909980430528388</v>
      </c>
      <c r="D20" s="378">
        <v>7.4701670644391385E-2</v>
      </c>
      <c r="E20" s="377">
        <v>2.2808836430337345E-2</v>
      </c>
      <c r="F20" s="377">
        <v>0.61988673972199748</v>
      </c>
      <c r="G20" s="377">
        <v>0.4715107206593615</v>
      </c>
      <c r="H20" s="377">
        <v>0.16706580767025334</v>
      </c>
      <c r="M20" s="377">
        <v>1</v>
      </c>
      <c r="N20" s="377">
        <v>0</v>
      </c>
      <c r="O20" s="377">
        <v>9.0387703539273015E-2</v>
      </c>
      <c r="P20" s="377">
        <v>0.74051903892799953</v>
      </c>
      <c r="Q20" s="377">
        <v>0.52699081704834294</v>
      </c>
      <c r="R20" s="377"/>
      <c r="W20" s="377">
        <v>0</v>
      </c>
      <c r="X20" s="377">
        <v>0</v>
      </c>
      <c r="Y20" s="377">
        <v>0</v>
      </c>
      <c r="Z20" s="377">
        <v>0</v>
      </c>
      <c r="AA20" s="377">
        <v>0</v>
      </c>
      <c r="AB20" s="377"/>
    </row>
    <row r="21" spans="1:31" hidden="1">
      <c r="B21" s="376">
        <v>4</v>
      </c>
      <c r="C21" s="377">
        <v>0.31506849315068475</v>
      </c>
      <c r="D21" s="377">
        <v>0</v>
      </c>
      <c r="E21" s="377">
        <v>1.337161389797166E-2</v>
      </c>
      <c r="F21" s="377">
        <v>0.20801647422225492</v>
      </c>
      <c r="G21" s="377">
        <v>0.19757567397470496</v>
      </c>
      <c r="H21" s="377">
        <v>0.20578810672243394</v>
      </c>
      <c r="M21" s="377">
        <v>0</v>
      </c>
      <c r="N21" s="377">
        <v>0</v>
      </c>
      <c r="O21" s="377">
        <v>0.22184650583716395</v>
      </c>
      <c r="P21" s="377">
        <v>0.17453555596664672</v>
      </c>
      <c r="Q21" s="377">
        <v>0.28165437477197391</v>
      </c>
      <c r="R21" s="377"/>
      <c r="W21" s="377">
        <v>0</v>
      </c>
      <c r="X21" s="377">
        <v>0</v>
      </c>
      <c r="Y21" s="377">
        <v>0</v>
      </c>
      <c r="Z21" s="377">
        <v>0</v>
      </c>
      <c r="AA21" s="377">
        <v>0</v>
      </c>
      <c r="AB21" s="377"/>
    </row>
    <row r="22" spans="1:31" hidden="1"/>
    <row r="23" spans="1:31" hidden="1">
      <c r="B23" s="373" t="s">
        <v>349</v>
      </c>
      <c r="C23" s="373" t="s">
        <v>254</v>
      </c>
      <c r="D23" s="373" t="s">
        <v>255</v>
      </c>
      <c r="E23" s="373" t="s">
        <v>256</v>
      </c>
      <c r="F23" s="373" t="s">
        <v>347</v>
      </c>
      <c r="G23" s="373" t="s">
        <v>348</v>
      </c>
      <c r="H23" s="379" t="s">
        <v>597</v>
      </c>
      <c r="I23" s="379" t="s">
        <v>598</v>
      </c>
      <c r="J23" s="380" t="s">
        <v>432</v>
      </c>
      <c r="K23" s="373"/>
      <c r="M23" s="373" t="s">
        <v>254</v>
      </c>
      <c r="N23" s="373" t="s">
        <v>255</v>
      </c>
      <c r="O23" s="373" t="s">
        <v>256</v>
      </c>
      <c r="P23" s="373" t="s">
        <v>347</v>
      </c>
      <c r="Q23" s="373" t="s">
        <v>314</v>
      </c>
      <c r="R23" s="373"/>
      <c r="T23" s="380" t="s">
        <v>432</v>
      </c>
      <c r="U23" s="373"/>
      <c r="W23" s="373" t="s">
        <v>254</v>
      </c>
      <c r="X23" s="373" t="s">
        <v>255</v>
      </c>
      <c r="Y23" s="373" t="s">
        <v>256</v>
      </c>
      <c r="Z23" s="373" t="s">
        <v>347</v>
      </c>
      <c r="AA23" s="373" t="s">
        <v>348</v>
      </c>
      <c r="AB23" s="379" t="s">
        <v>597</v>
      </c>
      <c r="AC23" s="379" t="s">
        <v>598</v>
      </c>
      <c r="AD23" s="380" t="s">
        <v>432</v>
      </c>
      <c r="AE23" s="373"/>
    </row>
    <row r="24" spans="1:31" hidden="1">
      <c r="B24" s="376">
        <v>1</v>
      </c>
      <c r="C24" s="377">
        <v>0.32098227259517581</v>
      </c>
      <c r="D24" s="377">
        <v>0.17773339990014977</v>
      </c>
      <c r="E24" s="377">
        <v>0</v>
      </c>
      <c r="F24" s="377">
        <v>0</v>
      </c>
      <c r="G24" s="377">
        <v>0.17341137474563117</v>
      </c>
      <c r="H24" s="381">
        <v>0.3706170803589473</v>
      </c>
      <c r="I24" s="381">
        <v>0.88043914848038551</v>
      </c>
      <c r="J24" s="376" t="s">
        <v>433</v>
      </c>
      <c r="K24" s="377">
        <v>0.4</v>
      </c>
      <c r="M24" s="377">
        <v>0.21983300926455449</v>
      </c>
      <c r="N24" s="377">
        <v>0.45990698058573998</v>
      </c>
      <c r="O24" s="377">
        <v>0.58254867260735776</v>
      </c>
      <c r="P24" s="377">
        <v>0.16569635428441035</v>
      </c>
      <c r="Q24" s="377">
        <v>0.17614719476254134</v>
      </c>
      <c r="R24" s="377"/>
      <c r="T24" s="376" t="s">
        <v>433</v>
      </c>
      <c r="U24" s="377">
        <v>0.3</v>
      </c>
      <c r="W24" s="377">
        <v>1</v>
      </c>
      <c r="X24" s="377">
        <v>1</v>
      </c>
      <c r="Y24" s="377">
        <v>1</v>
      </c>
      <c r="Z24" s="377">
        <v>1</v>
      </c>
      <c r="AA24" s="377">
        <v>1</v>
      </c>
      <c r="AB24" s="377">
        <v>1</v>
      </c>
      <c r="AC24" s="377">
        <v>1</v>
      </c>
      <c r="AD24" s="376" t="s">
        <v>433</v>
      </c>
      <c r="AE24" s="377">
        <v>0.2</v>
      </c>
    </row>
    <row r="25" spans="1:31" hidden="1">
      <c r="B25" s="376">
        <v>2</v>
      </c>
      <c r="C25" s="377">
        <v>6.0738157512351051E-2</v>
      </c>
      <c r="D25" s="377">
        <v>0.81739890164752871</v>
      </c>
      <c r="E25" s="377">
        <v>0</v>
      </c>
      <c r="F25" s="377">
        <v>4.4230129697372798E-2</v>
      </c>
      <c r="G25" s="377">
        <v>0.14590807057293306</v>
      </c>
      <c r="H25" s="381">
        <v>0.21761487087003237</v>
      </c>
      <c r="I25" s="381">
        <v>9.452403266836254E-2</v>
      </c>
      <c r="J25" s="376" t="s">
        <v>386</v>
      </c>
      <c r="K25" s="377">
        <v>0.46466294936307173</v>
      </c>
      <c r="M25" s="377">
        <v>5.5358572572343598E-2</v>
      </c>
      <c r="N25" s="377">
        <v>0.54009301941426002</v>
      </c>
      <c r="O25" s="377">
        <v>4.2421931833605868E-2</v>
      </c>
      <c r="P25" s="377">
        <v>0.12396894069647035</v>
      </c>
      <c r="Q25" s="377">
        <v>0.22978340816611731</v>
      </c>
      <c r="R25" s="377"/>
      <c r="T25" s="376" t="s">
        <v>386</v>
      </c>
      <c r="U25" s="377">
        <v>0.31277780826370805</v>
      </c>
      <c r="W25" s="377">
        <v>0</v>
      </c>
      <c r="X25" s="377">
        <v>0</v>
      </c>
      <c r="Y25" s="377">
        <v>0</v>
      </c>
      <c r="Z25" s="377">
        <v>0</v>
      </c>
      <c r="AA25" s="377">
        <v>0</v>
      </c>
      <c r="AB25" s="377"/>
      <c r="AC25" s="377"/>
      <c r="AD25" s="376" t="s">
        <v>386</v>
      </c>
      <c r="AE25" s="377">
        <v>0.23929445192036936</v>
      </c>
    </row>
    <row r="26" spans="1:31" hidden="1">
      <c r="B26" s="376">
        <v>3</v>
      </c>
      <c r="C26" s="377">
        <v>0.19064225515838415</v>
      </c>
      <c r="D26" s="377">
        <v>0</v>
      </c>
      <c r="E26" s="377">
        <v>7.1428571428571425E-2</v>
      </c>
      <c r="F26" s="377">
        <v>0.21375124709012308</v>
      </c>
      <c r="G26" s="377">
        <v>9.2349004552415723E-2</v>
      </c>
      <c r="H26" s="381">
        <v>0.1277224145557192</v>
      </c>
      <c r="I26" s="381">
        <v>1.0041504886865707E-3</v>
      </c>
      <c r="M26" s="377">
        <v>0.16693354683746997</v>
      </c>
      <c r="N26" s="377">
        <v>0</v>
      </c>
      <c r="O26" s="377">
        <v>1.7843254362528992E-2</v>
      </c>
      <c r="P26" s="377">
        <v>0.409398544368268</v>
      </c>
      <c r="Q26" s="377">
        <v>8.5459668685294379E-2</v>
      </c>
      <c r="R26" s="377"/>
      <c r="W26" s="377">
        <v>0</v>
      </c>
      <c r="X26" s="377">
        <v>0</v>
      </c>
      <c r="Y26" s="377">
        <v>0</v>
      </c>
      <c r="Z26" s="377">
        <v>0</v>
      </c>
      <c r="AA26" s="377">
        <v>0</v>
      </c>
      <c r="AB26" s="377"/>
      <c r="AC26" s="377"/>
    </row>
    <row r="27" spans="1:31" hidden="1">
      <c r="B27" s="376">
        <v>4</v>
      </c>
      <c r="C27" s="377">
        <v>0.42763731473408889</v>
      </c>
      <c r="D27" s="377">
        <v>4.8676984523215181E-3</v>
      </c>
      <c r="E27" s="377">
        <v>0.92857142857142849</v>
      </c>
      <c r="F27" s="377">
        <v>0.74201862321250422</v>
      </c>
      <c r="G27" s="377">
        <v>0.58833155012902016</v>
      </c>
      <c r="H27" s="381">
        <v>0.2840456342153011</v>
      </c>
      <c r="I27" s="381">
        <v>2.4032668362565259E-2</v>
      </c>
      <c r="M27" s="377">
        <v>0.55787487132563196</v>
      </c>
      <c r="N27" s="377">
        <v>0</v>
      </c>
      <c r="O27" s="377">
        <v>0.35718614119650727</v>
      </c>
      <c r="P27" s="377">
        <v>0.30093616065085133</v>
      </c>
      <c r="Q27" s="377">
        <v>0.5086097283860469</v>
      </c>
      <c r="R27" s="377"/>
      <c r="W27" s="377">
        <v>0</v>
      </c>
      <c r="X27" s="377">
        <v>0</v>
      </c>
      <c r="Y27" s="377">
        <v>0</v>
      </c>
      <c r="Z27" s="377">
        <v>0</v>
      </c>
      <c r="AA27" s="377">
        <v>0</v>
      </c>
      <c r="AB27" s="377"/>
      <c r="AC27" s="377"/>
    </row>
    <row r="28" spans="1:31" hidden="1"/>
    <row r="29" spans="1:31" hidden="1"/>
    <row r="30" spans="1:31" ht="18" hidden="1">
      <c r="C30" s="368" t="s">
        <v>351</v>
      </c>
      <c r="D30" s="368"/>
      <c r="E30" s="368"/>
      <c r="F30" s="368"/>
      <c r="G30" s="368"/>
      <c r="H30" s="368"/>
      <c r="I30" s="368"/>
      <c r="J30" s="368"/>
      <c r="K30" s="368"/>
      <c r="M30" s="368" t="s">
        <v>351</v>
      </c>
      <c r="N30" s="368"/>
      <c r="O30" s="368"/>
      <c r="P30" s="368"/>
      <c r="Q30" s="368"/>
      <c r="R30" s="368"/>
      <c r="S30" s="368"/>
      <c r="T30" s="368"/>
      <c r="U30" s="368"/>
      <c r="W30" s="368" t="s">
        <v>351</v>
      </c>
      <c r="X30" s="368"/>
      <c r="Y30" s="368"/>
      <c r="Z30" s="368"/>
      <c r="AA30" s="368"/>
      <c r="AB30" s="368"/>
      <c r="AC30" s="368"/>
      <c r="AD30" s="368"/>
      <c r="AE30" s="368"/>
    </row>
    <row r="31" spans="1:31" hidden="1"/>
    <row r="32" spans="1:31" hidden="1">
      <c r="B32" s="364" t="s">
        <v>353</v>
      </c>
    </row>
    <row r="33" spans="2:31" hidden="1">
      <c r="C33" s="364">
        <v>2010</v>
      </c>
      <c r="D33" s="364">
        <v>2015</v>
      </c>
      <c r="E33" s="364">
        <v>2020</v>
      </c>
      <c r="F33" s="364">
        <v>2025</v>
      </c>
      <c r="G33" s="364">
        <v>2030</v>
      </c>
      <c r="H33" s="364">
        <v>2040</v>
      </c>
      <c r="I33" s="364">
        <v>2050</v>
      </c>
      <c r="J33" s="364">
        <v>2070</v>
      </c>
      <c r="K33" s="364">
        <v>2100</v>
      </c>
      <c r="M33" s="364">
        <v>2010</v>
      </c>
      <c r="N33" s="364">
        <v>2015</v>
      </c>
      <c r="O33" s="364">
        <v>2020</v>
      </c>
      <c r="P33" s="364">
        <v>2025</v>
      </c>
      <c r="Q33" s="364">
        <v>2030</v>
      </c>
      <c r="R33" s="364">
        <v>2040</v>
      </c>
      <c r="S33" s="364">
        <v>2050</v>
      </c>
      <c r="T33" s="364">
        <v>2070</v>
      </c>
      <c r="U33" s="364">
        <v>2100</v>
      </c>
      <c r="W33" s="364">
        <v>2010</v>
      </c>
      <c r="X33" s="364">
        <v>2015</v>
      </c>
      <c r="Y33" s="364">
        <v>2020</v>
      </c>
      <c r="Z33" s="364">
        <v>2025</v>
      </c>
      <c r="AA33" s="364">
        <v>2030</v>
      </c>
      <c r="AB33" s="364">
        <v>2040</v>
      </c>
      <c r="AC33" s="364">
        <v>2050</v>
      </c>
      <c r="AD33" s="364">
        <v>2070</v>
      </c>
      <c r="AE33" s="364">
        <v>2100</v>
      </c>
    </row>
    <row r="34" spans="2:31" hidden="1">
      <c r="B34" s="382" t="s">
        <v>254</v>
      </c>
      <c r="C34" s="383">
        <v>977.45648159063217</v>
      </c>
      <c r="D34" s="383">
        <v>389.68878934339261</v>
      </c>
      <c r="E34" s="383">
        <v>229.27305591575302</v>
      </c>
      <c r="F34" s="383">
        <f>AVERAGE(E34,G34)</f>
        <v>201.55153444143184</v>
      </c>
      <c r="G34" s="383">
        <v>173.83001296711069</v>
      </c>
      <c r="H34" s="383">
        <v>150.81142677511886</v>
      </c>
      <c r="I34" s="376"/>
      <c r="J34" s="376"/>
      <c r="K34" s="376"/>
      <c r="M34" s="383">
        <v>2095.6137927529562</v>
      </c>
      <c r="N34" s="383">
        <f>M34</f>
        <v>2095.6137927529562</v>
      </c>
      <c r="O34" s="383">
        <f>N34*0.7</f>
        <v>1466.9296549270694</v>
      </c>
      <c r="P34" s="383">
        <f t="shared" ref="P34:Q38" si="0">O34*0.77</f>
        <v>1129.5358342938434</v>
      </c>
      <c r="Q34" s="383">
        <f t="shared" si="0"/>
        <v>869.74259240625952</v>
      </c>
      <c r="R34" s="383"/>
      <c r="S34" s="383"/>
      <c r="T34" s="383"/>
      <c r="U34" s="383"/>
      <c r="W34" s="376"/>
      <c r="X34" s="376"/>
      <c r="Y34" s="376"/>
      <c r="Z34" s="376"/>
      <c r="AA34" s="376"/>
      <c r="AB34" s="376"/>
      <c r="AC34" s="376"/>
      <c r="AD34" s="376"/>
      <c r="AE34" s="376"/>
    </row>
    <row r="35" spans="2:31" hidden="1">
      <c r="B35" s="382" t="s">
        <v>255</v>
      </c>
      <c r="C35" s="383">
        <v>350</v>
      </c>
      <c r="D35" s="383">
        <v>331.37472283813747</v>
      </c>
      <c r="E35" s="383">
        <v>305.76496674057648</v>
      </c>
      <c r="F35" s="383">
        <f t="shared" ref="F35:F40" si="1">AVERAGE(E35,G35)</f>
        <v>185.47671840354766</v>
      </c>
      <c r="G35" s="383">
        <v>65.188470066518846</v>
      </c>
      <c r="H35" s="383">
        <v>0</v>
      </c>
      <c r="I35" s="376"/>
      <c r="J35" s="376"/>
      <c r="K35" s="376"/>
      <c r="M35" s="383">
        <v>233.63477080683441</v>
      </c>
      <c r="N35" s="383">
        <f>M35</f>
        <v>233.63477080683441</v>
      </c>
      <c r="O35" s="383">
        <f>N35*0.7</f>
        <v>163.54433956478408</v>
      </c>
      <c r="P35" s="383">
        <f t="shared" si="0"/>
        <v>125.92914146488374</v>
      </c>
      <c r="Q35" s="383">
        <f t="shared" si="0"/>
        <v>96.965438927960477</v>
      </c>
      <c r="R35" s="383"/>
      <c r="S35" s="383"/>
      <c r="T35" s="383"/>
      <c r="U35" s="383"/>
      <c r="W35" s="376"/>
      <c r="X35" s="376"/>
      <c r="Y35" s="376"/>
      <c r="Z35" s="376"/>
      <c r="AA35" s="376"/>
      <c r="AB35" s="376"/>
      <c r="AC35" s="376"/>
      <c r="AD35" s="376"/>
      <c r="AE35" s="376"/>
    </row>
    <row r="36" spans="2:31" hidden="1">
      <c r="B36" s="382" t="s">
        <v>256</v>
      </c>
      <c r="C36" s="383">
        <v>1879</v>
      </c>
      <c r="D36" s="383">
        <v>1769</v>
      </c>
      <c r="E36" s="383">
        <v>845</v>
      </c>
      <c r="F36" s="383">
        <f t="shared" si="1"/>
        <v>702.5</v>
      </c>
      <c r="G36" s="383">
        <v>560</v>
      </c>
      <c r="H36" s="383">
        <v>560</v>
      </c>
      <c r="I36" s="376"/>
      <c r="J36" s="376"/>
      <c r="K36" s="376"/>
      <c r="M36" s="383">
        <v>430</v>
      </c>
      <c r="N36" s="383">
        <f>M36</f>
        <v>430</v>
      </c>
      <c r="O36" s="383">
        <f>N36*0.7</f>
        <v>301</v>
      </c>
      <c r="P36" s="383">
        <f t="shared" si="0"/>
        <v>231.77</v>
      </c>
      <c r="Q36" s="383">
        <f t="shared" si="0"/>
        <v>178.46290000000002</v>
      </c>
      <c r="R36" s="383"/>
      <c r="S36" s="383"/>
      <c r="T36" s="383"/>
      <c r="U36" s="383"/>
      <c r="W36" s="383"/>
      <c r="X36" s="383"/>
      <c r="Y36" s="383"/>
      <c r="Z36" s="383"/>
      <c r="AA36" s="383"/>
      <c r="AB36" s="376"/>
      <c r="AC36" s="376"/>
      <c r="AD36" s="376"/>
      <c r="AE36" s="376"/>
    </row>
    <row r="37" spans="2:31" hidden="1">
      <c r="B37" s="382" t="s">
        <v>347</v>
      </c>
      <c r="C37" s="383">
        <v>300</v>
      </c>
      <c r="D37" s="383">
        <v>300</v>
      </c>
      <c r="E37" s="383">
        <v>293.44262295081967</v>
      </c>
      <c r="F37" s="383">
        <f t="shared" si="1"/>
        <v>223.77049180327867</v>
      </c>
      <c r="G37" s="383">
        <v>154.09836065573771</v>
      </c>
      <c r="H37" s="383">
        <v>85.245901639344254</v>
      </c>
      <c r="I37" s="376"/>
      <c r="J37" s="376"/>
      <c r="K37" s="376"/>
      <c r="M37" s="383">
        <v>0</v>
      </c>
      <c r="N37" s="383">
        <f>M37</f>
        <v>0</v>
      </c>
      <c r="O37" s="383">
        <f>N37*0.7</f>
        <v>0</v>
      </c>
      <c r="P37" s="383">
        <f t="shared" si="0"/>
        <v>0</v>
      </c>
      <c r="Q37" s="383">
        <f t="shared" si="0"/>
        <v>0</v>
      </c>
      <c r="R37" s="383"/>
      <c r="S37" s="383"/>
      <c r="T37" s="383"/>
      <c r="U37" s="383"/>
      <c r="W37" s="376"/>
      <c r="X37" s="376"/>
      <c r="Y37" s="376"/>
      <c r="Z37" s="376"/>
      <c r="AA37" s="376"/>
      <c r="AB37" s="376"/>
      <c r="AC37" s="376"/>
      <c r="AD37" s="376"/>
      <c r="AE37" s="376"/>
    </row>
    <row r="38" spans="2:31" hidden="1">
      <c r="B38" s="382" t="s">
        <v>257</v>
      </c>
      <c r="C38" s="383">
        <v>120</v>
      </c>
      <c r="D38" s="383">
        <v>114.5326001571092</v>
      </c>
      <c r="E38" s="383">
        <v>90.023566378633163</v>
      </c>
      <c r="F38" s="383">
        <f t="shared" si="1"/>
        <v>84.131971720345646</v>
      </c>
      <c r="G38" s="383">
        <v>78.24037706205813</v>
      </c>
      <c r="H38" s="383">
        <v>17.910447761194032</v>
      </c>
      <c r="I38" s="376"/>
      <c r="J38" s="376"/>
      <c r="K38" s="376"/>
      <c r="M38" s="383">
        <v>200</v>
      </c>
      <c r="N38" s="383">
        <f>M38</f>
        <v>200</v>
      </c>
      <c r="O38" s="383">
        <f>N38*0.7</f>
        <v>140</v>
      </c>
      <c r="P38" s="383">
        <f t="shared" si="0"/>
        <v>107.8</v>
      </c>
      <c r="Q38" s="383">
        <f t="shared" si="0"/>
        <v>83.006</v>
      </c>
      <c r="R38" s="383"/>
      <c r="S38" s="383"/>
      <c r="T38" s="383"/>
      <c r="U38" s="383"/>
      <c r="W38" s="376"/>
      <c r="X38" s="376"/>
      <c r="Y38" s="376"/>
      <c r="Z38" s="376"/>
      <c r="AA38" s="376"/>
      <c r="AB38" s="376"/>
      <c r="AC38" s="376"/>
      <c r="AD38" s="376"/>
      <c r="AE38" s="376"/>
    </row>
    <row r="39" spans="2:31" hidden="1">
      <c r="B39" s="382" t="s">
        <v>549</v>
      </c>
      <c r="C39" s="383">
        <v>24</v>
      </c>
      <c r="D39" s="383">
        <v>90</v>
      </c>
      <c r="E39" s="383">
        <v>135</v>
      </c>
      <c r="F39" s="383">
        <v>135</v>
      </c>
      <c r="G39" s="383">
        <v>135</v>
      </c>
      <c r="H39" s="383">
        <v>135</v>
      </c>
      <c r="I39" s="376">
        <v>45</v>
      </c>
      <c r="J39" s="376"/>
      <c r="K39" s="376"/>
      <c r="M39" s="383">
        <v>20</v>
      </c>
      <c r="N39" s="383">
        <v>20</v>
      </c>
      <c r="O39" s="383">
        <v>20</v>
      </c>
      <c r="P39" s="376"/>
      <c r="Q39" s="383"/>
      <c r="R39" s="383"/>
      <c r="S39" s="383"/>
      <c r="T39" s="383"/>
      <c r="U39" s="383"/>
      <c r="W39" s="376"/>
      <c r="X39" s="376">
        <v>80</v>
      </c>
      <c r="Y39" s="376">
        <v>80</v>
      </c>
      <c r="Z39" s="376">
        <v>80</v>
      </c>
      <c r="AA39" s="376">
        <v>80</v>
      </c>
      <c r="AB39" s="376">
        <v>80</v>
      </c>
      <c r="AC39" s="376">
        <v>80</v>
      </c>
      <c r="AD39" s="376"/>
      <c r="AE39" s="376"/>
    </row>
    <row r="40" spans="2:31" hidden="1">
      <c r="B40" s="382" t="s">
        <v>147</v>
      </c>
      <c r="C40" s="376">
        <v>3100</v>
      </c>
      <c r="D40" s="376">
        <v>3200</v>
      </c>
      <c r="E40" s="376">
        <f>D40</f>
        <v>3200</v>
      </c>
      <c r="F40" s="383">
        <f t="shared" si="1"/>
        <v>3200</v>
      </c>
      <c r="G40" s="376">
        <f>E40</f>
        <v>3200</v>
      </c>
      <c r="H40" s="376">
        <f>G40</f>
        <v>3200</v>
      </c>
      <c r="I40" s="376">
        <f>H40</f>
        <v>3200</v>
      </c>
      <c r="J40" s="376">
        <f>I40</f>
        <v>3200</v>
      </c>
      <c r="K40" s="376">
        <f>J40</f>
        <v>3200</v>
      </c>
      <c r="M40" s="383">
        <v>16350</v>
      </c>
      <c r="N40" s="383">
        <f>M40</f>
        <v>16350</v>
      </c>
      <c r="O40" s="383">
        <f>N40</f>
        <v>16350</v>
      </c>
      <c r="P40" s="383">
        <f>N40</f>
        <v>16350</v>
      </c>
      <c r="Q40" s="383">
        <f>O40</f>
        <v>16350</v>
      </c>
      <c r="R40" s="383">
        <f>Q40</f>
        <v>16350</v>
      </c>
      <c r="S40" s="383">
        <f>R40</f>
        <v>16350</v>
      </c>
      <c r="T40" s="383">
        <f>S40</f>
        <v>16350</v>
      </c>
      <c r="U40" s="383">
        <f>T40</f>
        <v>16350</v>
      </c>
      <c r="W40" s="383"/>
      <c r="X40" s="383"/>
      <c r="Y40" s="383"/>
      <c r="Z40" s="383"/>
      <c r="AA40" s="383"/>
      <c r="AB40" s="383"/>
      <c r="AC40" s="383"/>
      <c r="AD40" s="383"/>
      <c r="AE40" s="383"/>
    </row>
    <row r="41" spans="2:31" hidden="1">
      <c r="B41" s="382" t="s">
        <v>112</v>
      </c>
      <c r="C41" s="376">
        <v>2710</v>
      </c>
      <c r="D41" s="376">
        <v>2750</v>
      </c>
      <c r="E41" s="384">
        <f>2790+610</f>
        <v>3400</v>
      </c>
      <c r="F41" s="376">
        <v>4390</v>
      </c>
      <c r="G41" s="376">
        <v>4390</v>
      </c>
      <c r="H41" s="376">
        <v>3885</v>
      </c>
      <c r="I41" s="376">
        <v>2490</v>
      </c>
      <c r="J41" s="376">
        <v>1600</v>
      </c>
      <c r="K41" s="376"/>
      <c r="M41" s="383">
        <v>8817</v>
      </c>
      <c r="N41" s="383">
        <v>8817</v>
      </c>
      <c r="O41" s="383">
        <v>7770</v>
      </c>
      <c r="P41" s="376">
        <v>7150</v>
      </c>
      <c r="Q41" s="383">
        <v>6610</v>
      </c>
      <c r="R41" s="383"/>
      <c r="S41" s="383"/>
      <c r="T41" s="383"/>
      <c r="U41" s="383"/>
      <c r="W41" s="376"/>
      <c r="X41" s="376"/>
      <c r="Y41" s="376"/>
      <c r="Z41" s="376"/>
      <c r="AA41" s="376"/>
      <c r="AB41" s="376"/>
      <c r="AC41" s="376"/>
      <c r="AD41" s="376"/>
      <c r="AE41" s="376"/>
    </row>
    <row r="42" spans="2:31" hidden="1">
      <c r="B42" s="382" t="s">
        <v>194</v>
      </c>
      <c r="C42" s="376"/>
      <c r="D42" s="376"/>
      <c r="E42" s="376"/>
      <c r="F42" s="376"/>
      <c r="G42" s="376"/>
      <c r="H42" s="376"/>
      <c r="I42" s="376"/>
      <c r="J42" s="376"/>
      <c r="K42" s="376"/>
      <c r="M42" s="383"/>
      <c r="N42" s="383"/>
      <c r="O42" s="383"/>
      <c r="P42" s="376"/>
      <c r="Q42" s="383"/>
      <c r="R42" s="383"/>
      <c r="S42" s="383"/>
      <c r="T42" s="383"/>
      <c r="U42" s="383"/>
      <c r="W42" s="376"/>
      <c r="X42" s="376"/>
      <c r="Y42" s="376"/>
      <c r="Z42" s="376"/>
      <c r="AA42" s="376"/>
      <c r="AB42" s="376"/>
      <c r="AC42" s="376"/>
      <c r="AD42" s="376"/>
      <c r="AE42" s="376"/>
    </row>
    <row r="43" spans="2:31" hidden="1">
      <c r="B43" s="382" t="s">
        <v>197</v>
      </c>
      <c r="C43" s="383">
        <v>197</v>
      </c>
      <c r="D43" s="383">
        <v>900</v>
      </c>
      <c r="E43" s="383">
        <v>2500</v>
      </c>
      <c r="F43" s="383">
        <v>3000</v>
      </c>
      <c r="G43" s="383">
        <v>3000</v>
      </c>
      <c r="H43" s="383">
        <v>2100</v>
      </c>
      <c r="I43" s="376">
        <v>1000</v>
      </c>
      <c r="J43" s="376">
        <v>1000</v>
      </c>
      <c r="K43" s="376"/>
      <c r="M43" s="383">
        <v>2010</v>
      </c>
      <c r="N43" s="383">
        <v>5800</v>
      </c>
      <c r="O43" s="383">
        <v>5800</v>
      </c>
      <c r="P43" s="383">
        <v>5800</v>
      </c>
      <c r="Q43" s="383">
        <v>5800</v>
      </c>
      <c r="R43" s="383">
        <v>2900</v>
      </c>
      <c r="S43" s="383"/>
      <c r="T43" s="383"/>
      <c r="U43" s="383"/>
      <c r="W43" s="383">
        <v>10</v>
      </c>
      <c r="X43" s="383">
        <v>20</v>
      </c>
      <c r="Y43" s="383">
        <v>100</v>
      </c>
      <c r="Z43" s="383">
        <v>100</v>
      </c>
      <c r="AA43" s="383">
        <v>100</v>
      </c>
      <c r="AB43" s="383">
        <v>70</v>
      </c>
      <c r="AC43" s="383">
        <v>50</v>
      </c>
      <c r="AD43" s="376"/>
      <c r="AE43" s="376"/>
    </row>
    <row r="44" spans="2:31" hidden="1">
      <c r="B44" s="382" t="s">
        <v>195</v>
      </c>
      <c r="C44" s="383">
        <v>7</v>
      </c>
      <c r="D44" s="383">
        <v>15</v>
      </c>
      <c r="E44" s="383">
        <v>260</v>
      </c>
      <c r="F44" s="383">
        <v>400</v>
      </c>
      <c r="G44" s="383">
        <v>400</v>
      </c>
      <c r="H44" s="383">
        <v>400</v>
      </c>
      <c r="I44" s="383">
        <v>120</v>
      </c>
      <c r="J44" s="383">
        <v>120</v>
      </c>
      <c r="K44" s="376"/>
      <c r="M44" s="383">
        <v>11</v>
      </c>
      <c r="N44" s="383">
        <v>20</v>
      </c>
      <c r="O44" s="383">
        <v>40</v>
      </c>
      <c r="P44" s="383">
        <f>N44</f>
        <v>20</v>
      </c>
      <c r="Q44" s="383">
        <f>O44</f>
        <v>40</v>
      </c>
      <c r="R44" s="383">
        <f>Q44</f>
        <v>40</v>
      </c>
      <c r="S44" s="383">
        <f>R44</f>
        <v>40</v>
      </c>
      <c r="T44" s="383">
        <f>S44</f>
        <v>40</v>
      </c>
      <c r="U44" s="383"/>
      <c r="W44" s="383">
        <v>0.5</v>
      </c>
      <c r="X44" s="383">
        <v>1</v>
      </c>
      <c r="Y44" s="383">
        <f>X44*3</f>
        <v>3</v>
      </c>
      <c r="Z44" s="383">
        <f>Y44*3</f>
        <v>9</v>
      </c>
      <c r="AA44" s="383">
        <f>Z44*3</f>
        <v>27</v>
      </c>
      <c r="AB44" s="383"/>
      <c r="AC44" s="383"/>
      <c r="AD44" s="383"/>
      <c r="AE44" s="376"/>
    </row>
    <row r="45" spans="2:31" hidden="1">
      <c r="B45" s="364" t="s">
        <v>52</v>
      </c>
      <c r="C45" s="385">
        <f>SUM(C34:C43)</f>
        <v>9657.4564815906324</v>
      </c>
      <c r="D45" s="385">
        <f>SUM(D34:D43)</f>
        <v>9844.5961123386405</v>
      </c>
      <c r="E45" s="385">
        <f>SUM(E34:E43)</f>
        <v>10998.504211985783</v>
      </c>
      <c r="F45" s="385">
        <f t="shared" ref="F45:K45" si="2">SUM(F34:F43)</f>
        <v>12122.430716368604</v>
      </c>
      <c r="G45" s="385">
        <f t="shared" si="2"/>
        <v>11756.357220751426</v>
      </c>
      <c r="H45" s="385">
        <f t="shared" si="2"/>
        <v>10133.967776175657</v>
      </c>
      <c r="I45" s="385">
        <f t="shared" si="2"/>
        <v>6735</v>
      </c>
      <c r="J45" s="385">
        <f t="shared" si="2"/>
        <v>5800</v>
      </c>
      <c r="K45" s="385">
        <f t="shared" si="2"/>
        <v>3200</v>
      </c>
      <c r="M45" s="385">
        <f t="shared" ref="M45:U45" si="3">SUM(M34:M43)</f>
        <v>30156.248563559791</v>
      </c>
      <c r="N45" s="385">
        <f t="shared" si="3"/>
        <v>33946.248563559791</v>
      </c>
      <c r="O45" s="385">
        <f t="shared" si="3"/>
        <v>32011.473994491855</v>
      </c>
      <c r="P45" s="385">
        <f t="shared" si="3"/>
        <v>30895.034975758728</v>
      </c>
      <c r="Q45" s="385">
        <f t="shared" si="3"/>
        <v>29988.176931334219</v>
      </c>
      <c r="R45" s="385">
        <f t="shared" si="3"/>
        <v>19250</v>
      </c>
      <c r="S45" s="385">
        <f t="shared" si="3"/>
        <v>16350</v>
      </c>
      <c r="T45" s="385">
        <f t="shared" si="3"/>
        <v>16350</v>
      </c>
      <c r="U45" s="385">
        <f t="shared" si="3"/>
        <v>16350</v>
      </c>
      <c r="W45" s="386">
        <f t="shared" ref="W45:AE45" si="4">SUM(W34:W43)</f>
        <v>10</v>
      </c>
      <c r="X45" s="386">
        <f t="shared" si="4"/>
        <v>100</v>
      </c>
      <c r="Y45" s="386">
        <f t="shared" si="4"/>
        <v>180</v>
      </c>
      <c r="Z45" s="386">
        <f t="shared" si="4"/>
        <v>180</v>
      </c>
      <c r="AA45" s="386">
        <f t="shared" si="4"/>
        <v>180</v>
      </c>
      <c r="AB45" s="386">
        <f t="shared" si="4"/>
        <v>150</v>
      </c>
      <c r="AC45" s="386">
        <f t="shared" si="4"/>
        <v>130</v>
      </c>
      <c r="AD45" s="386">
        <f t="shared" si="4"/>
        <v>0</v>
      </c>
      <c r="AE45" s="386">
        <f t="shared" si="4"/>
        <v>0</v>
      </c>
    </row>
    <row r="46" spans="2:31" hidden="1">
      <c r="B46" s="382" t="s">
        <v>657</v>
      </c>
      <c r="C46" s="376">
        <f>2*495</f>
        <v>990</v>
      </c>
      <c r="D46" s="376">
        <f>2*495</f>
        <v>990</v>
      </c>
      <c r="E46" s="376">
        <f>2*505</f>
        <v>1010</v>
      </c>
      <c r="F46" s="376">
        <f>2*505</f>
        <v>1010</v>
      </c>
      <c r="G46" s="376">
        <f>2*505</f>
        <v>1010</v>
      </c>
      <c r="H46" s="376">
        <f>1*505</f>
        <v>505</v>
      </c>
      <c r="I46" s="376"/>
      <c r="J46" s="386"/>
      <c r="K46" s="386"/>
      <c r="M46" s="386"/>
      <c r="N46" s="386"/>
      <c r="O46" s="386"/>
      <c r="P46" s="386"/>
      <c r="Q46" s="386"/>
      <c r="R46" s="386"/>
      <c r="S46" s="386"/>
      <c r="T46" s="386"/>
      <c r="U46" s="386"/>
      <c r="W46" s="386"/>
      <c r="X46" s="386"/>
      <c r="Y46" s="386"/>
      <c r="Z46" s="386"/>
      <c r="AA46" s="386"/>
      <c r="AB46" s="386"/>
      <c r="AC46" s="386"/>
      <c r="AD46" s="386"/>
      <c r="AE46" s="386"/>
    </row>
    <row r="47" spans="2:31" hidden="1">
      <c r="B47" s="382" t="s">
        <v>658</v>
      </c>
      <c r="C47" s="376">
        <f>2*860</f>
        <v>1720</v>
      </c>
      <c r="D47" s="376">
        <f>2*880</f>
        <v>1760</v>
      </c>
      <c r="E47" s="376">
        <f>2*890</f>
        <v>1780</v>
      </c>
      <c r="F47" s="376">
        <f>2*890</f>
        <v>1780</v>
      </c>
      <c r="G47" s="376">
        <f>2*890</f>
        <v>1780</v>
      </c>
      <c r="H47" s="376">
        <f>2*890</f>
        <v>1780</v>
      </c>
      <c r="I47" s="376">
        <f>1*890</f>
        <v>890</v>
      </c>
      <c r="J47" s="386"/>
      <c r="K47" s="386"/>
      <c r="M47" s="386"/>
      <c r="N47" s="386"/>
      <c r="O47" s="386"/>
      <c r="P47" s="386"/>
      <c r="Q47" s="386"/>
      <c r="R47" s="386"/>
      <c r="S47" s="386"/>
      <c r="T47" s="386"/>
      <c r="U47" s="386"/>
      <c r="W47" s="386"/>
      <c r="X47" s="386"/>
      <c r="Y47" s="386"/>
      <c r="Z47" s="386"/>
      <c r="AA47" s="386"/>
      <c r="AB47" s="386"/>
      <c r="AC47" s="386"/>
      <c r="AD47" s="386"/>
      <c r="AE47" s="386"/>
    </row>
    <row r="48" spans="2:31" hidden="1">
      <c r="C48" s="386"/>
      <c r="D48" s="386"/>
      <c r="E48" s="386"/>
      <c r="F48" s="386"/>
      <c r="G48" s="386"/>
      <c r="H48" s="386"/>
      <c r="I48" s="386"/>
      <c r="J48" s="386"/>
      <c r="K48" s="386"/>
      <c r="M48" s="386"/>
      <c r="N48" s="386"/>
      <c r="O48" s="386"/>
      <c r="P48" s="386"/>
      <c r="Q48" s="386"/>
      <c r="R48" s="386"/>
      <c r="S48" s="386"/>
      <c r="T48" s="386"/>
      <c r="U48" s="386"/>
      <c r="W48" s="386"/>
      <c r="X48" s="386"/>
      <c r="Y48" s="386"/>
      <c r="Z48" s="386"/>
      <c r="AA48" s="386"/>
      <c r="AB48" s="386"/>
      <c r="AC48" s="386"/>
      <c r="AD48" s="386"/>
      <c r="AE48" s="386"/>
    </row>
    <row r="49" spans="1:31" hidden="1">
      <c r="B49" s="364" t="s">
        <v>352</v>
      </c>
      <c r="D49" s="387">
        <v>1</v>
      </c>
      <c r="E49" s="387">
        <v>2</v>
      </c>
      <c r="F49" s="387">
        <v>3</v>
      </c>
      <c r="G49" s="387">
        <v>4</v>
      </c>
      <c r="H49" s="388"/>
      <c r="N49" s="387">
        <v>1</v>
      </c>
      <c r="O49" s="387">
        <v>2</v>
      </c>
      <c r="P49" s="387">
        <v>3</v>
      </c>
      <c r="Q49" s="387">
        <v>4</v>
      </c>
      <c r="R49" s="388"/>
      <c r="X49" s="387">
        <v>1</v>
      </c>
      <c r="Y49" s="387">
        <v>2</v>
      </c>
      <c r="Z49" s="387">
        <v>3</v>
      </c>
      <c r="AA49" s="387">
        <v>4</v>
      </c>
      <c r="AB49" s="388"/>
    </row>
    <row r="50" spans="1:31" hidden="1">
      <c r="B50" s="364" t="s">
        <v>259</v>
      </c>
      <c r="D50" s="389">
        <v>0.44</v>
      </c>
      <c r="E50" s="390">
        <v>0.35</v>
      </c>
      <c r="F50" s="390">
        <v>0.41</v>
      </c>
      <c r="G50" s="391">
        <v>0.37</v>
      </c>
      <c r="N50" s="389">
        <v>0.47246836982896318</v>
      </c>
      <c r="O50" s="390">
        <v>0.47246836982896318</v>
      </c>
      <c r="P50" s="390">
        <v>0.47246836982896318</v>
      </c>
      <c r="Q50" s="391">
        <v>0.47246836982896318</v>
      </c>
      <c r="X50" s="389">
        <v>0.65</v>
      </c>
      <c r="Y50" s="390">
        <v>0.47246836982896318</v>
      </c>
      <c r="Z50" s="390">
        <v>0.47246836982896318</v>
      </c>
      <c r="AA50" s="391">
        <v>0.47246836982896318</v>
      </c>
    </row>
    <row r="51" spans="1:31" hidden="1">
      <c r="B51" s="364" t="s">
        <v>384</v>
      </c>
      <c r="D51" s="392">
        <v>0.42899999999999999</v>
      </c>
      <c r="E51" s="393">
        <v>0.4</v>
      </c>
      <c r="F51" s="393">
        <v>0.44</v>
      </c>
      <c r="G51" s="394">
        <v>0.3</v>
      </c>
      <c r="N51" s="392">
        <v>0.35</v>
      </c>
      <c r="O51" s="393">
        <v>0.2</v>
      </c>
      <c r="P51" s="393">
        <v>0.35</v>
      </c>
      <c r="Q51" s="394">
        <v>0.25</v>
      </c>
      <c r="X51" s="392">
        <v>0.33</v>
      </c>
      <c r="Y51" s="390">
        <f t="array" ref="Y51:AA51">O51:Q51/N51*X51</f>
        <v>0.18857142857142861</v>
      </c>
      <c r="Z51" s="390">
        <v>0.33</v>
      </c>
      <c r="AA51" s="391">
        <v>0.23571428571428574</v>
      </c>
    </row>
    <row r="52" spans="1:31" hidden="1">
      <c r="A52" s="388" t="s">
        <v>258</v>
      </c>
      <c r="B52" s="382" t="s">
        <v>254</v>
      </c>
      <c r="D52" s="395">
        <f t="array" aca="1" ref="D52:G56" ca="1">1/(1/((1-D51:G51)*IF(IEAData2!$G90:$G94&gt;0,IEAData2!$G90:$G94/MMULT(IEAData2!$I90:$I94*TRANSPOSE(C6:G9),TRANSPOSE(1-D51:G51)),1))-1)</f>
        <v>1.4463555367519583</v>
      </c>
      <c r="E52" s="396">
        <f ca="1"/>
        <v>1.6403061896551419</v>
      </c>
      <c r="F52" s="396">
        <f ca="1"/>
        <v>1.3800399099295602</v>
      </c>
      <c r="G52" s="397">
        <f ca="1"/>
        <v>2.6337040689281186</v>
      </c>
      <c r="N52" s="395">
        <f t="array" aca="1" ref="N52:Q56" ca="1">1/(1/((1-N51:Q51)*IF(IEAData2!$G90:$G94&gt;0,IEAData2!$G90:$G94/MMULT(IEAData2!$I90:$I94*TRANSPOSE(M6:Q9),TRANSPOSE(1-N51:Q51)),1))-1)</f>
        <v>1.7142462611993099</v>
      </c>
      <c r="O52" s="396">
        <f ca="1"/>
        <v>3.4907761653555571</v>
      </c>
      <c r="P52" s="396">
        <f ca="1"/>
        <v>1.7142462611993099</v>
      </c>
      <c r="Q52" s="397">
        <f ca="1"/>
        <v>2.6864831875400133</v>
      </c>
      <c r="X52" s="395">
        <f t="array" aca="1" ref="X52:AA56" ca="1">1/(1/((1-X51:AA51)*IF(IEAData2!$F90:$F94&gt;0,IEAData2!$G90:$G94/MMULT(IEAData2!$I90:$I94*TRANSPOSE(W6:AA9),TRANSPOSE(1-X51:AA51)),1))-1)</f>
        <v>1.7142462611993092</v>
      </c>
      <c r="Y52" s="396">
        <f ca="1"/>
        <v>3.2533432863512388</v>
      </c>
      <c r="Z52" s="396">
        <f ca="1"/>
        <v>1.7142462611993092</v>
      </c>
      <c r="AA52" s="397">
        <f ca="1"/>
        <v>2.5772000291957133</v>
      </c>
    </row>
    <row r="53" spans="1:31" hidden="1">
      <c r="B53" s="382" t="s">
        <v>255</v>
      </c>
      <c r="D53" s="398">
        <f ca="1"/>
        <v>0.97714630861912799</v>
      </c>
      <c r="E53" s="399">
        <f ca="1"/>
        <v>1.080390680131764</v>
      </c>
      <c r="F53" s="399">
        <f ca="1"/>
        <v>0.94061579862814404</v>
      </c>
      <c r="G53" s="400">
        <f ca="1"/>
        <v>1.5372632803136705</v>
      </c>
      <c r="N53" s="398">
        <f ca="1"/>
        <v>0.94048969711419206</v>
      </c>
      <c r="O53" s="399">
        <f ca="1"/>
        <v>1.4783896899137017</v>
      </c>
      <c r="P53" s="399">
        <f ca="1"/>
        <v>0.94048969711419206</v>
      </c>
      <c r="Q53" s="400">
        <f ca="1"/>
        <v>1.268757920044693</v>
      </c>
      <c r="X53" s="398">
        <f ca="1"/>
        <v>1.0073977886073491</v>
      </c>
      <c r="Y53" s="399">
        <f ca="1"/>
        <v>1.5495589502006679</v>
      </c>
      <c r="Z53" s="399">
        <f ca="1"/>
        <v>1.0073977886073491</v>
      </c>
      <c r="AA53" s="400">
        <f ca="1"/>
        <v>1.3389865571011612</v>
      </c>
    </row>
    <row r="54" spans="1:31" hidden="1">
      <c r="B54" s="382" t="s">
        <v>256</v>
      </c>
      <c r="D54" s="398">
        <f ca="1"/>
        <v>1.8269150649103914</v>
      </c>
      <c r="E54" s="399">
        <f ca="1"/>
        <v>2.1160383286552142</v>
      </c>
      <c r="F54" s="399">
        <f ca="1"/>
        <v>1.7308056941877956</v>
      </c>
      <c r="G54" s="400">
        <f ca="1"/>
        <v>3.8137009460904099</v>
      </c>
      <c r="N54" s="398">
        <f ca="1"/>
        <v>1.6656204299972612</v>
      </c>
      <c r="O54" s="399">
        <f ca="1"/>
        <v>3.3299343976919293</v>
      </c>
      <c r="P54" s="399">
        <f ca="1"/>
        <v>1.6656204299972612</v>
      </c>
      <c r="Q54" s="400">
        <f ca="1"/>
        <v>2.5840240808754658</v>
      </c>
      <c r="X54" s="398">
        <f ca="1"/>
        <v>1.8380826719811227</v>
      </c>
      <c r="Y54" s="399">
        <f ca="1"/>
        <v>3.6373606552394091</v>
      </c>
      <c r="Z54" s="399">
        <f ca="1"/>
        <v>1.8380826719811227</v>
      </c>
      <c r="AA54" s="400">
        <f ca="1"/>
        <v>2.8283356013396683</v>
      </c>
    </row>
    <row r="55" spans="1:31" hidden="1">
      <c r="B55" s="382" t="s">
        <v>347</v>
      </c>
      <c r="D55" s="398">
        <f ca="1"/>
        <v>24.505268361693258</v>
      </c>
      <c r="E55" s="399">
        <f ca="1"/>
        <v>-105.28369542628407</v>
      </c>
      <c r="F55" s="399">
        <f ca="1"/>
        <v>16.326001378305033</v>
      </c>
      <c r="G55" s="400">
        <f ca="1"/>
        <v>-6.6225862212868218</v>
      </c>
      <c r="N55" s="398">
        <f ca="1"/>
        <v>30.111230353756092</v>
      </c>
      <c r="O55" s="399">
        <f ca="1"/>
        <v>-6.2298809102284167</v>
      </c>
      <c r="P55" s="399">
        <f ca="1"/>
        <v>30.111230353756092</v>
      </c>
      <c r="Q55" s="400">
        <f ca="1"/>
        <v>-9.5646954550695167</v>
      </c>
      <c r="X55" s="398">
        <f ca="1"/>
        <v>2.0303030303030298</v>
      </c>
      <c r="Y55" s="399">
        <f ca="1"/>
        <v>4.3030303030303001</v>
      </c>
      <c r="Z55" s="399">
        <f ca="1"/>
        <v>2.0303030303030298</v>
      </c>
      <c r="AA55" s="400">
        <f ca="1"/>
        <v>3.2424242424242409</v>
      </c>
    </row>
    <row r="56" spans="1:31" hidden="1">
      <c r="B56" s="382" t="s">
        <v>257</v>
      </c>
      <c r="D56" s="401">
        <f ca="1"/>
        <v>1.9936980997792642</v>
      </c>
      <c r="E56" s="402">
        <f ca="1"/>
        <v>2.330980236503736</v>
      </c>
      <c r="F56" s="402">
        <f ca="1"/>
        <v>1.8829704301616395</v>
      </c>
      <c r="G56" s="403">
        <f ca="1"/>
        <v>4.4471991723417599</v>
      </c>
      <c r="H56" s="388" t="s">
        <v>321</v>
      </c>
      <c r="N56" s="401">
        <f ca="1"/>
        <v>1.9983476396168869</v>
      </c>
      <c r="O56" s="402">
        <f ca="1"/>
        <v>4.5644194337624882</v>
      </c>
      <c r="P56" s="402">
        <f ca="1"/>
        <v>1.9983476396168869</v>
      </c>
      <c r="Q56" s="403">
        <f ca="1"/>
        <v>3.3293568888227378</v>
      </c>
      <c r="R56" s="388" t="s">
        <v>321</v>
      </c>
      <c r="X56" s="401">
        <f ca="1"/>
        <v>2.4122230077303333</v>
      </c>
      <c r="Y56" s="402">
        <f ca="1"/>
        <v>5.9522269919091375</v>
      </c>
      <c r="Z56" s="402">
        <f ca="1"/>
        <v>2.4122230077303333</v>
      </c>
      <c r="AA56" s="403">
        <f ca="1"/>
        <v>4.1658079314358147</v>
      </c>
      <c r="AB56" s="388" t="s">
        <v>321</v>
      </c>
    </row>
    <row r="57" spans="1:31" hidden="1">
      <c r="B57" s="364" t="s">
        <v>377</v>
      </c>
      <c r="D57" s="404">
        <f t="array" aca="1" ref="D57:G57" ca="1">TRANSPOSE(MMULT(C6:G9/TRANSPOSE(1+1/D52:G56),IEAData2!$C90:$C94*IEAData2!$H90:$H94))/D50:G50/$B2*1000</f>
        <v>1863.9973602267</v>
      </c>
      <c r="E57" s="405">
        <f ca="1"/>
        <v>648.23641722077366</v>
      </c>
      <c r="F57" s="405">
        <f ca="1"/>
        <v>275.92305813420739</v>
      </c>
      <c r="G57" s="406">
        <f ca="1"/>
        <v>81.680342140252748</v>
      </c>
      <c r="H57" s="407">
        <f>SUM(D57:G57)</f>
        <v>2869.8371777219336</v>
      </c>
      <c r="N57" s="404">
        <f t="array" aca="1" ref="N57:Q57" ca="1">TRANSPOSE(MMULT(M6:Q9/TRANSPOSE(1+1/N52:Q56),IEAData2!$C90:$C94*IEAData2!$H90:$H94))/N50:Q50/$B2*1000</f>
        <v>1837.7016274075022</v>
      </c>
      <c r="O57" s="405">
        <f ca="1"/>
        <v>290.35717231861582</v>
      </c>
      <c r="P57" s="405">
        <f ca="1"/>
        <v>159.60965273460036</v>
      </c>
      <c r="Q57" s="406">
        <f ca="1"/>
        <v>231.847860101892</v>
      </c>
      <c r="R57" s="407">
        <f>SUM(N57:Q57)</f>
        <v>2519.5163125626104</v>
      </c>
      <c r="X57" s="404">
        <f t="array" aca="1" ref="X57:AA57" ca="1">TRANSPOSE(MMULT(W6:AA9/TRANSPOSE(1+1/X52:AA56),IEAData2!$C90:$C94*IEAData2!$H90:$H94))/X50:AA50/$B2*1000</f>
        <v>1825.06182406843</v>
      </c>
      <c r="Y57" s="405">
        <f ca="1"/>
        <v>0</v>
      </c>
      <c r="Z57" s="405">
        <f ca="1"/>
        <v>0</v>
      </c>
      <c r="AA57" s="406">
        <f ca="1"/>
        <v>0</v>
      </c>
      <c r="AB57" s="407">
        <f>SUM(X57:AA57)</f>
        <v>1825.06182406843</v>
      </c>
    </row>
    <row r="58" spans="1:31" hidden="1">
      <c r="D58" s="408">
        <f t="array" aca="1" ref="D58" ca="1">SUM(OFFSET($D$76,D49*4-3,0,4)*D53:D56/(1+D53:D56))</f>
        <v>999.1734908916992</v>
      </c>
      <c r="E58" s="408">
        <f t="array" aca="1" ref="E58" ca="1">SUM(OFFSET($D$76,E49*4-3,0,4)*E53:E56/(1+E53:E56))</f>
        <v>1014.1991842985585</v>
      </c>
      <c r="F58" s="408">
        <f t="array" aca="1" ref="F58" ca="1">SUM(OFFSET($D$76,F49*4-3,0,4)*F53:F56/(1+F53:F56))</f>
        <v>2793.1929792158921</v>
      </c>
      <c r="G58" s="408">
        <f t="array" aca="1" ref="G58" ca="1">SUM(OFFSET($D$76,G49*4-3,0,4)*G53:G56/(1+G53:G56))</f>
        <v>2229.669107900655</v>
      </c>
      <c r="H58" s="407">
        <f ca="1">SUM(D58:G58)</f>
        <v>7036.2347623068044</v>
      </c>
      <c r="AE58" s="364" t="s">
        <v>385</v>
      </c>
    </row>
    <row r="59" spans="1:31" hidden="1">
      <c r="K59" s="364" t="s">
        <v>385</v>
      </c>
      <c r="U59" s="364" t="s">
        <v>385</v>
      </c>
    </row>
    <row r="60" spans="1:31" hidden="1">
      <c r="B60" s="364" t="s">
        <v>352</v>
      </c>
      <c r="D60" s="409">
        <v>1</v>
      </c>
      <c r="E60" s="409">
        <v>2</v>
      </c>
      <c r="F60" s="409">
        <v>3</v>
      </c>
      <c r="G60" s="409">
        <v>4</v>
      </c>
      <c r="H60" s="410" t="s">
        <v>377</v>
      </c>
      <c r="I60" s="410" t="s">
        <v>378</v>
      </c>
      <c r="J60" s="411" t="s">
        <v>379</v>
      </c>
      <c r="K60" s="410" t="s">
        <v>375</v>
      </c>
      <c r="N60" s="409">
        <v>1</v>
      </c>
      <c r="O60" s="409">
        <v>2</v>
      </c>
      <c r="P60" s="409">
        <v>3</v>
      </c>
      <c r="Q60" s="409">
        <v>4</v>
      </c>
      <c r="R60" s="410" t="s">
        <v>377</v>
      </c>
      <c r="S60" s="410" t="s">
        <v>378</v>
      </c>
      <c r="T60" s="411" t="s">
        <v>379</v>
      </c>
      <c r="U60" s="410" t="s">
        <v>375</v>
      </c>
      <c r="X60" s="409">
        <v>1</v>
      </c>
      <c r="Y60" s="409">
        <v>2</v>
      </c>
      <c r="Z60" s="409">
        <v>3</v>
      </c>
      <c r="AA60" s="409">
        <v>4</v>
      </c>
      <c r="AB60" s="410" t="s">
        <v>377</v>
      </c>
      <c r="AC60" s="410" t="s">
        <v>378</v>
      </c>
      <c r="AD60" s="411" t="s">
        <v>379</v>
      </c>
      <c r="AE60" s="410" t="s">
        <v>375</v>
      </c>
    </row>
    <row r="61" spans="1:31" hidden="1">
      <c r="A61" s="388" t="s">
        <v>386</v>
      </c>
      <c r="B61" s="382" t="s">
        <v>254</v>
      </c>
      <c r="D61" s="412">
        <f t="array" aca="1" ref="D61:G65" ca="1">TRANSPOSE(C6:G9)*IEAData2!$I$90:$I$94*D52:G56/(D52:G56+1)*J61:J65*J5</f>
        <v>0</v>
      </c>
      <c r="E61" s="412">
        <f ca="1"/>
        <v>0</v>
      </c>
      <c r="F61" s="412">
        <f ca="1"/>
        <v>0</v>
      </c>
      <c r="G61" s="412">
        <f ca="1"/>
        <v>0</v>
      </c>
      <c r="H61" s="386" t="b">
        <f>IF(J$5,SUMPRODUCT(D61:G61/D$66:G$66,D$57:G$57))</f>
        <v>0</v>
      </c>
      <c r="I61" s="386" t="b">
        <f>IF(J$5,SUMPRODUCT(D61:G61/D$66:G$66,D$57:G$57/D52:G52))</f>
        <v>0</v>
      </c>
      <c r="J61" s="413">
        <v>9</v>
      </c>
      <c r="K61" s="414">
        <v>115</v>
      </c>
      <c r="M61" s="415"/>
      <c r="N61" s="412">
        <f t="array" aca="1" ref="N61:Q65" ca="1">TRANSPOSE(M6:Q9)*IEAData2!$I$90:$I$94*N52:Q56/(N52:Q56+1)*T61:T65*T5</f>
        <v>0</v>
      </c>
      <c r="O61" s="412">
        <f ca="1"/>
        <v>0</v>
      </c>
      <c r="P61" s="412">
        <f ca="1"/>
        <v>0</v>
      </c>
      <c r="Q61" s="412">
        <f ca="1"/>
        <v>0</v>
      </c>
      <c r="R61" s="386" t="b">
        <f>IF(T$5,SUMPRODUCT(N61:Q61/N$66:Q$66,N$57:Q$57))</f>
        <v>0</v>
      </c>
      <c r="S61" s="386" t="b">
        <f>IF(T$5,SUMPRODUCT(N61:Q61/N$66:Q$66,N$57:Q$57/N52:Q52))</f>
        <v>0</v>
      </c>
      <c r="T61" s="416">
        <v>3</v>
      </c>
      <c r="U61" s="417"/>
      <c r="X61" s="412">
        <f t="array" aca="1" ref="X61:AA65" ca="1">TRANSPOSE(W6:AA9)*IEAData2!$I$90:$I$94*X52:AA56/(X52:AA56+1)*AD61:AD65*AD5</f>
        <v>1.4365176822530539</v>
      </c>
      <c r="Y61" s="412">
        <f ca="1"/>
        <v>0</v>
      </c>
      <c r="Z61" s="412">
        <f ca="1"/>
        <v>0</v>
      </c>
      <c r="AA61" s="412">
        <f ca="1"/>
        <v>0</v>
      </c>
      <c r="AB61" s="386">
        <f ca="1">IF(AD$5,SUMPRODUCT(X61:AA61/(X$66:AA$66+Tiny),X$57:AA$57))</f>
        <v>67.824193684551076</v>
      </c>
      <c r="AC61" s="386">
        <f ca="1">IF(AD$5,SUMPRODUCT(X61:AA61/(X$66:AA$66+Tiny),X$57:AA$57/X52:AA52))</f>
        <v>39.565023543992083</v>
      </c>
      <c r="AD61" s="416">
        <v>1.7</v>
      </c>
      <c r="AE61" s="414">
        <v>135</v>
      </c>
    </row>
    <row r="62" spans="1:31" hidden="1">
      <c r="B62" s="382" t="s">
        <v>255</v>
      </c>
      <c r="D62" s="412">
        <f ca="1"/>
        <v>0</v>
      </c>
      <c r="E62" s="412">
        <f ca="1"/>
        <v>0</v>
      </c>
      <c r="F62" s="412">
        <f ca="1"/>
        <v>0</v>
      </c>
      <c r="G62" s="412">
        <f ca="1"/>
        <v>0</v>
      </c>
      <c r="H62" s="386" t="b">
        <f>IF(J$5,SUMPRODUCT(D62:G62/D$66:G$66,D$57:G$57))</f>
        <v>0</v>
      </c>
      <c r="I62" s="386" t="b">
        <f>IF(J$5,SUMPRODUCT(D62:G62/D$66:G$66,D$57:G$57/D53:G53))</f>
        <v>0</v>
      </c>
      <c r="J62" s="413">
        <v>2.2000000000000002</v>
      </c>
      <c r="K62" s="418">
        <v>782.6</v>
      </c>
      <c r="M62" s="415"/>
      <c r="N62" s="412">
        <f ca="1"/>
        <v>0</v>
      </c>
      <c r="O62" s="412">
        <f ca="1"/>
        <v>0</v>
      </c>
      <c r="P62" s="412">
        <f ca="1"/>
        <v>0</v>
      </c>
      <c r="Q62" s="412">
        <f ca="1"/>
        <v>0</v>
      </c>
      <c r="R62" s="386" t="b">
        <f>IF(T$5,SUMPRODUCT(N62:Q62/N$66:Q$66,N$57:Q$57))</f>
        <v>0</v>
      </c>
      <c r="S62" s="386" t="b">
        <f>IF(T$5,SUMPRODUCT(N62:Q62/N$66:Q$66,N$57:Q$57/N53:Q53))</f>
        <v>0</v>
      </c>
      <c r="T62" s="416">
        <v>1</v>
      </c>
      <c r="U62" s="417"/>
      <c r="X62" s="412">
        <f ca="1"/>
        <v>18.809211748261845</v>
      </c>
      <c r="Y62" s="412">
        <f ca="1"/>
        <v>0</v>
      </c>
      <c r="Z62" s="412">
        <f ca="1"/>
        <v>0</v>
      </c>
      <c r="AA62" s="412">
        <f ca="1"/>
        <v>0</v>
      </c>
      <c r="AB62" s="386">
        <f ca="1">IF(AD$5,SUMPRODUCT(X62:AA62/(X$66:AA$66+Tiny),X$57:AA$57))</f>
        <v>888.06398725770555</v>
      </c>
      <c r="AC62" s="386">
        <f ca="1">IF(AD$5,SUMPRODUCT(X62:AA62/(X$66:AA$66+Tiny),X$57:AA$57/X53:AA53))</f>
        <v>881.5425220313283</v>
      </c>
      <c r="AD62" s="416">
        <v>0.83</v>
      </c>
      <c r="AE62" s="418">
        <v>1085.4000000000001</v>
      </c>
    </row>
    <row r="63" spans="1:31" hidden="1">
      <c r="B63" s="382" t="s">
        <v>256</v>
      </c>
      <c r="D63" s="412">
        <f ca="1"/>
        <v>0</v>
      </c>
      <c r="E63" s="412">
        <f ca="1"/>
        <v>0</v>
      </c>
      <c r="F63" s="412">
        <f ca="1"/>
        <v>0</v>
      </c>
      <c r="G63" s="412">
        <f ca="1"/>
        <v>0</v>
      </c>
      <c r="H63" s="386" t="b">
        <f>IF(J$5,SUMPRODUCT(D63:G63/D$66:G$66,D$57:G$57))</f>
        <v>0</v>
      </c>
      <c r="I63" s="386" t="b">
        <f>IF(J$5,SUMPRODUCT(D63:G63/D$66:G$66,D$57:G$57/D54:G54))</f>
        <v>0</v>
      </c>
      <c r="J63" s="413">
        <v>1</v>
      </c>
      <c r="K63" s="418">
        <v>480</v>
      </c>
      <c r="M63" s="415"/>
      <c r="N63" s="412">
        <f ca="1"/>
        <v>0</v>
      </c>
      <c r="O63" s="412">
        <f ca="1"/>
        <v>0</v>
      </c>
      <c r="P63" s="412">
        <f ca="1"/>
        <v>0</v>
      </c>
      <c r="Q63" s="412">
        <f ca="1"/>
        <v>0</v>
      </c>
      <c r="R63" s="386" t="b">
        <f>IF(T$5,SUMPRODUCT(N63:Q63/N$66:Q$66,N$57:Q$57))</f>
        <v>0</v>
      </c>
      <c r="S63" s="386" t="b">
        <f>IF(T$5,SUMPRODUCT(N63:Q63/N$66:Q$66,N$57:Q$57/N54:Q54))</f>
        <v>0</v>
      </c>
      <c r="T63" s="416">
        <v>1</v>
      </c>
      <c r="U63" s="417"/>
      <c r="X63" s="412">
        <f ca="1"/>
        <v>17.535356594556301</v>
      </c>
      <c r="Y63" s="412">
        <f ca="1"/>
        <v>0</v>
      </c>
      <c r="Z63" s="412">
        <f ca="1"/>
        <v>0</v>
      </c>
      <c r="AA63" s="412">
        <f ca="1"/>
        <v>0</v>
      </c>
      <c r="AB63" s="386">
        <f ca="1">IF(AD$5,SUMPRODUCT(X63:AA63/(X$66:AA$66+Tiny),X$57:AA$57))</f>
        <v>827.91979290607026</v>
      </c>
      <c r="AC63" s="386">
        <f ca="1">IF(AD$5,SUMPRODUCT(X63:AA63/(X$66:AA$66+Tiny),X$57:AA$57/X54:AA54))</f>
        <v>450.42576458964248</v>
      </c>
      <c r="AD63" s="419">
        <v>1.3</v>
      </c>
      <c r="AE63" s="418">
        <v>463</v>
      </c>
    </row>
    <row r="64" spans="1:31" hidden="1">
      <c r="B64" s="382" t="s">
        <v>347</v>
      </c>
      <c r="D64" s="412">
        <f ca="1"/>
        <v>0</v>
      </c>
      <c r="E64" s="412">
        <f ca="1"/>
        <v>0</v>
      </c>
      <c r="F64" s="412">
        <f ca="1"/>
        <v>0</v>
      </c>
      <c r="G64" s="412">
        <f ca="1"/>
        <v>0</v>
      </c>
      <c r="H64" s="386" t="b">
        <f>IF(J$5,SUMPRODUCT(D64:G64/D$66:G$66,D$57:G$57))</f>
        <v>0</v>
      </c>
      <c r="I64" s="386" t="b">
        <f>IF(J$5,SUMPRODUCT(D64:G64/D$66:G$66,D$57:G$57/D55:G55))</f>
        <v>0</v>
      </c>
      <c r="J64" s="413">
        <v>1.1499999999999999</v>
      </c>
      <c r="K64" s="418">
        <v>849</v>
      </c>
      <c r="M64" s="415"/>
      <c r="N64" s="412">
        <f ca="1"/>
        <v>0</v>
      </c>
      <c r="O64" s="412">
        <f ca="1"/>
        <v>0</v>
      </c>
      <c r="P64" s="412">
        <f ca="1"/>
        <v>0</v>
      </c>
      <c r="Q64" s="412">
        <f ca="1"/>
        <v>0</v>
      </c>
      <c r="R64" s="386" t="b">
        <f>IF(T$5,SUMPRODUCT(N64:Q64/N$66:Q$66,N$57:Q$57))</f>
        <v>0</v>
      </c>
      <c r="S64" s="386" t="b">
        <f>IF(T$5,SUMPRODUCT(N64:Q64/N$66:Q$66,N$57:Q$57/N55:Q55))</f>
        <v>0</v>
      </c>
      <c r="T64" s="416">
        <v>1</v>
      </c>
      <c r="U64" s="417"/>
      <c r="X64" s="412">
        <f ca="1"/>
        <v>0.26261442854256956</v>
      </c>
      <c r="Y64" s="412">
        <f ca="1"/>
        <v>0</v>
      </c>
      <c r="Z64" s="412">
        <f ca="1"/>
        <v>0</v>
      </c>
      <c r="AA64" s="412">
        <f ca="1"/>
        <v>0</v>
      </c>
      <c r="AB64" s="386">
        <f ca="1">IF(AD$5,SUMPRODUCT(X64:AA64/(X$66:AA$66+Tiny),X$57:AA$57))</f>
        <v>12.399159499305959</v>
      </c>
      <c r="AC64" s="386">
        <f ca="1">IF(AD$5,SUMPRODUCT(X64:AA64/(X$66:AA$66+Tiny),X$57:AA$57/X55:AA55))</f>
        <v>6.1070487086133847</v>
      </c>
      <c r="AD64" s="416">
        <v>1</v>
      </c>
      <c r="AE64" s="418">
        <v>0</v>
      </c>
    </row>
    <row r="65" spans="1:31" hidden="1">
      <c r="B65" s="382" t="s">
        <v>257</v>
      </c>
      <c r="D65" s="412">
        <f ca="1"/>
        <v>0</v>
      </c>
      <c r="E65" s="412">
        <f ca="1"/>
        <v>0</v>
      </c>
      <c r="F65" s="412">
        <f ca="1"/>
        <v>0</v>
      </c>
      <c r="G65" s="412">
        <f ca="1"/>
        <v>0</v>
      </c>
      <c r="H65" s="386" t="b">
        <f>IF(J$5,SUMPRODUCT(D65:G65/D$66:G$66,D$57:G$57))</f>
        <v>0</v>
      </c>
      <c r="I65" s="386" t="b">
        <f>IF(J$5,SUMPRODUCT(D65:G65/D$66:G$66,D$57:G$57/D56:G56))</f>
        <v>0</v>
      </c>
      <c r="J65" s="413">
        <v>0.68</v>
      </c>
      <c r="K65" s="420">
        <v>353</v>
      </c>
      <c r="M65" s="415"/>
      <c r="N65" s="412">
        <f ca="1"/>
        <v>0</v>
      </c>
      <c r="O65" s="412">
        <f ca="1"/>
        <v>0</v>
      </c>
      <c r="P65" s="412">
        <f ca="1"/>
        <v>0</v>
      </c>
      <c r="Q65" s="412">
        <f ca="1"/>
        <v>0</v>
      </c>
      <c r="R65" s="386" t="b">
        <f>IF(T$5,SUMPRODUCT(N65:Q65/N$66:Q$66,N$57:Q$57))</f>
        <v>0</v>
      </c>
      <c r="S65" s="386" t="b">
        <f>IF(T$5,SUMPRODUCT(N65:Q65/N$66:Q$66,N$57:Q$57/N56:Q56))</f>
        <v>0</v>
      </c>
      <c r="T65" s="416">
        <v>0.9</v>
      </c>
      <c r="U65" s="417"/>
      <c r="X65" s="412">
        <f ca="1"/>
        <v>0.61114288451888488</v>
      </c>
      <c r="Y65" s="412">
        <f ca="1"/>
        <v>0</v>
      </c>
      <c r="Z65" s="412">
        <f ca="1"/>
        <v>0</v>
      </c>
      <c r="AA65" s="412">
        <f ca="1"/>
        <v>0</v>
      </c>
      <c r="AB65" s="386">
        <f ca="1">IF(AD$5,SUMPRODUCT(X65:AA65/(X$66:AA$66+Tiny),X$57:AA$57))</f>
        <v>28.854690673582869</v>
      </c>
      <c r="AC65" s="386">
        <f ca="1">IF(AD$5,SUMPRODUCT(X65:AA65/(X$66:AA$66+Tiny),X$57:AA$57/X56:AA56))</f>
        <v>11.961866950573663</v>
      </c>
      <c r="AD65" s="416">
        <v>4</v>
      </c>
      <c r="AE65" s="420">
        <v>20</v>
      </c>
    </row>
    <row r="66" spans="1:31" hidden="1">
      <c r="B66" s="364" t="s">
        <v>52</v>
      </c>
      <c r="D66" s="421">
        <f t="shared" ref="D66:I66" si="5">SUM(D61:D65)</f>
        <v>0</v>
      </c>
      <c r="E66" s="421">
        <f t="shared" si="5"/>
        <v>0</v>
      </c>
      <c r="F66" s="421">
        <f t="shared" si="5"/>
        <v>0</v>
      </c>
      <c r="G66" s="421">
        <f t="shared" si="5"/>
        <v>0</v>
      </c>
      <c r="H66" s="385">
        <f t="shared" si="5"/>
        <v>0</v>
      </c>
      <c r="I66" s="385">
        <f t="shared" si="5"/>
        <v>0</v>
      </c>
      <c r="J66" s="422"/>
      <c r="K66" s="423">
        <f>SUM(K61:K65)</f>
        <v>2579.6</v>
      </c>
      <c r="N66" s="421">
        <f t="shared" ref="N66:S66" si="6">SUM(N61:N65)</f>
        <v>0</v>
      </c>
      <c r="O66" s="421">
        <f t="shared" si="6"/>
        <v>0</v>
      </c>
      <c r="P66" s="421">
        <f t="shared" si="6"/>
        <v>0</v>
      </c>
      <c r="Q66" s="421">
        <f t="shared" si="6"/>
        <v>0</v>
      </c>
      <c r="R66" s="385">
        <f t="shared" si="6"/>
        <v>0</v>
      </c>
      <c r="S66" s="385">
        <f t="shared" si="6"/>
        <v>0</v>
      </c>
      <c r="T66" s="422"/>
      <c r="U66" s="385">
        <f>SUM(U61:U65)</f>
        <v>0</v>
      </c>
      <c r="X66" s="421">
        <f t="shared" ref="X66:AC66" si="7">SUM(X61:X65)</f>
        <v>38.654843338132657</v>
      </c>
      <c r="Y66" s="421">
        <f t="shared" si="7"/>
        <v>0</v>
      </c>
      <c r="Z66" s="421">
        <f t="shared" si="7"/>
        <v>0</v>
      </c>
      <c r="AA66" s="421">
        <f t="shared" si="7"/>
        <v>0</v>
      </c>
      <c r="AB66" s="385">
        <f t="shared" si="7"/>
        <v>1825.0618240212159</v>
      </c>
      <c r="AC66" s="385">
        <f t="shared" si="7"/>
        <v>1389.6022258241499</v>
      </c>
      <c r="AD66" s="422"/>
      <c r="AE66" s="385">
        <f>SUM(AE61:AE65)</f>
        <v>1703.4</v>
      </c>
    </row>
    <row r="67" spans="1:31" hidden="1">
      <c r="D67" s="415"/>
      <c r="E67" s="415"/>
      <c r="F67" s="415"/>
      <c r="G67" s="415"/>
      <c r="N67" s="415"/>
      <c r="O67" s="415"/>
      <c r="P67" s="415"/>
      <c r="Q67" s="415"/>
      <c r="X67" s="415"/>
      <c r="Y67" s="415"/>
      <c r="Z67" s="415"/>
      <c r="AA67" s="415"/>
    </row>
    <row r="68" spans="1:31" hidden="1">
      <c r="B68" s="364" t="s">
        <v>352</v>
      </c>
      <c r="D68" s="387">
        <v>1</v>
      </c>
      <c r="E68" s="387">
        <v>2</v>
      </c>
      <c r="F68" s="387">
        <v>3</v>
      </c>
      <c r="G68" s="387">
        <v>4</v>
      </c>
      <c r="N68" s="387">
        <v>1</v>
      </c>
      <c r="O68" s="387">
        <v>2</v>
      </c>
      <c r="P68" s="387">
        <v>3</v>
      </c>
      <c r="Q68" s="387">
        <v>4</v>
      </c>
      <c r="X68" s="387">
        <v>1</v>
      </c>
      <c r="Y68" s="387">
        <v>2</v>
      </c>
      <c r="Z68" s="387">
        <v>3</v>
      </c>
      <c r="AA68" s="387">
        <v>4</v>
      </c>
    </row>
    <row r="69" spans="1:31" hidden="1">
      <c r="A69" s="388" t="s">
        <v>386</v>
      </c>
      <c r="B69" s="382" t="s">
        <v>254</v>
      </c>
      <c r="D69" s="424" t="b">
        <f t="array" ref="D69:G73">IF(J5,D61:G65/D66:G66*D57:G57*(1+1/D52:G56))</f>
        <v>0</v>
      </c>
      <c r="E69" s="425" t="b">
        <v>0</v>
      </c>
      <c r="F69" s="425" t="b">
        <v>0</v>
      </c>
      <c r="G69" s="426" t="b">
        <v>0</v>
      </c>
      <c r="H69" s="386">
        <f t="shared" ref="H69:H74" si="8">SUM(D69:G69)</f>
        <v>0</v>
      </c>
      <c r="N69" s="424" t="b">
        <f t="array" ref="N69:Q73">IF(T5,N61:Q65/N66:Q66*N57:Q57*(1+1/N52:Q56))</f>
        <v>0</v>
      </c>
      <c r="O69" s="425" t="b">
        <v>0</v>
      </c>
      <c r="P69" s="425" t="b">
        <v>0</v>
      </c>
      <c r="Q69" s="426" t="b">
        <v>0</v>
      </c>
      <c r="R69" s="386">
        <f t="shared" ref="R69:R74" si="9">SUM(N69:Q69)</f>
        <v>0</v>
      </c>
      <c r="X69" s="424">
        <f t="array" aca="1" ref="X69:AA73" ca="1">IF(AD5,X61:AA65/(Tiny+X66:AA66)*X57:AA57*(1+1/(Tiny+X52:AA56)))</f>
        <v>107.38921720546303</v>
      </c>
      <c r="Y69" s="425">
        <f ca="1"/>
        <v>0</v>
      </c>
      <c r="Z69" s="425">
        <f ca="1"/>
        <v>0</v>
      </c>
      <c r="AA69" s="426">
        <f ca="1"/>
        <v>0</v>
      </c>
      <c r="AB69" s="386">
        <f t="shared" ref="AB69:AB74" si="10">SUM(X69:AA69)</f>
        <v>107.38921720546303</v>
      </c>
    </row>
    <row r="70" spans="1:31" hidden="1">
      <c r="B70" s="382" t="s">
        <v>255</v>
      </c>
      <c r="D70" s="427" t="b">
        <v>0</v>
      </c>
      <c r="E70" s="428" t="b">
        <v>0</v>
      </c>
      <c r="F70" s="428" t="b">
        <v>0</v>
      </c>
      <c r="G70" s="429" t="b">
        <v>0</v>
      </c>
      <c r="H70" s="386">
        <f t="shared" si="8"/>
        <v>0</v>
      </c>
      <c r="N70" s="427" t="b">
        <v>0</v>
      </c>
      <c r="O70" s="428" t="b">
        <v>0</v>
      </c>
      <c r="P70" s="428" t="b">
        <v>0</v>
      </c>
      <c r="Q70" s="429" t="b">
        <v>0</v>
      </c>
      <c r="R70" s="386">
        <f t="shared" si="9"/>
        <v>0</v>
      </c>
      <c r="X70" s="427">
        <f ca="1"/>
        <v>1769.606508413965</v>
      </c>
      <c r="Y70" s="428">
        <f ca="1"/>
        <v>0</v>
      </c>
      <c r="Z70" s="428">
        <f ca="1"/>
        <v>0</v>
      </c>
      <c r="AA70" s="429">
        <f ca="1"/>
        <v>0</v>
      </c>
      <c r="AB70" s="386">
        <f t="shared" si="10"/>
        <v>1769.606508413965</v>
      </c>
    </row>
    <row r="71" spans="1:31" hidden="1">
      <c r="B71" s="382" t="s">
        <v>256</v>
      </c>
      <c r="D71" s="427" t="b">
        <v>0</v>
      </c>
      <c r="E71" s="428" t="b">
        <v>0</v>
      </c>
      <c r="F71" s="428" t="b">
        <v>0</v>
      </c>
      <c r="G71" s="429" t="b">
        <v>0</v>
      </c>
      <c r="H71" s="386">
        <f t="shared" si="8"/>
        <v>0</v>
      </c>
      <c r="N71" s="427" t="b">
        <v>0</v>
      </c>
      <c r="O71" s="428" t="b">
        <v>0</v>
      </c>
      <c r="P71" s="428" t="b">
        <v>0</v>
      </c>
      <c r="Q71" s="429" t="b">
        <v>0</v>
      </c>
      <c r="R71" s="386">
        <f t="shared" si="9"/>
        <v>0</v>
      </c>
      <c r="X71" s="427">
        <f ca="1"/>
        <v>1278.3455572506607</v>
      </c>
      <c r="Y71" s="428">
        <f ca="1"/>
        <v>0</v>
      </c>
      <c r="Z71" s="428">
        <f ca="1"/>
        <v>0</v>
      </c>
      <c r="AA71" s="429">
        <f ca="1"/>
        <v>0</v>
      </c>
      <c r="AB71" s="386">
        <f t="shared" si="10"/>
        <v>1278.3455572506607</v>
      </c>
    </row>
    <row r="72" spans="1:31" hidden="1">
      <c r="B72" s="382" t="s">
        <v>347</v>
      </c>
      <c r="D72" s="427" t="b">
        <v>0</v>
      </c>
      <c r="E72" s="428" t="b">
        <v>0</v>
      </c>
      <c r="F72" s="428" t="b">
        <v>0</v>
      </c>
      <c r="G72" s="429" t="b">
        <v>0</v>
      </c>
      <c r="H72" s="386">
        <f t="shared" si="8"/>
        <v>0</v>
      </c>
      <c r="N72" s="427" t="b">
        <v>0</v>
      </c>
      <c r="O72" s="428" t="b">
        <v>0</v>
      </c>
      <c r="P72" s="428" t="b">
        <v>0</v>
      </c>
      <c r="Q72" s="429" t="b">
        <v>0</v>
      </c>
      <c r="R72" s="386">
        <f t="shared" si="9"/>
        <v>0</v>
      </c>
      <c r="X72" s="427">
        <f ca="1"/>
        <v>18.506208204911392</v>
      </c>
      <c r="Y72" s="428">
        <f ca="1"/>
        <v>0</v>
      </c>
      <c r="Z72" s="428">
        <f ca="1"/>
        <v>0</v>
      </c>
      <c r="AA72" s="429">
        <f ca="1"/>
        <v>0</v>
      </c>
      <c r="AB72" s="386">
        <f t="shared" si="10"/>
        <v>18.506208204911392</v>
      </c>
    </row>
    <row r="73" spans="1:31" hidden="1">
      <c r="B73" s="382" t="s">
        <v>257</v>
      </c>
      <c r="D73" s="430" t="b">
        <v>0</v>
      </c>
      <c r="E73" s="431" t="b">
        <v>0</v>
      </c>
      <c r="F73" s="431" t="b">
        <v>0</v>
      </c>
      <c r="G73" s="432" t="b">
        <v>0</v>
      </c>
      <c r="H73" s="386">
        <f t="shared" si="8"/>
        <v>0</v>
      </c>
      <c r="N73" s="430" t="b">
        <v>0</v>
      </c>
      <c r="O73" s="431" t="b">
        <v>0</v>
      </c>
      <c r="P73" s="431" t="b">
        <v>0</v>
      </c>
      <c r="Q73" s="432" t="b">
        <v>0</v>
      </c>
      <c r="R73" s="386">
        <f t="shared" si="9"/>
        <v>0</v>
      </c>
      <c r="X73" s="430">
        <f ca="1"/>
        <v>40.816557619197674</v>
      </c>
      <c r="Y73" s="431">
        <f ca="1"/>
        <v>0</v>
      </c>
      <c r="Z73" s="431">
        <f ca="1"/>
        <v>0</v>
      </c>
      <c r="AA73" s="432">
        <f ca="1"/>
        <v>0</v>
      </c>
      <c r="AB73" s="386">
        <f t="shared" si="10"/>
        <v>40.816557619197674</v>
      </c>
    </row>
    <row r="74" spans="1:31" hidden="1">
      <c r="B74" s="364" t="s">
        <v>52</v>
      </c>
      <c r="D74" s="386">
        <f>SUM(D69:D73)</f>
        <v>0</v>
      </c>
      <c r="E74" s="386">
        <f>SUM(E69:E73)</f>
        <v>0</v>
      </c>
      <c r="F74" s="386">
        <f>SUM(F69:F73)</f>
        <v>0</v>
      </c>
      <c r="G74" s="386">
        <f>SUM(G69:G73)</f>
        <v>0</v>
      </c>
      <c r="H74" s="386">
        <f t="shared" si="8"/>
        <v>0</v>
      </c>
      <c r="N74" s="386">
        <f>SUM(N69:N73)</f>
        <v>0</v>
      </c>
      <c r="O74" s="386">
        <f>SUM(O69:O73)</f>
        <v>0</v>
      </c>
      <c r="P74" s="386">
        <f>SUM(P69:P73)</f>
        <v>0</v>
      </c>
      <c r="Q74" s="386">
        <f>SUM(Q69:Q73)</f>
        <v>0</v>
      </c>
      <c r="R74" s="386">
        <f t="shared" si="9"/>
        <v>0</v>
      </c>
      <c r="X74" s="386">
        <f>SUM(X69:X73)</f>
        <v>3214.6640486941974</v>
      </c>
      <c r="Y74" s="386">
        <f>SUM(Y69:Y73)</f>
        <v>0</v>
      </c>
      <c r="Z74" s="386">
        <f>SUM(Z69:Z73)</f>
        <v>0</v>
      </c>
      <c r="AA74" s="386">
        <f>SUM(AA69:AA73)</f>
        <v>0</v>
      </c>
      <c r="AB74" s="386">
        <f t="shared" si="10"/>
        <v>3214.6640486941974</v>
      </c>
    </row>
    <row r="75" spans="1:31" hidden="1"/>
    <row r="76" spans="1:31" hidden="1">
      <c r="B76" s="364" t="s">
        <v>352</v>
      </c>
      <c r="D76" s="411">
        <v>2010</v>
      </c>
      <c r="E76" s="411">
        <v>2015</v>
      </c>
      <c r="F76" s="411">
        <v>2020</v>
      </c>
      <c r="G76" s="411">
        <v>2025</v>
      </c>
      <c r="H76" s="411">
        <v>2030</v>
      </c>
      <c r="I76" s="411">
        <v>2040</v>
      </c>
      <c r="J76" s="411">
        <v>2050</v>
      </c>
      <c r="N76" s="411">
        <v>2010</v>
      </c>
      <c r="O76" s="411">
        <v>2015</v>
      </c>
      <c r="P76" s="411">
        <v>2020</v>
      </c>
      <c r="Q76" s="411">
        <v>2025</v>
      </c>
      <c r="R76" s="411">
        <v>2030</v>
      </c>
      <c r="S76" s="411">
        <v>2040</v>
      </c>
      <c r="T76" s="411">
        <v>2050</v>
      </c>
      <c r="X76" s="411">
        <v>2010</v>
      </c>
      <c r="Y76" s="411">
        <v>2015</v>
      </c>
      <c r="Z76" s="411">
        <v>2020</v>
      </c>
      <c r="AA76" s="411">
        <v>2025</v>
      </c>
      <c r="AB76" s="411">
        <v>2030</v>
      </c>
      <c r="AC76" s="411">
        <v>2040</v>
      </c>
      <c r="AD76" s="411">
        <v>2050</v>
      </c>
    </row>
    <row r="77" spans="1:31" hidden="1">
      <c r="A77" s="364">
        <v>1</v>
      </c>
      <c r="B77" s="382" t="s">
        <v>255</v>
      </c>
      <c r="D77" s="383">
        <v>905</v>
      </c>
      <c r="E77" s="383">
        <v>905</v>
      </c>
      <c r="F77" s="383">
        <v>905</v>
      </c>
      <c r="G77" s="383">
        <v>452</v>
      </c>
      <c r="H77" s="383">
        <v>452</v>
      </c>
      <c r="I77" s="383">
        <v>0</v>
      </c>
      <c r="J77" s="376">
        <v>0</v>
      </c>
      <c r="N77" s="376">
        <v>100</v>
      </c>
      <c r="O77" s="376">
        <v>100</v>
      </c>
      <c r="P77" s="376">
        <v>60</v>
      </c>
      <c r="Q77" s="376"/>
      <c r="R77" s="376"/>
      <c r="S77" s="376"/>
      <c r="T77" s="376"/>
      <c r="X77" s="383">
        <v>2125</v>
      </c>
      <c r="Y77" s="383">
        <v>1996</v>
      </c>
      <c r="Z77" s="383">
        <v>1996</v>
      </c>
      <c r="AA77" s="383">
        <v>1996</v>
      </c>
      <c r="AB77" s="383">
        <v>1744.1055013960595</v>
      </c>
      <c r="AC77" s="383">
        <v>825.36537363763932</v>
      </c>
      <c r="AD77" s="376"/>
    </row>
    <row r="78" spans="1:31" hidden="1">
      <c r="A78" s="364">
        <v>1</v>
      </c>
      <c r="B78" s="382" t="s">
        <v>256</v>
      </c>
      <c r="D78" s="383">
        <v>854</v>
      </c>
      <c r="E78" s="383">
        <v>854</v>
      </c>
      <c r="F78" s="383">
        <v>593</v>
      </c>
      <c r="G78" s="383">
        <v>0</v>
      </c>
      <c r="H78" s="383">
        <v>0</v>
      </c>
      <c r="I78" s="383">
        <v>0</v>
      </c>
      <c r="J78" s="376">
        <v>0</v>
      </c>
      <c r="N78" s="376">
        <v>100</v>
      </c>
      <c r="O78" s="376">
        <v>100</v>
      </c>
      <c r="P78" s="376">
        <v>60</v>
      </c>
      <c r="Q78" s="376"/>
      <c r="R78" s="376"/>
      <c r="S78" s="376"/>
      <c r="T78" s="376"/>
      <c r="X78" s="383">
        <v>1564</v>
      </c>
      <c r="Y78" s="383">
        <v>1564</v>
      </c>
      <c r="Z78" s="383">
        <v>1564</v>
      </c>
      <c r="AA78" s="383">
        <v>680</v>
      </c>
      <c r="AB78" s="383">
        <v>460</v>
      </c>
      <c r="AC78" s="383">
        <v>0</v>
      </c>
      <c r="AD78" s="376"/>
    </row>
    <row r="79" spans="1:31" hidden="1">
      <c r="A79" s="364">
        <v>1</v>
      </c>
      <c r="B79" s="382" t="s">
        <v>257</v>
      </c>
      <c r="D79" s="383">
        <v>0</v>
      </c>
      <c r="E79" s="383">
        <v>0</v>
      </c>
      <c r="F79" s="383">
        <v>390</v>
      </c>
      <c r="G79" s="383">
        <v>390</v>
      </c>
      <c r="H79" s="383">
        <v>390</v>
      </c>
      <c r="I79" s="383">
        <v>390</v>
      </c>
      <c r="J79" s="376">
        <v>390</v>
      </c>
      <c r="N79" s="376">
        <v>100</v>
      </c>
      <c r="O79" s="376">
        <v>100</v>
      </c>
      <c r="P79" s="376">
        <v>60</v>
      </c>
      <c r="Q79" s="376"/>
      <c r="R79" s="376"/>
      <c r="S79" s="376"/>
      <c r="T79" s="376"/>
      <c r="X79" s="383">
        <v>70</v>
      </c>
      <c r="Y79" s="383">
        <v>293.39999999999998</v>
      </c>
      <c r="Z79" s="383">
        <v>403.4</v>
      </c>
      <c r="AA79" s="383">
        <v>403.4</v>
      </c>
      <c r="AB79" s="383">
        <v>403.4</v>
      </c>
      <c r="AC79" s="383">
        <v>403.4</v>
      </c>
      <c r="AD79" s="376">
        <v>100</v>
      </c>
    </row>
    <row r="80" spans="1:31" hidden="1">
      <c r="A80" s="364">
        <v>1</v>
      </c>
      <c r="B80" s="382" t="s">
        <v>314</v>
      </c>
      <c r="D80" s="433">
        <v>0</v>
      </c>
      <c r="E80" s="433">
        <v>0</v>
      </c>
      <c r="F80" s="433">
        <v>0</v>
      </c>
      <c r="G80" s="433">
        <v>0</v>
      </c>
      <c r="H80" s="433">
        <v>0</v>
      </c>
      <c r="I80" s="433">
        <v>0</v>
      </c>
      <c r="J80" s="434">
        <v>0</v>
      </c>
      <c r="N80" s="434">
        <v>100</v>
      </c>
      <c r="O80" s="434">
        <v>100</v>
      </c>
      <c r="P80" s="434">
        <v>60</v>
      </c>
      <c r="Q80" s="434"/>
      <c r="R80" s="434"/>
      <c r="S80" s="434"/>
      <c r="T80" s="434"/>
      <c r="X80" s="433">
        <v>215</v>
      </c>
      <c r="Y80" s="433">
        <v>0</v>
      </c>
      <c r="Z80" s="433">
        <v>0</v>
      </c>
      <c r="AA80" s="433">
        <v>0</v>
      </c>
      <c r="AB80" s="433">
        <v>0</v>
      </c>
      <c r="AC80" s="433">
        <v>0</v>
      </c>
      <c r="AD80" s="434"/>
    </row>
    <row r="81" spans="1:30" hidden="1">
      <c r="A81" s="364">
        <v>2</v>
      </c>
      <c r="B81" s="382" t="s">
        <v>255</v>
      </c>
      <c r="D81" s="383">
        <v>671.8</v>
      </c>
      <c r="E81" s="383">
        <v>854.8</v>
      </c>
      <c r="F81" s="383">
        <v>627.79999999999995</v>
      </c>
      <c r="G81" s="383">
        <v>627.79999999999995</v>
      </c>
      <c r="H81" s="383">
        <v>492.4</v>
      </c>
      <c r="I81" s="383">
        <v>194.7</v>
      </c>
      <c r="J81" s="376">
        <v>0</v>
      </c>
      <c r="N81" s="376">
        <v>100</v>
      </c>
      <c r="O81" s="376">
        <v>100</v>
      </c>
      <c r="P81" s="376">
        <v>60</v>
      </c>
      <c r="Q81" s="376"/>
      <c r="R81" s="376"/>
      <c r="S81" s="376"/>
      <c r="T81" s="376"/>
      <c r="X81" s="383">
        <v>0</v>
      </c>
      <c r="Y81" s="383">
        <v>0</v>
      </c>
      <c r="Z81" s="383">
        <v>0</v>
      </c>
      <c r="AA81" s="383">
        <v>0</v>
      </c>
      <c r="AB81" s="383">
        <v>0</v>
      </c>
      <c r="AC81" s="383">
        <v>0</v>
      </c>
      <c r="AD81" s="376"/>
    </row>
    <row r="82" spans="1:30" hidden="1">
      <c r="A82" s="364">
        <v>2</v>
      </c>
      <c r="B82" s="382" t="s">
        <v>256</v>
      </c>
      <c r="D82" s="383">
        <v>0</v>
      </c>
      <c r="E82" s="383">
        <v>0</v>
      </c>
      <c r="F82" s="383">
        <v>0</v>
      </c>
      <c r="G82" s="383">
        <v>0</v>
      </c>
      <c r="H82" s="383">
        <v>0</v>
      </c>
      <c r="I82" s="383">
        <v>0</v>
      </c>
      <c r="J82" s="376">
        <v>0</v>
      </c>
      <c r="N82" s="376">
        <v>100</v>
      </c>
      <c r="O82" s="376">
        <v>100</v>
      </c>
      <c r="P82" s="376">
        <v>60</v>
      </c>
      <c r="Q82" s="376"/>
      <c r="R82" s="376"/>
      <c r="S82" s="376"/>
      <c r="T82" s="376"/>
      <c r="X82" s="383">
        <v>0</v>
      </c>
      <c r="Y82" s="383">
        <v>0</v>
      </c>
      <c r="Z82" s="383">
        <v>0</v>
      </c>
      <c r="AA82" s="383">
        <v>0</v>
      </c>
      <c r="AB82" s="383">
        <v>0</v>
      </c>
      <c r="AC82" s="383">
        <v>0</v>
      </c>
      <c r="AD82" s="376"/>
    </row>
    <row r="83" spans="1:30" hidden="1">
      <c r="A83" s="364">
        <v>2</v>
      </c>
      <c r="B83" s="382" t="s">
        <v>257</v>
      </c>
      <c r="D83" s="383">
        <v>659</v>
      </c>
      <c r="E83" s="383">
        <v>768.5</v>
      </c>
      <c r="F83" s="383">
        <v>736.5</v>
      </c>
      <c r="G83" s="383">
        <v>631.5</v>
      </c>
      <c r="H83" s="383">
        <v>461.5</v>
      </c>
      <c r="I83" s="383">
        <v>309.5</v>
      </c>
      <c r="J83" s="376">
        <v>0</v>
      </c>
      <c r="N83" s="376">
        <v>100</v>
      </c>
      <c r="O83" s="376">
        <v>100</v>
      </c>
      <c r="P83" s="376">
        <v>60</v>
      </c>
      <c r="Q83" s="376"/>
      <c r="R83" s="376"/>
      <c r="S83" s="376"/>
      <c r="T83" s="376"/>
      <c r="X83" s="383">
        <v>0</v>
      </c>
      <c r="Y83" s="383">
        <v>0</v>
      </c>
      <c r="Z83" s="383">
        <v>0</v>
      </c>
      <c r="AA83" s="383">
        <v>0</v>
      </c>
      <c r="AB83" s="383">
        <v>0</v>
      </c>
      <c r="AC83" s="383">
        <v>0</v>
      </c>
      <c r="AD83" s="376"/>
    </row>
    <row r="84" spans="1:30" hidden="1">
      <c r="A84" s="364">
        <v>2</v>
      </c>
      <c r="B84" s="382" t="s">
        <v>314</v>
      </c>
      <c r="D84" s="433">
        <v>0</v>
      </c>
      <c r="E84" s="433">
        <v>0</v>
      </c>
      <c r="F84" s="433">
        <v>0</v>
      </c>
      <c r="G84" s="433">
        <v>0</v>
      </c>
      <c r="H84" s="433">
        <v>0</v>
      </c>
      <c r="I84" s="433">
        <v>0</v>
      </c>
      <c r="J84" s="434">
        <v>0</v>
      </c>
      <c r="N84" s="434">
        <v>100</v>
      </c>
      <c r="O84" s="434">
        <v>100</v>
      </c>
      <c r="P84" s="434">
        <v>60</v>
      </c>
      <c r="Q84" s="434"/>
      <c r="R84" s="434"/>
      <c r="S84" s="434"/>
      <c r="T84" s="434"/>
      <c r="X84" s="433">
        <v>0</v>
      </c>
      <c r="Y84" s="433">
        <v>0</v>
      </c>
      <c r="Z84" s="433">
        <v>0</v>
      </c>
      <c r="AA84" s="433">
        <v>0</v>
      </c>
      <c r="AB84" s="433">
        <v>0</v>
      </c>
      <c r="AC84" s="433">
        <v>0</v>
      </c>
      <c r="AD84" s="434"/>
    </row>
    <row r="85" spans="1:30" hidden="1">
      <c r="A85" s="364">
        <v>3</v>
      </c>
      <c r="B85" s="382" t="s">
        <v>255</v>
      </c>
      <c r="D85" s="383">
        <v>0.4</v>
      </c>
      <c r="E85" s="383">
        <v>3.6</v>
      </c>
      <c r="F85" s="383">
        <v>3.6</v>
      </c>
      <c r="G85" s="383">
        <v>3.6</v>
      </c>
      <c r="H85" s="383">
        <v>3.6</v>
      </c>
      <c r="I85" s="383">
        <v>3.6</v>
      </c>
      <c r="J85" s="376">
        <v>0</v>
      </c>
      <c r="N85" s="376">
        <v>100</v>
      </c>
      <c r="O85" s="376">
        <v>100</v>
      </c>
      <c r="P85" s="376">
        <v>60</v>
      </c>
      <c r="Q85" s="376"/>
      <c r="R85" s="376"/>
      <c r="S85" s="376"/>
      <c r="T85" s="376"/>
      <c r="X85" s="383">
        <v>0</v>
      </c>
      <c r="Y85" s="383">
        <v>0</v>
      </c>
      <c r="Z85" s="383">
        <v>0</v>
      </c>
      <c r="AA85" s="383">
        <v>0</v>
      </c>
      <c r="AB85" s="383">
        <v>0</v>
      </c>
      <c r="AC85" s="383">
        <v>0</v>
      </c>
      <c r="AD85" s="376"/>
    </row>
    <row r="86" spans="1:30" hidden="1">
      <c r="A86" s="364">
        <v>3</v>
      </c>
      <c r="B86" s="382" t="s">
        <v>256</v>
      </c>
      <c r="D86" s="383">
        <v>385</v>
      </c>
      <c r="E86" s="383">
        <v>385</v>
      </c>
      <c r="F86" s="383">
        <v>385</v>
      </c>
      <c r="G86" s="383">
        <v>385</v>
      </c>
      <c r="H86" s="383">
        <v>385</v>
      </c>
      <c r="I86" s="383">
        <v>385</v>
      </c>
      <c r="J86" s="376">
        <v>0</v>
      </c>
      <c r="N86" s="376">
        <v>100</v>
      </c>
      <c r="O86" s="376">
        <v>100</v>
      </c>
      <c r="P86" s="376">
        <v>60</v>
      </c>
      <c r="Q86" s="376"/>
      <c r="R86" s="376"/>
      <c r="S86" s="376"/>
      <c r="T86" s="376"/>
      <c r="X86" s="383">
        <v>0</v>
      </c>
      <c r="Y86" s="383">
        <v>0</v>
      </c>
      <c r="Z86" s="383">
        <v>0</v>
      </c>
      <c r="AA86" s="383">
        <v>0</v>
      </c>
      <c r="AB86" s="383">
        <v>0</v>
      </c>
      <c r="AC86" s="383">
        <v>0</v>
      </c>
      <c r="AD86" s="376"/>
    </row>
    <row r="87" spans="1:30" hidden="1">
      <c r="A87" s="364">
        <v>3</v>
      </c>
      <c r="B87" s="382" t="s">
        <v>257</v>
      </c>
      <c r="D87" s="383">
        <v>2642.8</v>
      </c>
      <c r="E87" s="383">
        <v>2642.8</v>
      </c>
      <c r="F87" s="383">
        <v>2357.8000000000002</v>
      </c>
      <c r="G87" s="383">
        <v>1774.8</v>
      </c>
      <c r="H87" s="383">
        <v>1100.7</v>
      </c>
      <c r="I87" s="383">
        <v>668.7</v>
      </c>
      <c r="J87" s="376">
        <v>0</v>
      </c>
      <c r="N87" s="376">
        <v>100</v>
      </c>
      <c r="O87" s="376">
        <v>100</v>
      </c>
      <c r="P87" s="376">
        <v>60</v>
      </c>
      <c r="Q87" s="376"/>
      <c r="R87" s="376"/>
      <c r="S87" s="376"/>
      <c r="T87" s="376"/>
      <c r="X87" s="383">
        <v>0</v>
      </c>
      <c r="Y87" s="383">
        <v>0</v>
      </c>
      <c r="Z87" s="383">
        <v>0</v>
      </c>
      <c r="AA87" s="383">
        <v>0</v>
      </c>
      <c r="AB87" s="383">
        <v>0</v>
      </c>
      <c r="AC87" s="383">
        <v>0</v>
      </c>
      <c r="AD87" s="376"/>
    </row>
    <row r="88" spans="1:30" hidden="1">
      <c r="A88" s="364">
        <v>3</v>
      </c>
      <c r="B88" s="382" t="s">
        <v>314</v>
      </c>
      <c r="D88" s="433">
        <v>89.9</v>
      </c>
      <c r="E88" s="433">
        <v>89.9</v>
      </c>
      <c r="F88" s="433">
        <v>0</v>
      </c>
      <c r="G88" s="433">
        <v>0</v>
      </c>
      <c r="H88" s="433">
        <v>0</v>
      </c>
      <c r="I88" s="433">
        <v>0</v>
      </c>
      <c r="J88" s="434">
        <v>0</v>
      </c>
      <c r="N88" s="434">
        <v>100</v>
      </c>
      <c r="O88" s="434">
        <v>100</v>
      </c>
      <c r="P88" s="434">
        <v>60</v>
      </c>
      <c r="Q88" s="434"/>
      <c r="R88" s="434"/>
      <c r="S88" s="434"/>
      <c r="T88" s="434"/>
      <c r="X88" s="433">
        <v>0</v>
      </c>
      <c r="Y88" s="433">
        <v>0</v>
      </c>
      <c r="Z88" s="433">
        <v>0</v>
      </c>
      <c r="AA88" s="433">
        <v>0</v>
      </c>
      <c r="AB88" s="433">
        <v>0</v>
      </c>
      <c r="AC88" s="433">
        <v>0</v>
      </c>
      <c r="AD88" s="434"/>
    </row>
    <row r="89" spans="1:30" hidden="1">
      <c r="A89" s="364">
        <v>4</v>
      </c>
      <c r="B89" s="382" t="s">
        <v>255</v>
      </c>
      <c r="D89" s="383">
        <v>7</v>
      </c>
      <c r="E89" s="383">
        <v>7</v>
      </c>
      <c r="F89" s="383">
        <v>7</v>
      </c>
      <c r="G89" s="383">
        <v>7</v>
      </c>
      <c r="H89" s="383">
        <v>7</v>
      </c>
      <c r="I89" s="383">
        <v>0</v>
      </c>
      <c r="J89" s="376">
        <v>0</v>
      </c>
      <c r="N89" s="376">
        <v>100</v>
      </c>
      <c r="O89" s="376">
        <v>100</v>
      </c>
      <c r="P89" s="376">
        <v>60</v>
      </c>
      <c r="Q89" s="376"/>
      <c r="R89" s="376"/>
      <c r="S89" s="376"/>
      <c r="T89" s="376"/>
      <c r="X89" s="383">
        <v>0</v>
      </c>
      <c r="Y89" s="383">
        <v>0</v>
      </c>
      <c r="Z89" s="383">
        <v>0</v>
      </c>
      <c r="AA89" s="383">
        <v>0</v>
      </c>
      <c r="AB89" s="383">
        <v>0</v>
      </c>
      <c r="AC89" s="383">
        <v>0</v>
      </c>
      <c r="AD89" s="376"/>
    </row>
    <row r="90" spans="1:30" hidden="1">
      <c r="A90" s="364">
        <v>4</v>
      </c>
      <c r="B90" s="382" t="s">
        <v>256</v>
      </c>
      <c r="D90" s="383">
        <v>186</v>
      </c>
      <c r="E90" s="383">
        <v>186</v>
      </c>
      <c r="F90" s="383">
        <v>226</v>
      </c>
      <c r="G90" s="383">
        <v>175</v>
      </c>
      <c r="H90" s="383">
        <v>175</v>
      </c>
      <c r="I90" s="383">
        <v>40</v>
      </c>
      <c r="J90" s="376">
        <v>40</v>
      </c>
      <c r="N90" s="376">
        <v>100</v>
      </c>
      <c r="O90" s="376">
        <v>100</v>
      </c>
      <c r="P90" s="376">
        <v>60</v>
      </c>
      <c r="Q90" s="376"/>
      <c r="R90" s="376"/>
      <c r="S90" s="376"/>
      <c r="T90" s="376"/>
      <c r="X90" s="383">
        <v>0</v>
      </c>
      <c r="Y90" s="383">
        <v>0</v>
      </c>
      <c r="Z90" s="383">
        <v>0</v>
      </c>
      <c r="AA90" s="383">
        <v>0</v>
      </c>
      <c r="AB90" s="383">
        <v>0</v>
      </c>
      <c r="AC90" s="383">
        <v>0</v>
      </c>
      <c r="AD90" s="376"/>
    </row>
    <row r="91" spans="1:30" hidden="1">
      <c r="A91" s="364">
        <v>4</v>
      </c>
      <c r="B91" s="382" t="s">
        <v>257</v>
      </c>
      <c r="D91" s="383">
        <v>1644.3</v>
      </c>
      <c r="E91" s="383">
        <v>1652.7</v>
      </c>
      <c r="F91" s="383">
        <v>1342.1</v>
      </c>
      <c r="G91" s="383">
        <v>1160.0999999999999</v>
      </c>
      <c r="H91" s="383">
        <v>817.1</v>
      </c>
      <c r="I91" s="383">
        <v>168.8</v>
      </c>
      <c r="J91" s="376">
        <v>0</v>
      </c>
      <c r="N91" s="376">
        <v>100</v>
      </c>
      <c r="O91" s="376">
        <v>100</v>
      </c>
      <c r="P91" s="376">
        <v>60</v>
      </c>
      <c r="Q91" s="376"/>
      <c r="R91" s="376"/>
      <c r="S91" s="376"/>
      <c r="T91" s="376"/>
      <c r="X91" s="383">
        <v>0</v>
      </c>
      <c r="Y91" s="383">
        <v>0</v>
      </c>
      <c r="Z91" s="383">
        <v>0</v>
      </c>
      <c r="AA91" s="383">
        <v>0</v>
      </c>
      <c r="AB91" s="383">
        <v>0</v>
      </c>
      <c r="AC91" s="383">
        <v>0</v>
      </c>
      <c r="AD91" s="376"/>
    </row>
    <row r="92" spans="1:30" hidden="1">
      <c r="A92" s="364">
        <v>4</v>
      </c>
      <c r="B92" s="382" t="s">
        <v>314</v>
      </c>
      <c r="D92" s="433">
        <v>173.1</v>
      </c>
      <c r="E92" s="433">
        <v>173.1</v>
      </c>
      <c r="F92" s="433">
        <v>173.1</v>
      </c>
      <c r="G92" s="433">
        <v>134.1</v>
      </c>
      <c r="H92" s="433">
        <v>105</v>
      </c>
      <c r="I92" s="433">
        <v>0</v>
      </c>
      <c r="J92" s="434">
        <v>0</v>
      </c>
      <c r="N92" s="434">
        <v>100</v>
      </c>
      <c r="O92" s="434">
        <v>100</v>
      </c>
      <c r="P92" s="434">
        <v>60</v>
      </c>
      <c r="Q92" s="434"/>
      <c r="R92" s="434"/>
      <c r="S92" s="434"/>
      <c r="T92" s="434"/>
      <c r="X92" s="433">
        <v>0</v>
      </c>
      <c r="Y92" s="433">
        <v>0</v>
      </c>
      <c r="Z92" s="433">
        <v>0</v>
      </c>
      <c r="AA92" s="433">
        <v>0</v>
      </c>
      <c r="AB92" s="433">
        <v>0</v>
      </c>
      <c r="AC92" s="433">
        <v>0</v>
      </c>
      <c r="AD92" s="434"/>
    </row>
    <row r="93" spans="1:30" hidden="1"/>
    <row r="94" spans="1:30" hidden="1"/>
    <row r="95" spans="1:30" hidden="1"/>
    <row r="96" spans="1:30" hidden="1">
      <c r="B96" s="435" t="s">
        <v>381</v>
      </c>
      <c r="D96" s="387">
        <v>1</v>
      </c>
      <c r="E96" s="387">
        <v>2</v>
      </c>
      <c r="F96" s="387">
        <v>3</v>
      </c>
      <c r="G96" s="387">
        <v>4</v>
      </c>
      <c r="N96" s="387">
        <v>1</v>
      </c>
      <c r="O96" s="387">
        <v>2</v>
      </c>
      <c r="P96" s="387">
        <v>3</v>
      </c>
      <c r="Q96" s="387">
        <v>4</v>
      </c>
      <c r="X96" s="387">
        <v>1</v>
      </c>
      <c r="Y96" s="387">
        <v>2</v>
      </c>
      <c r="Z96" s="387">
        <v>3</v>
      </c>
      <c r="AA96" s="387">
        <v>4</v>
      </c>
    </row>
    <row r="97" spans="1:30" hidden="1">
      <c r="B97" s="364" t="s">
        <v>259</v>
      </c>
      <c r="D97" s="436">
        <f>0.065852+0.02</f>
        <v>8.5851999999999998E-2</v>
      </c>
      <c r="E97" s="437">
        <v>0.14659</v>
      </c>
      <c r="F97" s="437">
        <f>0.056715+0.02</f>
        <v>7.6715000000000005E-2</v>
      </c>
      <c r="G97" s="438">
        <v>0.1227</v>
      </c>
      <c r="H97" s="388" t="s">
        <v>321</v>
      </c>
      <c r="N97" s="436">
        <v>0.13</v>
      </c>
      <c r="O97" s="437">
        <v>0.13</v>
      </c>
      <c r="P97" s="437">
        <v>0.13</v>
      </c>
      <c r="Q97" s="438">
        <v>0.13</v>
      </c>
      <c r="R97" s="388" t="s">
        <v>321</v>
      </c>
      <c r="X97" s="436">
        <v>0.09</v>
      </c>
      <c r="Y97" s="437">
        <v>0.1</v>
      </c>
      <c r="Z97" s="437">
        <v>0.1</v>
      </c>
      <c r="AA97" s="438">
        <v>0.1</v>
      </c>
      <c r="AB97" s="388" t="s">
        <v>321</v>
      </c>
    </row>
    <row r="98" spans="1:30" hidden="1">
      <c r="D98" s="404">
        <f t="array" aca="1" ref="D98:G98" ca="1">TRANSPOSE(MMULT(C12:G15,IEAData2!$C101:$C105*IEAData2!$H101:$H105))/D97:G97/$B2*1000</f>
        <v>959.31629153721349</v>
      </c>
      <c r="E98" s="405">
        <f ca="1"/>
        <v>878.69804285955138</v>
      </c>
      <c r="F98" s="405">
        <f ca="1"/>
        <v>98.363032938723109</v>
      </c>
      <c r="G98" s="406">
        <f ca="1"/>
        <v>136.83786526112721</v>
      </c>
      <c r="H98" s="386">
        <f>SUM(D98:G98)</f>
        <v>2073.2152325966149</v>
      </c>
      <c r="N98" s="404">
        <f t="array" aca="1" ref="N98:Q98" ca="1">TRANSPOSE(MMULT(M12:Q15,IEAData2!$C101:$C105*IEAData2!$H101:$H105))/N97:Q97/$B2*1000</f>
        <v>846.44018005852001</v>
      </c>
      <c r="O98" s="405">
        <f ca="1"/>
        <v>631.02730148557669</v>
      </c>
      <c r="P98" s="405">
        <f ca="1"/>
        <v>38.509042219908494</v>
      </c>
      <c r="Q98" s="406">
        <f ca="1"/>
        <v>295.58881856883244</v>
      </c>
      <c r="R98" s="386">
        <f>SUM(N98:Q98)</f>
        <v>1811.5653423328376</v>
      </c>
      <c r="X98" s="404">
        <f t="array" aca="1" ref="X98:AA98" ca="1">TRANSPOSE(MMULT(W12:AA15,IEAData2!$C101:$C105*IEAData2!$H101:$H105))/X97:AA97/$B2*1000</f>
        <v>2616.7054944807664</v>
      </c>
      <c r="Y98" s="405">
        <f ca="1"/>
        <v>0</v>
      </c>
      <c r="Z98" s="405">
        <f ca="1"/>
        <v>0</v>
      </c>
      <c r="AA98" s="406">
        <f ca="1"/>
        <v>0</v>
      </c>
      <c r="AB98" s="386">
        <f>SUM(X98:AA98)</f>
        <v>2616.7054944807664</v>
      </c>
    </row>
    <row r="99" spans="1:30" hidden="1">
      <c r="D99" s="439">
        <f t="array" aca="1" ref="D99:G99" ca="1">TRANSPOSE(MMULT(C12:G15,J102:J106*IEAData2!$G101:$G105))</f>
        <v>3.7623003380430653</v>
      </c>
      <c r="E99" s="439">
        <f ca="1"/>
        <v>7.690512797732004</v>
      </c>
      <c r="F99" s="439">
        <f ca="1"/>
        <v>0.91348978975593365</v>
      </c>
      <c r="G99" s="439">
        <f ca="1"/>
        <v>1.852017055926559</v>
      </c>
      <c r="N99" s="439">
        <f t="array" aca="1" ref="N99:Q99" ca="1">TRANSPOSE(MMULT(M12:Q15,T102:T106*IEAData2!$G101:$G105))</f>
        <v>5.7157878362681682</v>
      </c>
      <c r="O99" s="439">
        <f ca="1"/>
        <v>5.0155709392839229</v>
      </c>
      <c r="P99" s="439">
        <f ca="1"/>
        <v>0.32960387032935684</v>
      </c>
      <c r="Q99" s="439">
        <f ca="1"/>
        <v>1.7857207549252383</v>
      </c>
      <c r="X99" s="439">
        <f t="array" aca="1" ref="X99:AA99" ca="1">TRANSPOSE(MMULT(W12:AA15,AD102:AD106*IEAData2!$G101:$G105))</f>
        <v>13.774901978209531</v>
      </c>
      <c r="Y99" s="439">
        <f ca="1"/>
        <v>0</v>
      </c>
      <c r="Z99" s="439">
        <f ca="1"/>
        <v>0</v>
      </c>
      <c r="AA99" s="439">
        <f ca="1"/>
        <v>0</v>
      </c>
    </row>
    <row r="100" spans="1:30" hidden="1">
      <c r="D100" s="415"/>
      <c r="E100" s="415"/>
      <c r="F100" s="415"/>
      <c r="G100" s="415"/>
    </row>
    <row r="101" spans="1:30" hidden="1">
      <c r="B101" s="364" t="s">
        <v>381</v>
      </c>
      <c r="D101" s="409">
        <v>1</v>
      </c>
      <c r="E101" s="409">
        <v>2</v>
      </c>
      <c r="F101" s="409">
        <v>3</v>
      </c>
      <c r="G101" s="409">
        <v>4</v>
      </c>
      <c r="H101" s="410" t="s">
        <v>377</v>
      </c>
      <c r="J101" s="411" t="s">
        <v>379</v>
      </c>
      <c r="N101" s="409">
        <v>1</v>
      </c>
      <c r="O101" s="409">
        <v>2</v>
      </c>
      <c r="P101" s="409">
        <v>3</v>
      </c>
      <c r="Q101" s="409">
        <v>4</v>
      </c>
      <c r="R101" s="410" t="s">
        <v>377</v>
      </c>
      <c r="T101" s="411" t="s">
        <v>379</v>
      </c>
      <c r="X101" s="409">
        <v>1</v>
      </c>
      <c r="Y101" s="409">
        <v>2</v>
      </c>
      <c r="Z101" s="409">
        <v>3</v>
      </c>
      <c r="AA101" s="409">
        <v>4</v>
      </c>
      <c r="AB101" s="410" t="s">
        <v>377</v>
      </c>
      <c r="AD101" s="411" t="s">
        <v>379</v>
      </c>
    </row>
    <row r="102" spans="1:30" hidden="1">
      <c r="B102" s="382" t="s">
        <v>254</v>
      </c>
      <c r="D102" s="440" t="b">
        <f t="array" aca="1" ref="D102:G106" ca="1">IF(J5,IEAData2!$G101:$G105*TRANSPOSE(C12:G15)*J102:J106/D99:G99*D98:G98)</f>
        <v>0</v>
      </c>
      <c r="E102" s="440" t="b">
        <f ca="1"/>
        <v>0</v>
      </c>
      <c r="F102" s="440" t="b">
        <f ca="1"/>
        <v>0</v>
      </c>
      <c r="G102" s="440" t="b">
        <f ca="1"/>
        <v>0</v>
      </c>
      <c r="H102" s="386">
        <f>SUM(D102:G102)</f>
        <v>0</v>
      </c>
      <c r="J102" s="416">
        <v>8</v>
      </c>
      <c r="N102" s="440" t="b">
        <f t="array" aca="1" ref="N102:Q106" ca="1">IF(T5,IEAData2!$G101:$G105*TRANSPOSE(M12:Q15)*T102:T106/N99:Q99*N98:Q98)</f>
        <v>0</v>
      </c>
      <c r="O102" s="440" t="b">
        <f ca="1"/>
        <v>0</v>
      </c>
      <c r="P102" s="440" t="b">
        <f ca="1"/>
        <v>0</v>
      </c>
      <c r="Q102" s="440" t="b">
        <f ca="1"/>
        <v>0</v>
      </c>
      <c r="R102" s="386">
        <f>SUM(N102:Q102)</f>
        <v>0</v>
      </c>
      <c r="T102" s="416">
        <v>4</v>
      </c>
      <c r="X102" s="440">
        <f t="array" aca="1" ref="X102:AA106" ca="1">IF(AD5,IEAData2!$G101:$G105*TRANSPOSE(W12:AA15)*AD102:AD106/(Tiny+X99:AA99)*X98:AA98)</f>
        <v>488.54734807329623</v>
      </c>
      <c r="Y102" s="440">
        <f ca="1"/>
        <v>0</v>
      </c>
      <c r="Z102" s="440">
        <f ca="1"/>
        <v>0</v>
      </c>
      <c r="AA102" s="440">
        <f ca="1"/>
        <v>0</v>
      </c>
      <c r="AB102" s="386">
        <f>SUM(X102:AA102)</f>
        <v>488.54734807329623</v>
      </c>
      <c r="AD102" s="416">
        <v>7.5</v>
      </c>
    </row>
    <row r="103" spans="1:30" hidden="1">
      <c r="B103" s="382" t="s">
        <v>255</v>
      </c>
      <c r="D103" s="440" t="b">
        <f ca="1"/>
        <v>0</v>
      </c>
      <c r="E103" s="440" t="b">
        <f ca="1"/>
        <v>0</v>
      </c>
      <c r="F103" s="440" t="b">
        <f ca="1"/>
        <v>0</v>
      </c>
      <c r="G103" s="440" t="b">
        <f ca="1"/>
        <v>0</v>
      </c>
      <c r="H103" s="386">
        <f>SUM(D103:G103)</f>
        <v>0</v>
      </c>
      <c r="J103" s="416">
        <v>2</v>
      </c>
      <c r="N103" s="440" t="b">
        <f ca="1"/>
        <v>0</v>
      </c>
      <c r="O103" s="440" t="b">
        <f ca="1"/>
        <v>0</v>
      </c>
      <c r="P103" s="440" t="b">
        <f ca="1"/>
        <v>0</v>
      </c>
      <c r="Q103" s="440" t="b">
        <f ca="1"/>
        <v>0</v>
      </c>
      <c r="R103" s="386">
        <f>SUM(N103:Q103)</f>
        <v>0</v>
      </c>
      <c r="T103" s="416">
        <v>2</v>
      </c>
      <c r="X103" s="440">
        <f ca="1"/>
        <v>1668.2894705610192</v>
      </c>
      <c r="Y103" s="440">
        <f ca="1"/>
        <v>0</v>
      </c>
      <c r="Z103" s="440">
        <f ca="1"/>
        <v>0</v>
      </c>
      <c r="AA103" s="440">
        <f ca="1"/>
        <v>0</v>
      </c>
      <c r="AB103" s="386">
        <f>SUM(X103:AA103)</f>
        <v>1668.2894705610192</v>
      </c>
      <c r="AD103" s="416">
        <v>2</v>
      </c>
    </row>
    <row r="104" spans="1:30" hidden="1">
      <c r="B104" s="382" t="s">
        <v>256</v>
      </c>
      <c r="D104" s="440" t="b">
        <f ca="1"/>
        <v>0</v>
      </c>
      <c r="E104" s="440" t="b">
        <f ca="1"/>
        <v>0</v>
      </c>
      <c r="F104" s="440" t="b">
        <f ca="1"/>
        <v>0</v>
      </c>
      <c r="G104" s="440" t="b">
        <f ca="1"/>
        <v>0</v>
      </c>
      <c r="H104" s="386">
        <f>SUM(D104:G104)</f>
        <v>0</v>
      </c>
      <c r="J104" s="416">
        <v>1</v>
      </c>
      <c r="N104" s="440" t="b">
        <f ca="1"/>
        <v>0</v>
      </c>
      <c r="O104" s="440" t="b">
        <f ca="1"/>
        <v>0</v>
      </c>
      <c r="P104" s="440" t="b">
        <f ca="1"/>
        <v>0</v>
      </c>
      <c r="Q104" s="440" t="b">
        <f ca="1"/>
        <v>0</v>
      </c>
      <c r="R104" s="386">
        <f>SUM(N104:Q104)</f>
        <v>0</v>
      </c>
      <c r="T104" s="416">
        <v>1</v>
      </c>
      <c r="X104" s="440">
        <f ca="1"/>
        <v>421.41824425605307</v>
      </c>
      <c r="Y104" s="440">
        <f ca="1"/>
        <v>0</v>
      </c>
      <c r="Z104" s="440">
        <f ca="1"/>
        <v>0</v>
      </c>
      <c r="AA104" s="440">
        <f ca="1"/>
        <v>0</v>
      </c>
      <c r="AB104" s="386">
        <f>SUM(X104:AA104)</f>
        <v>421.41824425605307</v>
      </c>
      <c r="AD104" s="416">
        <v>1</v>
      </c>
    </row>
    <row r="105" spans="1:30" hidden="1">
      <c r="B105" s="382" t="s">
        <v>347</v>
      </c>
      <c r="D105" s="440" t="b">
        <f ca="1"/>
        <v>0</v>
      </c>
      <c r="E105" s="440" t="b">
        <f ca="1"/>
        <v>0</v>
      </c>
      <c r="F105" s="440" t="b">
        <f ca="1"/>
        <v>0</v>
      </c>
      <c r="G105" s="440" t="b">
        <f ca="1"/>
        <v>0</v>
      </c>
      <c r="H105" s="386">
        <f>SUM(D105:G105)</f>
        <v>0</v>
      </c>
      <c r="J105" s="416">
        <v>1</v>
      </c>
      <c r="N105" s="440" t="b">
        <f ca="1"/>
        <v>0</v>
      </c>
      <c r="O105" s="440" t="b">
        <f ca="1"/>
        <v>0</v>
      </c>
      <c r="P105" s="440" t="b">
        <f ca="1"/>
        <v>0</v>
      </c>
      <c r="Q105" s="440" t="b">
        <f ca="1"/>
        <v>0</v>
      </c>
      <c r="R105" s="386">
        <f>SUM(N105:Q105)</f>
        <v>0</v>
      </c>
      <c r="T105" s="416">
        <v>1</v>
      </c>
      <c r="X105" s="440">
        <f ca="1"/>
        <v>7.2155735584050262</v>
      </c>
      <c r="Y105" s="440">
        <f ca="1"/>
        <v>0</v>
      </c>
      <c r="Z105" s="440">
        <f ca="1"/>
        <v>0</v>
      </c>
      <c r="AA105" s="440">
        <f ca="1"/>
        <v>0</v>
      </c>
      <c r="AB105" s="386">
        <f>SUM(X105:AA105)</f>
        <v>7.2155735584050262</v>
      </c>
      <c r="AD105" s="416">
        <v>0.6</v>
      </c>
    </row>
    <row r="106" spans="1:30" hidden="1">
      <c r="B106" s="382" t="s">
        <v>257</v>
      </c>
      <c r="D106" s="440" t="b">
        <f ca="1"/>
        <v>0</v>
      </c>
      <c r="E106" s="440" t="b">
        <f ca="1"/>
        <v>0</v>
      </c>
      <c r="F106" s="440" t="b">
        <f ca="1"/>
        <v>0</v>
      </c>
      <c r="G106" s="440" t="b">
        <f ca="1"/>
        <v>0</v>
      </c>
      <c r="H106" s="386">
        <f>SUM(D106:G106)</f>
        <v>0</v>
      </c>
      <c r="J106" s="416">
        <v>1</v>
      </c>
      <c r="N106" s="440" t="b">
        <f ca="1"/>
        <v>0</v>
      </c>
      <c r="O106" s="440" t="b">
        <f ca="1"/>
        <v>0</v>
      </c>
      <c r="P106" s="440" t="b">
        <f ca="1"/>
        <v>0</v>
      </c>
      <c r="Q106" s="440" t="b">
        <f ca="1"/>
        <v>0</v>
      </c>
      <c r="R106" s="386">
        <f>SUM(N106:Q106)</f>
        <v>0</v>
      </c>
      <c r="T106" s="416">
        <v>1</v>
      </c>
      <c r="X106" s="440">
        <f ca="1"/>
        <v>31.234857842030987</v>
      </c>
      <c r="Y106" s="440">
        <f ca="1"/>
        <v>0</v>
      </c>
      <c r="Z106" s="440">
        <f ca="1"/>
        <v>0</v>
      </c>
      <c r="AA106" s="440">
        <f ca="1"/>
        <v>0</v>
      </c>
      <c r="AB106" s="386">
        <f>SUM(X106:AA106)</f>
        <v>31.234857842030987</v>
      </c>
      <c r="AD106" s="416">
        <v>0.4</v>
      </c>
    </row>
    <row r="107" spans="1:30" hidden="1">
      <c r="B107" s="364" t="s">
        <v>52</v>
      </c>
      <c r="D107" s="385">
        <f>SUM(D102:D106)</f>
        <v>0</v>
      </c>
      <c r="E107" s="385">
        <f>SUM(E102:E106)</f>
        <v>0</v>
      </c>
      <c r="F107" s="385">
        <f>SUM(F102:F106)</f>
        <v>0</v>
      </c>
      <c r="G107" s="385">
        <f>SUM(G102:G106)</f>
        <v>0</v>
      </c>
      <c r="H107" s="385">
        <f>SUM(H102:H106)</f>
        <v>0</v>
      </c>
      <c r="J107" s="422"/>
      <c r="N107" s="385">
        <f>SUM(N102:N106)</f>
        <v>0</v>
      </c>
      <c r="O107" s="385">
        <f>SUM(O102:O106)</f>
        <v>0</v>
      </c>
      <c r="P107" s="385">
        <f>SUM(P102:P106)</f>
        <v>0</v>
      </c>
      <c r="Q107" s="385">
        <f>SUM(Q102:Q106)</f>
        <v>0</v>
      </c>
      <c r="R107" s="385">
        <f>SUM(R102:R106)</f>
        <v>0</v>
      </c>
      <c r="T107" s="422"/>
      <c r="X107" s="385">
        <f>SUM(X102:X106)</f>
        <v>2616.7054942908048</v>
      </c>
      <c r="Y107" s="385">
        <f>SUM(Y102:Y106)</f>
        <v>0</v>
      </c>
      <c r="Z107" s="385">
        <f>SUM(Z102:Z106)</f>
        <v>0</v>
      </c>
      <c r="AA107" s="385">
        <f>SUM(AA102:AA106)</f>
        <v>0</v>
      </c>
      <c r="AB107" s="385">
        <f>SUM(AB102:AB106)</f>
        <v>2616.7054942908048</v>
      </c>
      <c r="AD107" s="422"/>
    </row>
    <row r="108" spans="1:30" hidden="1">
      <c r="D108" s="415"/>
      <c r="E108" s="415"/>
      <c r="F108" s="415"/>
      <c r="G108" s="415"/>
      <c r="N108" s="415"/>
      <c r="O108" s="415"/>
      <c r="P108" s="415"/>
      <c r="Q108" s="415"/>
      <c r="X108" s="415"/>
      <c r="Y108" s="415"/>
      <c r="Z108" s="415"/>
      <c r="AA108" s="415"/>
    </row>
    <row r="109" spans="1:30" hidden="1"/>
    <row r="110" spans="1:30" hidden="1">
      <c r="B110" s="364" t="s">
        <v>381</v>
      </c>
      <c r="D110" s="411">
        <v>2010</v>
      </c>
      <c r="E110" s="411">
        <v>2015</v>
      </c>
      <c r="F110" s="411">
        <v>2020</v>
      </c>
      <c r="G110" s="411">
        <v>2025</v>
      </c>
      <c r="H110" s="411">
        <v>2030</v>
      </c>
      <c r="I110" s="411">
        <v>2040</v>
      </c>
      <c r="J110" s="411">
        <v>2050</v>
      </c>
      <c r="N110" s="411">
        <v>2010</v>
      </c>
      <c r="O110" s="411">
        <v>2015</v>
      </c>
      <c r="P110" s="411">
        <v>2020</v>
      </c>
      <c r="Q110" s="411">
        <v>2025</v>
      </c>
      <c r="R110" s="411">
        <v>2030</v>
      </c>
      <c r="S110" s="411">
        <v>2040</v>
      </c>
      <c r="T110" s="411">
        <v>2050</v>
      </c>
      <c r="X110" s="411">
        <v>2010</v>
      </c>
      <c r="Y110" s="411">
        <v>2015</v>
      </c>
      <c r="Z110" s="411">
        <v>2020</v>
      </c>
      <c r="AA110" s="411">
        <v>2025</v>
      </c>
      <c r="AB110" s="411">
        <v>2030</v>
      </c>
      <c r="AC110" s="411">
        <v>2040</v>
      </c>
      <c r="AD110" s="411">
        <v>2050</v>
      </c>
    </row>
    <row r="111" spans="1:30" hidden="1">
      <c r="A111" s="364">
        <v>1</v>
      </c>
      <c r="B111" s="382" t="s">
        <v>255</v>
      </c>
      <c r="D111" s="383">
        <v>464.5</v>
      </c>
      <c r="E111" s="383">
        <v>479.5</v>
      </c>
      <c r="F111" s="383">
        <v>369.5</v>
      </c>
      <c r="G111" s="383">
        <v>224</v>
      </c>
      <c r="H111" s="383">
        <v>130</v>
      </c>
      <c r="I111" s="383">
        <v>0</v>
      </c>
      <c r="J111" s="376">
        <v>0</v>
      </c>
      <c r="N111" s="383">
        <v>90</v>
      </c>
      <c r="O111" s="383">
        <v>70</v>
      </c>
      <c r="P111" s="383">
        <v>50</v>
      </c>
      <c r="Q111" s="383">
        <v>0</v>
      </c>
      <c r="R111" s="383">
        <v>0</v>
      </c>
      <c r="S111" s="383">
        <v>0</v>
      </c>
      <c r="T111" s="376"/>
      <c r="X111" s="383">
        <v>1912</v>
      </c>
      <c r="Y111" s="383">
        <v>2004</v>
      </c>
      <c r="Z111" s="383">
        <v>1389.1911315582172</v>
      </c>
      <c r="AA111" s="383">
        <v>816.33081529487788</v>
      </c>
      <c r="AB111" s="383">
        <v>618.04854178292499</v>
      </c>
      <c r="AC111" s="383">
        <v>0</v>
      </c>
      <c r="AD111" s="376">
        <v>0</v>
      </c>
    </row>
    <row r="112" spans="1:30" hidden="1">
      <c r="A112" s="364">
        <v>1</v>
      </c>
      <c r="B112" s="382" t="s">
        <v>256</v>
      </c>
      <c r="D112" s="383">
        <v>9.9129999999999996E-2</v>
      </c>
      <c r="E112" s="383">
        <v>8.7129999999999999E-2</v>
      </c>
      <c r="F112" s="383">
        <v>3.56E-2</v>
      </c>
      <c r="G112" s="383">
        <v>7.4000000000000003E-3</v>
      </c>
      <c r="H112" s="383">
        <v>3.8999999999999998E-3</v>
      </c>
      <c r="I112" s="383">
        <v>0</v>
      </c>
      <c r="J112" s="376">
        <v>0</v>
      </c>
      <c r="N112" s="383">
        <v>90</v>
      </c>
      <c r="O112" s="383">
        <v>70</v>
      </c>
      <c r="P112" s="383">
        <v>50</v>
      </c>
      <c r="Q112" s="383">
        <v>0</v>
      </c>
      <c r="R112" s="383">
        <v>0</v>
      </c>
      <c r="S112" s="383">
        <v>0</v>
      </c>
      <c r="T112" s="376"/>
      <c r="X112" s="383">
        <v>420</v>
      </c>
      <c r="Y112" s="383">
        <v>420</v>
      </c>
      <c r="Z112" s="383">
        <v>260</v>
      </c>
      <c r="AA112" s="383">
        <v>0</v>
      </c>
      <c r="AB112" s="383">
        <v>0</v>
      </c>
      <c r="AC112" s="383">
        <v>0</v>
      </c>
      <c r="AD112" s="376">
        <v>0</v>
      </c>
    </row>
    <row r="113" spans="1:30" hidden="1">
      <c r="A113" s="364">
        <v>1</v>
      </c>
      <c r="B113" s="382" t="s">
        <v>257</v>
      </c>
      <c r="D113" s="383">
        <v>58.8</v>
      </c>
      <c r="E113" s="383">
        <v>154.80000000000001</v>
      </c>
      <c r="F113" s="383">
        <v>221.8</v>
      </c>
      <c r="G113" s="383">
        <v>219.8</v>
      </c>
      <c r="H113" s="383">
        <v>219.8</v>
      </c>
      <c r="I113" s="383">
        <v>168</v>
      </c>
      <c r="J113" s="376">
        <v>0</v>
      </c>
      <c r="N113" s="383">
        <v>90</v>
      </c>
      <c r="O113" s="383">
        <v>70</v>
      </c>
      <c r="P113" s="383">
        <v>50</v>
      </c>
      <c r="Q113" s="383">
        <v>0</v>
      </c>
      <c r="R113" s="383">
        <v>0</v>
      </c>
      <c r="S113" s="383">
        <v>0</v>
      </c>
      <c r="T113" s="376"/>
      <c r="X113" s="383">
        <v>20</v>
      </c>
      <c r="Y113" s="383">
        <v>20</v>
      </c>
      <c r="Z113" s="383">
        <v>242</v>
      </c>
      <c r="AA113" s="383">
        <v>492</v>
      </c>
      <c r="AB113" s="383">
        <v>492</v>
      </c>
      <c r="AC113" s="383">
        <v>492</v>
      </c>
      <c r="AD113" s="376">
        <v>400</v>
      </c>
    </row>
    <row r="114" spans="1:30" hidden="1">
      <c r="A114" s="364">
        <v>1</v>
      </c>
      <c r="B114" s="382" t="s">
        <v>314</v>
      </c>
      <c r="D114" s="433">
        <v>991.3</v>
      </c>
      <c r="E114" s="433">
        <v>871.3</v>
      </c>
      <c r="F114" s="433">
        <v>356</v>
      </c>
      <c r="G114" s="433">
        <v>74</v>
      </c>
      <c r="H114" s="433">
        <v>39</v>
      </c>
      <c r="I114" s="433">
        <v>0</v>
      </c>
      <c r="J114" s="434">
        <v>0</v>
      </c>
      <c r="N114" s="433">
        <v>90</v>
      </c>
      <c r="O114" s="433">
        <v>70</v>
      </c>
      <c r="P114" s="433">
        <v>50</v>
      </c>
      <c r="Q114" s="433">
        <v>0</v>
      </c>
      <c r="R114" s="433">
        <v>0</v>
      </c>
      <c r="S114" s="433">
        <v>2.4997802277744565E-3</v>
      </c>
      <c r="T114" s="434"/>
      <c r="X114" s="433">
        <v>1750.7</v>
      </c>
      <c r="Y114" s="433">
        <v>935</v>
      </c>
      <c r="Z114" s="433">
        <v>670.62284482412315</v>
      </c>
      <c r="AA114" s="433">
        <v>439.1821945388952</v>
      </c>
      <c r="AB114" s="433">
        <v>398.49215801568795</v>
      </c>
      <c r="AC114" s="433">
        <v>0</v>
      </c>
      <c r="AD114" s="434">
        <v>0</v>
      </c>
    </row>
    <row r="115" spans="1:30" hidden="1">
      <c r="A115" s="364">
        <v>2</v>
      </c>
      <c r="B115" s="382" t="s">
        <v>255</v>
      </c>
      <c r="D115" s="383">
        <v>1080.8</v>
      </c>
      <c r="E115" s="383">
        <v>1178.3</v>
      </c>
      <c r="F115" s="383">
        <v>898.9</v>
      </c>
      <c r="G115" s="383">
        <v>484.6</v>
      </c>
      <c r="H115" s="383">
        <v>406.1</v>
      </c>
      <c r="I115" s="383">
        <v>22.5</v>
      </c>
      <c r="J115" s="376">
        <v>0</v>
      </c>
      <c r="N115" s="383">
        <v>90</v>
      </c>
      <c r="O115" s="383">
        <v>70</v>
      </c>
      <c r="P115" s="383">
        <v>50</v>
      </c>
      <c r="Q115" s="383">
        <v>0</v>
      </c>
      <c r="R115" s="383">
        <v>0</v>
      </c>
      <c r="S115" s="383">
        <v>0</v>
      </c>
      <c r="T115" s="376"/>
      <c r="X115" s="383">
        <v>0</v>
      </c>
      <c r="Y115" s="383">
        <v>0</v>
      </c>
      <c r="Z115" s="383">
        <v>0</v>
      </c>
      <c r="AA115" s="383">
        <v>0</v>
      </c>
      <c r="AB115" s="383">
        <v>0</v>
      </c>
      <c r="AC115" s="383">
        <v>0</v>
      </c>
      <c r="AD115" s="376"/>
    </row>
    <row r="116" spans="1:30" hidden="1">
      <c r="A116" s="364">
        <v>2</v>
      </c>
      <c r="B116" s="382" t="s">
        <v>256</v>
      </c>
      <c r="D116" s="383">
        <v>4.8960000000000004E-2</v>
      </c>
      <c r="E116" s="383">
        <v>4.3779999999999999E-2</v>
      </c>
      <c r="F116" s="383">
        <v>2.4109999999999999E-2</v>
      </c>
      <c r="G116" s="383">
        <v>1.2830000000000001E-2</v>
      </c>
      <c r="H116" s="383">
        <v>1.061E-2</v>
      </c>
      <c r="I116" s="383">
        <v>2.0000000000000002E-5</v>
      </c>
      <c r="J116" s="376">
        <v>0</v>
      </c>
      <c r="N116" s="383">
        <v>90</v>
      </c>
      <c r="O116" s="383">
        <v>70</v>
      </c>
      <c r="P116" s="383">
        <v>50</v>
      </c>
      <c r="Q116" s="383">
        <v>0</v>
      </c>
      <c r="R116" s="383">
        <v>0</v>
      </c>
      <c r="S116" s="383">
        <v>0</v>
      </c>
      <c r="T116" s="376"/>
      <c r="X116" s="383">
        <v>0</v>
      </c>
      <c r="Y116" s="383">
        <v>0</v>
      </c>
      <c r="Z116" s="383">
        <v>0</v>
      </c>
      <c r="AA116" s="383">
        <v>0</v>
      </c>
      <c r="AB116" s="383">
        <v>0</v>
      </c>
      <c r="AC116" s="383">
        <v>0</v>
      </c>
      <c r="AD116" s="376"/>
    </row>
    <row r="117" spans="1:30" hidden="1">
      <c r="A117" s="364">
        <v>2</v>
      </c>
      <c r="B117" s="382" t="s">
        <v>257</v>
      </c>
      <c r="D117" s="383">
        <v>27.1</v>
      </c>
      <c r="E117" s="383">
        <v>163.19999999999999</v>
      </c>
      <c r="F117" s="383">
        <v>170.8</v>
      </c>
      <c r="G117" s="383">
        <v>163.5</v>
      </c>
      <c r="H117" s="383">
        <v>163.5</v>
      </c>
      <c r="I117" s="383">
        <v>150.9</v>
      </c>
      <c r="J117" s="376">
        <v>0</v>
      </c>
      <c r="N117" s="383">
        <v>90</v>
      </c>
      <c r="O117" s="383">
        <v>70</v>
      </c>
      <c r="P117" s="383">
        <v>50</v>
      </c>
      <c r="Q117" s="383">
        <v>0</v>
      </c>
      <c r="R117" s="383">
        <v>0</v>
      </c>
      <c r="S117" s="383">
        <v>0</v>
      </c>
      <c r="T117" s="376"/>
      <c r="X117" s="383">
        <v>0</v>
      </c>
      <c r="Y117" s="383">
        <v>0</v>
      </c>
      <c r="Z117" s="383">
        <v>0</v>
      </c>
      <c r="AA117" s="383">
        <v>0</v>
      </c>
      <c r="AB117" s="383">
        <v>0</v>
      </c>
      <c r="AC117" s="383">
        <v>0</v>
      </c>
      <c r="AD117" s="376"/>
    </row>
    <row r="118" spans="1:30" hidden="1">
      <c r="A118" s="364">
        <v>2</v>
      </c>
      <c r="B118" s="382" t="s">
        <v>314</v>
      </c>
      <c r="D118" s="433">
        <v>489.6</v>
      </c>
      <c r="E118" s="433">
        <v>437.8</v>
      </c>
      <c r="F118" s="433">
        <v>241.1</v>
      </c>
      <c r="G118" s="433">
        <v>128.30000000000001</v>
      </c>
      <c r="H118" s="433">
        <v>106.1</v>
      </c>
      <c r="I118" s="433">
        <v>0.2</v>
      </c>
      <c r="J118" s="434">
        <v>0</v>
      </c>
      <c r="N118" s="433">
        <v>90</v>
      </c>
      <c r="O118" s="433">
        <v>70</v>
      </c>
      <c r="P118" s="433">
        <v>50</v>
      </c>
      <c r="Q118" s="433">
        <v>0</v>
      </c>
      <c r="R118" s="433">
        <v>0</v>
      </c>
      <c r="S118" s="433">
        <v>2.4997802277744565E-3</v>
      </c>
      <c r="T118" s="434"/>
      <c r="X118" s="433">
        <v>0</v>
      </c>
      <c r="Y118" s="433">
        <v>0</v>
      </c>
      <c r="Z118" s="433">
        <v>0</v>
      </c>
      <c r="AA118" s="433">
        <v>0</v>
      </c>
      <c r="AB118" s="433">
        <v>0</v>
      </c>
      <c r="AC118" s="433">
        <v>0</v>
      </c>
      <c r="AD118" s="434"/>
    </row>
    <row r="119" spans="1:30" hidden="1">
      <c r="A119" s="364">
        <v>3</v>
      </c>
      <c r="B119" s="382" t="s">
        <v>255</v>
      </c>
      <c r="D119" s="383">
        <v>0.16908000000000001</v>
      </c>
      <c r="E119" s="383">
        <v>0.17413000000000001</v>
      </c>
      <c r="F119" s="383">
        <v>0.12164000000000001</v>
      </c>
      <c r="G119" s="383">
        <v>7.8589999999999993E-2</v>
      </c>
      <c r="H119" s="383">
        <v>6.139E-2</v>
      </c>
      <c r="I119" s="383">
        <v>0</v>
      </c>
      <c r="J119" s="376">
        <v>0</v>
      </c>
      <c r="N119" s="383">
        <v>90</v>
      </c>
      <c r="O119" s="383">
        <v>70</v>
      </c>
      <c r="P119" s="383">
        <v>50</v>
      </c>
      <c r="Q119" s="383">
        <v>0</v>
      </c>
      <c r="R119" s="383">
        <v>0</v>
      </c>
      <c r="S119" s="383">
        <v>0</v>
      </c>
      <c r="T119" s="376"/>
      <c r="X119" s="383">
        <v>0</v>
      </c>
      <c r="Y119" s="383">
        <v>0</v>
      </c>
      <c r="Z119" s="383">
        <v>0</v>
      </c>
      <c r="AA119" s="383">
        <v>0</v>
      </c>
      <c r="AB119" s="383">
        <v>0</v>
      </c>
      <c r="AC119" s="383">
        <v>0</v>
      </c>
      <c r="AD119" s="376"/>
    </row>
    <row r="120" spans="1:30" hidden="1">
      <c r="A120" s="364">
        <v>3</v>
      </c>
      <c r="B120" s="382" t="s">
        <v>256</v>
      </c>
      <c r="D120" s="383">
        <v>0.16908000000000001</v>
      </c>
      <c r="E120" s="383">
        <v>0.17413000000000001</v>
      </c>
      <c r="F120" s="383">
        <v>0.12164000000000001</v>
      </c>
      <c r="G120" s="383">
        <v>7.8589999999999993E-2</v>
      </c>
      <c r="H120" s="383">
        <v>6.139E-2</v>
      </c>
      <c r="I120" s="383">
        <v>0</v>
      </c>
      <c r="J120" s="376">
        <v>0</v>
      </c>
      <c r="N120" s="383">
        <v>90</v>
      </c>
      <c r="O120" s="383">
        <v>70</v>
      </c>
      <c r="P120" s="383">
        <v>50</v>
      </c>
      <c r="Q120" s="383">
        <v>0</v>
      </c>
      <c r="R120" s="383">
        <v>0</v>
      </c>
      <c r="S120" s="383">
        <v>0</v>
      </c>
      <c r="T120" s="376"/>
      <c r="X120" s="383">
        <v>0</v>
      </c>
      <c r="Y120" s="383">
        <v>0</v>
      </c>
      <c r="Z120" s="383">
        <v>0</v>
      </c>
      <c r="AA120" s="383">
        <v>0</v>
      </c>
      <c r="AB120" s="383">
        <v>0</v>
      </c>
      <c r="AC120" s="383">
        <v>0</v>
      </c>
      <c r="AD120" s="376"/>
    </row>
    <row r="121" spans="1:30" hidden="1">
      <c r="A121" s="364">
        <v>3</v>
      </c>
      <c r="B121" s="382" t="s">
        <v>257</v>
      </c>
      <c r="D121" s="383">
        <v>333.9</v>
      </c>
      <c r="E121" s="383">
        <v>345.4</v>
      </c>
      <c r="F121" s="383">
        <v>222.9</v>
      </c>
      <c r="G121" s="383">
        <v>208.4</v>
      </c>
      <c r="H121" s="383">
        <v>204.4</v>
      </c>
      <c r="I121" s="383">
        <v>131.5</v>
      </c>
      <c r="J121" s="376">
        <v>0</v>
      </c>
      <c r="N121" s="383">
        <v>90</v>
      </c>
      <c r="O121" s="383">
        <v>70</v>
      </c>
      <c r="P121" s="383">
        <v>50</v>
      </c>
      <c r="Q121" s="383">
        <v>0</v>
      </c>
      <c r="R121" s="383">
        <v>0</v>
      </c>
      <c r="S121" s="383">
        <v>0</v>
      </c>
      <c r="T121" s="376"/>
      <c r="X121" s="383">
        <v>0</v>
      </c>
      <c r="Y121" s="383">
        <v>0</v>
      </c>
      <c r="Z121" s="383">
        <v>0</v>
      </c>
      <c r="AA121" s="383">
        <v>0</v>
      </c>
      <c r="AB121" s="383">
        <v>0</v>
      </c>
      <c r="AC121" s="383">
        <v>0</v>
      </c>
      <c r="AD121" s="376"/>
    </row>
    <row r="122" spans="1:30" hidden="1">
      <c r="A122" s="364">
        <v>3</v>
      </c>
      <c r="B122" s="382" t="s">
        <v>314</v>
      </c>
      <c r="D122" s="433">
        <v>1690.8</v>
      </c>
      <c r="E122" s="433">
        <v>1741.3</v>
      </c>
      <c r="F122" s="433">
        <v>1216.4000000000001</v>
      </c>
      <c r="G122" s="433">
        <v>785.9</v>
      </c>
      <c r="H122" s="433">
        <v>613.9</v>
      </c>
      <c r="I122" s="433">
        <v>0</v>
      </c>
      <c r="J122" s="434">
        <v>0</v>
      </c>
      <c r="N122" s="433">
        <v>90</v>
      </c>
      <c r="O122" s="433">
        <v>70</v>
      </c>
      <c r="P122" s="433">
        <v>50</v>
      </c>
      <c r="Q122" s="433">
        <v>0</v>
      </c>
      <c r="R122" s="433">
        <v>0</v>
      </c>
      <c r="S122" s="433">
        <v>2.4997802277744565E-3</v>
      </c>
      <c r="T122" s="434"/>
      <c r="X122" s="433">
        <v>0</v>
      </c>
      <c r="Y122" s="433">
        <v>0</v>
      </c>
      <c r="Z122" s="433">
        <v>0</v>
      </c>
      <c r="AA122" s="433">
        <v>0</v>
      </c>
      <c r="AB122" s="433">
        <v>0</v>
      </c>
      <c r="AC122" s="433">
        <v>0</v>
      </c>
      <c r="AD122" s="434"/>
    </row>
    <row r="123" spans="1:30" hidden="1">
      <c r="A123" s="364">
        <v>4</v>
      </c>
      <c r="B123" s="382" t="s">
        <v>255</v>
      </c>
      <c r="D123" s="383">
        <v>10.4</v>
      </c>
      <c r="E123" s="383">
        <v>10.4</v>
      </c>
      <c r="F123" s="383">
        <v>10.4</v>
      </c>
      <c r="G123" s="383">
        <v>10.4</v>
      </c>
      <c r="H123" s="383">
        <v>10.4</v>
      </c>
      <c r="I123" s="383">
        <v>6.5200000000000006E-3</v>
      </c>
      <c r="J123" s="376">
        <v>0</v>
      </c>
      <c r="N123" s="383">
        <v>90</v>
      </c>
      <c r="O123" s="383">
        <v>70</v>
      </c>
      <c r="P123" s="383">
        <v>50</v>
      </c>
      <c r="Q123" s="383">
        <v>0</v>
      </c>
      <c r="R123" s="383">
        <v>0</v>
      </c>
      <c r="S123" s="383">
        <v>0</v>
      </c>
      <c r="T123" s="376"/>
      <c r="X123" s="383">
        <v>0</v>
      </c>
      <c r="Y123" s="383">
        <v>0</v>
      </c>
      <c r="Z123" s="383">
        <v>0</v>
      </c>
      <c r="AA123" s="383">
        <v>0</v>
      </c>
      <c r="AB123" s="383">
        <v>0</v>
      </c>
      <c r="AC123" s="383">
        <v>0</v>
      </c>
      <c r="AD123" s="376"/>
    </row>
    <row r="124" spans="1:30" hidden="1">
      <c r="A124" s="364">
        <v>4</v>
      </c>
      <c r="B124" s="382" t="s">
        <v>256</v>
      </c>
      <c r="D124" s="383">
        <v>0.14937999999999999</v>
      </c>
      <c r="E124" s="383">
        <v>0.15556</v>
      </c>
      <c r="F124" s="383">
        <v>0.11465999999999998</v>
      </c>
      <c r="G124" s="383">
        <v>6.1699999999999998E-2</v>
      </c>
      <c r="H124" s="383">
        <v>3.4480000000000004E-2</v>
      </c>
      <c r="I124" s="383">
        <v>6.5200000000000006E-3</v>
      </c>
      <c r="J124" s="376">
        <v>0</v>
      </c>
      <c r="N124" s="383">
        <v>90</v>
      </c>
      <c r="O124" s="383">
        <v>70</v>
      </c>
      <c r="P124" s="383">
        <v>50</v>
      </c>
      <c r="Q124" s="383">
        <v>0</v>
      </c>
      <c r="R124" s="383">
        <v>0</v>
      </c>
      <c r="S124" s="383">
        <v>0</v>
      </c>
      <c r="T124" s="376"/>
      <c r="X124" s="383">
        <v>0</v>
      </c>
      <c r="Y124" s="383">
        <v>0</v>
      </c>
      <c r="Z124" s="383">
        <v>0</v>
      </c>
      <c r="AA124" s="383">
        <v>0</v>
      </c>
      <c r="AB124" s="383">
        <v>0</v>
      </c>
      <c r="AC124" s="383">
        <v>0</v>
      </c>
      <c r="AD124" s="376"/>
    </row>
    <row r="125" spans="1:30" hidden="1">
      <c r="A125" s="364">
        <v>4</v>
      </c>
      <c r="B125" s="382" t="s">
        <v>257</v>
      </c>
      <c r="D125" s="383">
        <v>1324.2</v>
      </c>
      <c r="E125" s="383">
        <v>1517.8</v>
      </c>
      <c r="F125" s="383">
        <v>1345.3</v>
      </c>
      <c r="G125" s="383">
        <v>968.9</v>
      </c>
      <c r="H125" s="383">
        <v>854.9</v>
      </c>
      <c r="I125" s="383">
        <v>289.7</v>
      </c>
      <c r="J125" s="376">
        <v>0</v>
      </c>
      <c r="N125" s="383">
        <v>90</v>
      </c>
      <c r="O125" s="383">
        <v>70</v>
      </c>
      <c r="P125" s="383">
        <v>50</v>
      </c>
      <c r="Q125" s="383">
        <v>0</v>
      </c>
      <c r="R125" s="383">
        <v>0</v>
      </c>
      <c r="S125" s="383">
        <v>0</v>
      </c>
      <c r="T125" s="376"/>
      <c r="X125" s="383">
        <v>0</v>
      </c>
      <c r="Y125" s="383">
        <v>0</v>
      </c>
      <c r="Z125" s="383">
        <v>0</v>
      </c>
      <c r="AA125" s="383">
        <v>0</v>
      </c>
      <c r="AB125" s="383">
        <v>0</v>
      </c>
      <c r="AC125" s="383">
        <v>0</v>
      </c>
      <c r="AD125" s="376"/>
    </row>
    <row r="126" spans="1:30" hidden="1">
      <c r="A126" s="364">
        <v>4</v>
      </c>
      <c r="B126" s="382" t="s">
        <v>314</v>
      </c>
      <c r="D126" s="433">
        <v>1493.8</v>
      </c>
      <c r="E126" s="433">
        <v>1555.6</v>
      </c>
      <c r="F126" s="433">
        <v>1146.5999999999999</v>
      </c>
      <c r="G126" s="433">
        <v>617</v>
      </c>
      <c r="H126" s="433">
        <v>344.8</v>
      </c>
      <c r="I126" s="433">
        <v>65.2</v>
      </c>
      <c r="J126" s="434">
        <v>0</v>
      </c>
      <c r="N126" s="433">
        <v>90</v>
      </c>
      <c r="O126" s="433">
        <v>70</v>
      </c>
      <c r="P126" s="433">
        <v>50</v>
      </c>
      <c r="Q126" s="433">
        <v>0</v>
      </c>
      <c r="R126" s="433">
        <v>0</v>
      </c>
      <c r="S126" s="433">
        <v>2.4997802277744565E-3</v>
      </c>
      <c r="T126" s="434"/>
      <c r="X126" s="433">
        <v>0</v>
      </c>
      <c r="Y126" s="433">
        <v>0</v>
      </c>
      <c r="Z126" s="433">
        <v>0</v>
      </c>
      <c r="AA126" s="433">
        <v>0</v>
      </c>
      <c r="AB126" s="433">
        <v>0</v>
      </c>
      <c r="AC126" s="433">
        <v>0</v>
      </c>
      <c r="AD126" s="434"/>
    </row>
    <row r="127" spans="1:30" hidden="1">
      <c r="A127" s="364">
        <v>0</v>
      </c>
      <c r="B127" s="382" t="s">
        <v>648</v>
      </c>
      <c r="D127" s="433">
        <v>38.1</v>
      </c>
      <c r="E127" s="433">
        <v>63.6</v>
      </c>
      <c r="F127" s="433">
        <v>63.6</v>
      </c>
      <c r="G127" s="433">
        <v>61.5</v>
      </c>
      <c r="H127" s="433">
        <v>61.5</v>
      </c>
      <c r="I127" s="433">
        <v>3.6</v>
      </c>
      <c r="J127" s="433">
        <v>0</v>
      </c>
      <c r="X127" s="433">
        <v>105</v>
      </c>
      <c r="Y127" s="433">
        <v>145</v>
      </c>
      <c r="Z127" s="433">
        <v>167</v>
      </c>
      <c r="AA127" s="433">
        <v>190</v>
      </c>
      <c r="AB127" s="433">
        <v>190</v>
      </c>
      <c r="AC127" s="433">
        <v>85</v>
      </c>
      <c r="AD127" s="433">
        <v>23</v>
      </c>
    </row>
  </sheetData>
  <sheetProtection password="C14A" sheet="1" objects="1" selectLockedCells="1" selectUnlockedCells="1"/>
  <phoneticPr fontId="27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152"/>
  <sheetViews>
    <sheetView showGridLines="0" showRowColHeaders="0" showZeros="0" showOutlineSymbols="0" topLeftCell="IV65536" zoomScale="80" workbookViewId="0">
      <selection activeCell="F5" sqref="F5"/>
    </sheetView>
  </sheetViews>
  <sheetFormatPr defaultColWidth="0" defaultRowHeight="12.75" zeroHeight="1"/>
  <cols>
    <col min="1" max="21" width="0" style="364" hidden="1" customWidth="1"/>
    <col min="22" max="22" width="8.28515625" style="364" hidden="1" customWidth="1"/>
    <col min="23" max="23" width="7.42578125" style="364" hidden="1" customWidth="1"/>
    <col min="24" max="16384" width="0" style="364" hidden="1"/>
  </cols>
  <sheetData>
    <row r="1" spans="2:22" hidden="1">
      <c r="B1" s="441" t="s">
        <v>310</v>
      </c>
      <c r="C1" s="442">
        <f>MATCH(Region,$B$6:$B$10,0)</f>
        <v>4</v>
      </c>
    </row>
    <row r="2" spans="2:22" hidden="1"/>
    <row r="3" spans="2:22" hidden="1"/>
    <row r="4" spans="2:22" ht="18" hidden="1">
      <c r="B4" s="443" t="s">
        <v>674</v>
      </c>
      <c r="C4" s="444"/>
      <c r="D4" s="443"/>
      <c r="F4" s="443" t="s">
        <v>388</v>
      </c>
      <c r="G4" s="443"/>
      <c r="H4" s="443"/>
      <c r="I4" s="443"/>
      <c r="J4" s="443"/>
      <c r="K4" s="443"/>
      <c r="L4" s="443"/>
    </row>
    <row r="5" spans="2:22" ht="77.25" hidden="1" thickBot="1">
      <c r="B5" s="445" t="s">
        <v>307</v>
      </c>
      <c r="C5" s="445" t="s">
        <v>308</v>
      </c>
      <c r="F5" s="446" t="s">
        <v>307</v>
      </c>
      <c r="G5" s="447" t="s">
        <v>254</v>
      </c>
      <c r="H5" s="448" t="s">
        <v>255</v>
      </c>
      <c r="I5" s="448" t="s">
        <v>256</v>
      </c>
      <c r="J5" s="448" t="s">
        <v>348</v>
      </c>
      <c r="K5" s="448" t="s">
        <v>147</v>
      </c>
      <c r="L5" s="448" t="s">
        <v>112</v>
      </c>
      <c r="M5" s="448" t="s">
        <v>194</v>
      </c>
      <c r="N5" s="448" t="s">
        <v>197</v>
      </c>
      <c r="O5" s="448" t="s">
        <v>195</v>
      </c>
      <c r="R5" s="449" t="s">
        <v>432</v>
      </c>
      <c r="S5" s="450"/>
      <c r="T5" s="450"/>
      <c r="U5" s="451" t="s">
        <v>596</v>
      </c>
      <c r="V5" s="451">
        <f ca="1">MATCH(AuxYear,$N$18:$V$18,1)-1</f>
        <v>1</v>
      </c>
    </row>
    <row r="6" spans="2:22" hidden="1">
      <c r="B6" s="452" t="s">
        <v>305</v>
      </c>
      <c r="C6" s="453">
        <v>20.78</v>
      </c>
      <c r="F6" s="454" t="s">
        <v>305</v>
      </c>
      <c r="G6" s="455">
        <v>0.2</v>
      </c>
      <c r="H6" s="456">
        <v>0.7</v>
      </c>
      <c r="I6" s="456">
        <v>0.75</v>
      </c>
      <c r="J6" s="456">
        <v>0.7</v>
      </c>
      <c r="K6" s="457">
        <v>0.4</v>
      </c>
      <c r="L6" s="456">
        <v>0.85</v>
      </c>
      <c r="M6" s="456">
        <v>0.75</v>
      </c>
      <c r="N6" s="456">
        <v>0.27</v>
      </c>
      <c r="O6" s="456">
        <v>0.14000000000000001</v>
      </c>
      <c r="R6" s="458" t="s">
        <v>433</v>
      </c>
      <c r="S6" s="377">
        <f t="array" aca="1" ref="S6:S7" ca="1">OFFSET(CalibData2!$K$12:$K$13,0,(CalIndex-1)*10)</f>
        <v>0.2</v>
      </c>
      <c r="T6" s="377">
        <f t="array" aca="1" ref="T6:T7" ca="1">OFFSET(CalibData2!$K$24:$K$25,0,(CalIndex-1)*10)</f>
        <v>0.2</v>
      </c>
      <c r="U6" s="459">
        <f ca="1">AuxYear-OFFSET($N18,0,V5)</f>
        <v>2</v>
      </c>
      <c r="V6" s="459">
        <f ca="1">V5+1</f>
        <v>2</v>
      </c>
    </row>
    <row r="7" spans="2:22" hidden="1">
      <c r="B7" s="452" t="s">
        <v>306</v>
      </c>
      <c r="C7" s="453">
        <v>30.6</v>
      </c>
      <c r="F7" s="454" t="s">
        <v>306</v>
      </c>
      <c r="G7" s="455">
        <v>0.2</v>
      </c>
      <c r="H7" s="456">
        <v>0.7</v>
      </c>
      <c r="I7" s="456">
        <v>0.75</v>
      </c>
      <c r="J7" s="456">
        <v>0.7</v>
      </c>
      <c r="K7" s="456">
        <v>0.35</v>
      </c>
      <c r="L7" s="456">
        <v>0.85</v>
      </c>
      <c r="M7" s="456">
        <v>0.75</v>
      </c>
      <c r="N7" s="456">
        <v>0.27</v>
      </c>
      <c r="O7" s="456">
        <v>0.14000000000000001</v>
      </c>
      <c r="R7" s="458" t="s">
        <v>386</v>
      </c>
      <c r="S7" s="377">
        <f ca="1"/>
        <v>0.23929445192036936</v>
      </c>
      <c r="T7" s="377">
        <f ca="1"/>
        <v>0.23929445192036936</v>
      </c>
      <c r="U7" s="460">
        <f ca="1">OFFSET($N18,0,V5+1)-AuxYear</f>
        <v>3</v>
      </c>
      <c r="V7" s="460">
        <f ca="1">SUM(U6:U7)</f>
        <v>5</v>
      </c>
    </row>
    <row r="8" spans="2:22" hidden="1">
      <c r="B8" s="452" t="s">
        <v>345</v>
      </c>
      <c r="C8" s="453">
        <v>30.1</v>
      </c>
      <c r="F8" s="454" t="s">
        <v>345</v>
      </c>
      <c r="G8" s="455">
        <v>0.2</v>
      </c>
      <c r="H8" s="456">
        <v>0.7</v>
      </c>
      <c r="I8" s="456">
        <v>0.75</v>
      </c>
      <c r="J8" s="456">
        <v>0.7</v>
      </c>
      <c r="K8" s="457">
        <f>13100/3040/8.76</f>
        <v>0.49191900985340065</v>
      </c>
      <c r="L8" s="457">
        <v>0.92</v>
      </c>
      <c r="M8" s="456">
        <v>0.75</v>
      </c>
      <c r="N8" s="457">
        <v>0.30303030303030304</v>
      </c>
      <c r="O8" s="457">
        <f>1050/8760</f>
        <v>0.11986301369863013</v>
      </c>
      <c r="R8" s="461"/>
      <c r="S8" s="462" t="s">
        <v>225</v>
      </c>
      <c r="T8" s="462" t="s">
        <v>225</v>
      </c>
      <c r="U8" s="462" t="s">
        <v>259</v>
      </c>
      <c r="V8" s="462" t="s">
        <v>259</v>
      </c>
    </row>
    <row r="9" spans="2:22" hidden="1">
      <c r="B9" s="452" t="s">
        <v>552</v>
      </c>
      <c r="C9" s="453">
        <v>30.1</v>
      </c>
      <c r="F9" s="454" t="s">
        <v>552</v>
      </c>
      <c r="G9" s="455">
        <v>0.2</v>
      </c>
      <c r="H9" s="456">
        <v>0.7</v>
      </c>
      <c r="I9" s="456">
        <v>0.75</v>
      </c>
      <c r="J9" s="456">
        <v>0.7</v>
      </c>
      <c r="K9" s="457">
        <f>13100/3040/8.76</f>
        <v>0.49191900985340065</v>
      </c>
      <c r="L9" s="456">
        <v>0.92</v>
      </c>
      <c r="M9" s="456">
        <v>0.75</v>
      </c>
      <c r="N9" s="457">
        <v>0.30303030303030304</v>
      </c>
      <c r="O9" s="457">
        <f>1100/8760</f>
        <v>0.12557077625570776</v>
      </c>
      <c r="R9" s="463" t="s">
        <v>434</v>
      </c>
      <c r="S9" s="464">
        <f ca="1">S7*E24</f>
        <v>0</v>
      </c>
      <c r="T9" s="464">
        <f ca="1">T7*F24</f>
        <v>0</v>
      </c>
      <c r="U9" s="464">
        <f ca="1">IF(S9&gt;0,S6*IEAData2!$I$81/S9/$C$14,1)</f>
        <v>1</v>
      </c>
      <c r="V9" s="464">
        <f ca="1">IF(T9&gt;0,T6*AuxData2!$I$81/T9/$C$14,1)</f>
        <v>1</v>
      </c>
    </row>
    <row r="10" spans="2:22" hidden="1">
      <c r="B10" s="452" t="s">
        <v>346</v>
      </c>
      <c r="C10" s="453">
        <v>20.71</v>
      </c>
      <c r="F10" s="454" t="s">
        <v>346</v>
      </c>
      <c r="G10" s="455">
        <v>0.2</v>
      </c>
      <c r="H10" s="456">
        <v>0.7</v>
      </c>
      <c r="I10" s="456">
        <v>0.75</v>
      </c>
      <c r="J10" s="456">
        <v>0.7</v>
      </c>
      <c r="K10" s="456">
        <v>0.45</v>
      </c>
      <c r="L10" s="456">
        <v>0.75</v>
      </c>
      <c r="M10" s="456">
        <v>0.75</v>
      </c>
      <c r="N10" s="456">
        <v>0.27</v>
      </c>
      <c r="O10" s="456">
        <v>0.14000000000000001</v>
      </c>
      <c r="R10" s="463" t="s">
        <v>435</v>
      </c>
      <c r="S10" s="464">
        <f ca="1">E24-S9</f>
        <v>0</v>
      </c>
      <c r="T10" s="464">
        <f ca="1">F24-T9</f>
        <v>0</v>
      </c>
      <c r="U10" s="464">
        <f ca="1">IF(S10&gt;0,(1-S6)*IEAData2!$I$81/S10/$C$14,1)</f>
        <v>1</v>
      </c>
      <c r="V10" s="464">
        <f ca="1">IF(T10&gt;0,(1-T6)*AuxData2!$I$81/T10/$C$14,1)</f>
        <v>1</v>
      </c>
    </row>
    <row r="11" spans="2:22" ht="90" hidden="1" thickBot="1">
      <c r="B11" s="445" t="s">
        <v>311</v>
      </c>
      <c r="C11" s="465">
        <f>INDEX(C$6:C$10,RegIndex)</f>
        <v>30.1</v>
      </c>
      <c r="F11" s="446" t="s">
        <v>311</v>
      </c>
      <c r="G11" s="447">
        <f t="shared" ref="G11:N11" si="0">INDEX(G6:G10,RegIndex)</f>
        <v>0.2</v>
      </c>
      <c r="H11" s="448">
        <f t="shared" si="0"/>
        <v>0.7</v>
      </c>
      <c r="I11" s="448">
        <f t="shared" si="0"/>
        <v>0.75</v>
      </c>
      <c r="J11" s="448">
        <f t="shared" si="0"/>
        <v>0.7</v>
      </c>
      <c r="K11" s="466">
        <f t="shared" si="0"/>
        <v>0.49191900985340065</v>
      </c>
      <c r="L11" s="448">
        <f t="shared" si="0"/>
        <v>0.92</v>
      </c>
      <c r="M11" s="448">
        <f t="shared" si="0"/>
        <v>0.75</v>
      </c>
      <c r="N11" s="448">
        <f t="shared" si="0"/>
        <v>0.30303030303030304</v>
      </c>
      <c r="O11" s="466">
        <f>INDEX(O6:O10,RegIndex)</f>
        <v>0.12557077625570776</v>
      </c>
      <c r="R11" s="365" t="s">
        <v>52</v>
      </c>
      <c r="S11" s="467">
        <f ca="1">SUM(S9:S10)</f>
        <v>0</v>
      </c>
      <c r="T11" s="467">
        <f ca="1">SUM(T9:T10)</f>
        <v>0</v>
      </c>
      <c r="U11" s="467">
        <f ca="1">IF(S11,SUMPRODUCT(S9:S10,U9:U10)/S11,0)</f>
        <v>0</v>
      </c>
      <c r="V11" s="467">
        <f ca="1">IF(T11,SUMPRODUCT(T9:T10,V9:V10)/T11,0)</f>
        <v>0</v>
      </c>
    </row>
    <row r="12" spans="2:22" hidden="1">
      <c r="S12" s="468"/>
    </row>
    <row r="13" spans="2:22" hidden="1"/>
    <row r="14" spans="2:22" ht="76.5" hidden="1">
      <c r="B14" s="469" t="s">
        <v>333</v>
      </c>
      <c r="C14" s="470">
        <f>8.76*3.6</f>
        <v>31.536000000000001</v>
      </c>
    </row>
    <row r="15" spans="2:22" hidden="1">
      <c r="B15" s="471" t="s">
        <v>644</v>
      </c>
      <c r="C15" s="472">
        <v>1</v>
      </c>
      <c r="M15" s="372" t="s">
        <v>669</v>
      </c>
      <c r="N15" s="473">
        <f t="array" aca="1" ref="N15:P15" ca="1">OFFSET(CalibData2!$C46:$K46,0,(CalIndex-1)*10)+OFFSET(CalibData2!$C47:$K47,0,(CalIndex-1)*10)</f>
        <v>0</v>
      </c>
      <c r="O15" s="473">
        <f ca="1"/>
        <v>0</v>
      </c>
      <c r="P15" s="473">
        <f ca="1"/>
        <v>0</v>
      </c>
    </row>
    <row r="16" spans="2:22" hidden="1">
      <c r="B16" s="471" t="s">
        <v>686</v>
      </c>
      <c r="C16" s="472">
        <v>1000</v>
      </c>
    </row>
    <row r="17" spans="2:23" ht="20.25" hidden="1" thickBot="1">
      <c r="B17" s="474" t="s">
        <v>211</v>
      </c>
      <c r="C17" s="474"/>
      <c r="D17" s="474"/>
      <c r="E17" s="474"/>
      <c r="F17" s="474"/>
      <c r="G17" s="474"/>
      <c r="H17" s="474"/>
      <c r="I17" s="474"/>
      <c r="J17" s="474"/>
      <c r="M17" s="474" t="s">
        <v>225</v>
      </c>
      <c r="N17" s="474"/>
      <c r="O17" s="474"/>
      <c r="P17" s="474"/>
      <c r="Q17" s="474"/>
      <c r="R17" s="474"/>
      <c r="S17" s="474"/>
      <c r="T17" s="474"/>
      <c r="U17" s="474"/>
      <c r="V17" s="474"/>
      <c r="W17" s="474"/>
    </row>
    <row r="18" spans="2:23" ht="16.5" hidden="1" thickTop="1" thickBot="1">
      <c r="B18" s="475"/>
      <c r="C18" s="476" t="s">
        <v>224</v>
      </c>
      <c r="D18" s="476" t="s">
        <v>224</v>
      </c>
      <c r="E18" s="476" t="s">
        <v>225</v>
      </c>
      <c r="F18" s="476" t="s">
        <v>225</v>
      </c>
      <c r="G18" s="476" t="s">
        <v>259</v>
      </c>
      <c r="H18" s="476" t="s">
        <v>259</v>
      </c>
      <c r="I18" s="476" t="s">
        <v>259</v>
      </c>
      <c r="J18" s="476"/>
      <c r="M18" s="475"/>
      <c r="N18" s="476">
        <f t="array" aca="1" ref="N18:V18" ca="1">CalibData2!C33:K33</f>
        <v>2010</v>
      </c>
      <c r="O18" s="476">
        <f ca="1"/>
        <v>2015</v>
      </c>
      <c r="P18" s="476">
        <f ca="1"/>
        <v>2020</v>
      </c>
      <c r="Q18" s="476">
        <f ca="1"/>
        <v>2025</v>
      </c>
      <c r="R18" s="476">
        <f ca="1"/>
        <v>2030</v>
      </c>
      <c r="S18" s="476">
        <f ca="1"/>
        <v>2040</v>
      </c>
      <c r="T18" s="476">
        <f ca="1"/>
        <v>2050</v>
      </c>
      <c r="U18" s="476">
        <f ca="1"/>
        <v>2070</v>
      </c>
      <c r="V18" s="476">
        <f ca="1"/>
        <v>2100</v>
      </c>
      <c r="W18" s="477">
        <f ca="1">AuxYear</f>
        <v>2017</v>
      </c>
    </row>
    <row r="19" spans="2:23" ht="15" hidden="1">
      <c r="B19" s="372" t="s">
        <v>254</v>
      </c>
      <c r="C19" s="478">
        <f ca="1">IEAData2!H76</f>
        <v>0.4</v>
      </c>
      <c r="D19" s="478">
        <f ca="1">AuxData2!H76</f>
        <v>0.4</v>
      </c>
      <c r="E19" s="479">
        <f ca="1">MAX(N19/1000,IEAData2!F76/C$14/INDEX($G$11:$N$11,$J19)*0.7)</f>
        <v>0</v>
      </c>
      <c r="F19" s="479">
        <f ca="1">MAX(W19/1000,AuxData2!F76/C$14/INDEX($G$11:$N$11,$J19)*0.7)</f>
        <v>0</v>
      </c>
      <c r="G19" s="479">
        <f ca="1">IF(E19,IEAData2!F76/(E19*$C$14),INDEX($G$11:$N$11,$J19))</f>
        <v>0.2</v>
      </c>
      <c r="H19" s="479">
        <f ca="1">IF(F19,AuxData2!F76/(F19*$C$14),INDEX($G$11:$O$11,$J19))</f>
        <v>0.2</v>
      </c>
      <c r="I19" s="480">
        <f t="shared" ref="I19:I28" ca="1" si="1">MAX(INDEX($G$11:$O$11,$J19),H19)</f>
        <v>0.2</v>
      </c>
      <c r="J19" s="481">
        <v>1</v>
      </c>
      <c r="M19" s="372" t="s">
        <v>254</v>
      </c>
      <c r="N19" s="482">
        <f t="array" aca="1" ref="N19:V19" ca="1">OFFSET(CalibData2!$C34:$K34,0,(CalIndex-1)*10)</f>
        <v>0</v>
      </c>
      <c r="O19" s="482">
        <f ca="1"/>
        <v>0</v>
      </c>
      <c r="P19" s="482">
        <f ca="1"/>
        <v>0</v>
      </c>
      <c r="Q19" s="482">
        <f ca="1"/>
        <v>0</v>
      </c>
      <c r="R19" s="482">
        <f ca="1"/>
        <v>0</v>
      </c>
      <c r="S19" s="482">
        <f ca="1"/>
        <v>0</v>
      </c>
      <c r="T19" s="482">
        <f ca="1"/>
        <v>0</v>
      </c>
      <c r="U19" s="482">
        <f ca="1"/>
        <v>0</v>
      </c>
      <c r="V19" s="482">
        <f ca="1"/>
        <v>0</v>
      </c>
      <c r="W19" s="483">
        <f t="shared" ref="W19:W24" ca="1" si="2">(OFFSET($N19,0,V$5)*U$7+OFFSET($N19,0,V$6)*U$6)/V$7</f>
        <v>0</v>
      </c>
    </row>
    <row r="20" spans="2:23" ht="15" hidden="1">
      <c r="B20" s="372" t="s">
        <v>255</v>
      </c>
      <c r="C20" s="478">
        <f ca="1">IEAData2!H77</f>
        <v>0.54</v>
      </c>
      <c r="D20" s="478">
        <f ca="1">AuxData2!H77</f>
        <v>0.54</v>
      </c>
      <c r="E20" s="479">
        <f ca="1">MAX(N20/1000,IEAData2!F77/C$14/INDEX($G$11:$N$11,$J20)*0.9)</f>
        <v>0</v>
      </c>
      <c r="F20" s="479">
        <f ca="1">MAX(W20/1000,AuxData2!F77/C$14/INDEX($G$11:$N$11,$J20)*0.9)</f>
        <v>0</v>
      </c>
      <c r="G20" s="479">
        <f ca="1">IF(E20,IEAData2!F77/(E20*$C$14),INDEX($G$11:$N$11,$J20))</f>
        <v>0.7</v>
      </c>
      <c r="H20" s="479">
        <f ca="1">IF(F20,AuxData2!F77/(F20*$C$14),INDEX($G$11:$O$11,$J20))</f>
        <v>0.7</v>
      </c>
      <c r="I20" s="480">
        <f t="shared" ca="1" si="1"/>
        <v>0.7</v>
      </c>
      <c r="J20" s="481">
        <v>2</v>
      </c>
      <c r="M20" s="372" t="s">
        <v>255</v>
      </c>
      <c r="N20" s="482">
        <f t="array" aca="1" ref="N20:V20" ca="1">OFFSET(CalibData2!$C35:$K35,0,(CalIndex-1)*10)</f>
        <v>0</v>
      </c>
      <c r="O20" s="482">
        <f ca="1"/>
        <v>0</v>
      </c>
      <c r="P20" s="482">
        <f ca="1"/>
        <v>0</v>
      </c>
      <c r="Q20" s="482">
        <f ca="1"/>
        <v>0</v>
      </c>
      <c r="R20" s="482">
        <f ca="1"/>
        <v>0</v>
      </c>
      <c r="S20" s="482">
        <f ca="1"/>
        <v>0</v>
      </c>
      <c r="T20" s="482">
        <f ca="1"/>
        <v>0</v>
      </c>
      <c r="U20" s="482">
        <f ca="1"/>
        <v>0</v>
      </c>
      <c r="V20" s="482">
        <f ca="1"/>
        <v>0</v>
      </c>
      <c r="W20" s="483">
        <f t="shared" ca="1" si="2"/>
        <v>0</v>
      </c>
    </row>
    <row r="21" spans="2:23" ht="15" hidden="1">
      <c r="B21" s="372" t="s">
        <v>256</v>
      </c>
      <c r="C21" s="484">
        <f ca="1">IEAData2!H78</f>
        <v>0.44</v>
      </c>
      <c r="D21" s="478">
        <f ca="1">AuxData2!H78</f>
        <v>0.44</v>
      </c>
      <c r="E21" s="479">
        <f ca="1">MAX(N21/1000,IEAData2!F78/C$14/INDEX($G$11:$N$11,$J21)*0.9)</f>
        <v>0</v>
      </c>
      <c r="F21" s="479">
        <f ca="1">MAX(W21/1000,AuxData2!F78/C$14/INDEX($G$11:$N$11,$J21)*0.9)</f>
        <v>0</v>
      </c>
      <c r="G21" s="479">
        <f ca="1">IF(E21,IEAData2!F78/(E21*$C$14),INDEX($G$11:$N$11,$J21))</f>
        <v>0.75</v>
      </c>
      <c r="H21" s="479">
        <f ca="1">IF(F21,AuxData2!F78/(F21*$C$14),INDEX($G$11:$O$11,$J21))</f>
        <v>0.75</v>
      </c>
      <c r="I21" s="480">
        <f t="shared" ca="1" si="1"/>
        <v>0.75</v>
      </c>
      <c r="J21" s="481">
        <v>3</v>
      </c>
      <c r="M21" s="372" t="s">
        <v>256</v>
      </c>
      <c r="N21" s="482">
        <f t="array" aca="1" ref="N21:V21" ca="1">OFFSET(CalibData2!$C36:$K36,0,(CalIndex-1)*10)</f>
        <v>0</v>
      </c>
      <c r="O21" s="482">
        <f ca="1"/>
        <v>0</v>
      </c>
      <c r="P21" s="482">
        <f ca="1"/>
        <v>0</v>
      </c>
      <c r="Q21" s="482">
        <f ca="1"/>
        <v>0</v>
      </c>
      <c r="R21" s="482">
        <f ca="1"/>
        <v>0</v>
      </c>
      <c r="S21" s="482">
        <f ca="1"/>
        <v>0</v>
      </c>
      <c r="T21" s="482">
        <f ca="1"/>
        <v>0</v>
      </c>
      <c r="U21" s="482">
        <f ca="1"/>
        <v>0</v>
      </c>
      <c r="V21" s="482">
        <f ca="1"/>
        <v>0</v>
      </c>
      <c r="W21" s="483">
        <f t="shared" ca="1" si="2"/>
        <v>0</v>
      </c>
    </row>
    <row r="22" spans="2:23" ht="15" hidden="1">
      <c r="B22" s="372" t="s">
        <v>347</v>
      </c>
      <c r="C22" s="484">
        <f ca="1">IEAData2!H79</f>
        <v>0.42</v>
      </c>
      <c r="D22" s="478">
        <f ca="1">AuxData2!H79</f>
        <v>0.42</v>
      </c>
      <c r="E22" s="479">
        <f ca="1">MAX(N22/1000,IEAData2!F79/C$14/INDEX($G$11:$N$11,$J22)*0.9)</f>
        <v>0</v>
      </c>
      <c r="F22" s="479">
        <f ca="1">MAX(W22/1000,AuxData2!F79/C$14/INDEX($G$11:$N$11,$J22)*0.9)</f>
        <v>0</v>
      </c>
      <c r="G22" s="479">
        <f ca="1">IF(E22,IEAData2!F79/(E22*$C$14),INDEX($G$11:$N$11,$J22))</f>
        <v>0.7</v>
      </c>
      <c r="H22" s="479">
        <f ca="1">IF(F22,AuxData2!F79/(F22*$C$14),INDEX($G$11:$O$11,$J22))</f>
        <v>0.7</v>
      </c>
      <c r="I22" s="480">
        <f t="shared" ca="1" si="1"/>
        <v>0.7</v>
      </c>
      <c r="J22" s="481">
        <v>4</v>
      </c>
      <c r="M22" s="372" t="s">
        <v>347</v>
      </c>
      <c r="N22" s="482">
        <f t="array" aca="1" ref="N22:V22" ca="1">OFFSET(CalibData2!$C37:$K37,0,(CalIndex-1)*10)</f>
        <v>0</v>
      </c>
      <c r="O22" s="482">
        <f ca="1"/>
        <v>0</v>
      </c>
      <c r="P22" s="482">
        <f ca="1"/>
        <v>0</v>
      </c>
      <c r="Q22" s="482">
        <f ca="1"/>
        <v>0</v>
      </c>
      <c r="R22" s="482">
        <f ca="1"/>
        <v>0</v>
      </c>
      <c r="S22" s="482">
        <f ca="1"/>
        <v>0</v>
      </c>
      <c r="T22" s="482">
        <f ca="1"/>
        <v>0</v>
      </c>
      <c r="U22" s="482">
        <f ca="1"/>
        <v>0</v>
      </c>
      <c r="V22" s="482">
        <f ca="1"/>
        <v>0</v>
      </c>
      <c r="W22" s="483">
        <f t="shared" ca="1" si="2"/>
        <v>0</v>
      </c>
    </row>
    <row r="23" spans="2:23" ht="15" hidden="1">
      <c r="B23" s="372" t="s">
        <v>257</v>
      </c>
      <c r="C23" s="484">
        <f ca="1">IEAData2!H80</f>
        <v>0.4</v>
      </c>
      <c r="D23" s="478">
        <f ca="1">AuxData2!H80</f>
        <v>0.4</v>
      </c>
      <c r="E23" s="479">
        <f ca="1">MAX(N23/1000,IEAData2!F80/C$14/INDEX($G$11:$N$11,$J23)*0.9)</f>
        <v>0</v>
      </c>
      <c r="F23" s="479">
        <f ca="1">MAX(W23/1000,AuxData2!F80/C$14/INDEX($G$11:$N$11,$J23)*0.9)</f>
        <v>0</v>
      </c>
      <c r="G23" s="479">
        <f ca="1">IF(E23,IEAData2!F80/(E23*$C$14),INDEX($G$11:$N$11,$J23))</f>
        <v>0.7</v>
      </c>
      <c r="H23" s="479">
        <f ca="1">IF(F23,AuxData2!F80/(F23*$C$14),INDEX($G$11:$O$11,$J23))</f>
        <v>0.7</v>
      </c>
      <c r="I23" s="480">
        <f t="shared" ca="1" si="1"/>
        <v>0.7</v>
      </c>
      <c r="J23" s="481">
        <v>4</v>
      </c>
      <c r="M23" s="372" t="s">
        <v>257</v>
      </c>
      <c r="N23" s="482">
        <f t="array" aca="1" ref="N23:V23" ca="1">OFFSET(CalibData2!$C38:$K38,0,(CalIndex-1)*10)</f>
        <v>0</v>
      </c>
      <c r="O23" s="482">
        <f ca="1"/>
        <v>0</v>
      </c>
      <c r="P23" s="482">
        <f ca="1"/>
        <v>0</v>
      </c>
      <c r="Q23" s="482">
        <f ca="1"/>
        <v>0</v>
      </c>
      <c r="R23" s="482">
        <f ca="1"/>
        <v>0</v>
      </c>
      <c r="S23" s="482">
        <f ca="1"/>
        <v>0</v>
      </c>
      <c r="T23" s="482">
        <f ca="1"/>
        <v>0</v>
      </c>
      <c r="U23" s="482">
        <f ca="1"/>
        <v>0</v>
      </c>
      <c r="V23" s="482">
        <f ca="1"/>
        <v>0</v>
      </c>
      <c r="W23" s="483">
        <f t="shared" ca="1" si="2"/>
        <v>0</v>
      </c>
    </row>
    <row r="24" spans="2:23" ht="15" hidden="1">
      <c r="B24" s="372" t="s">
        <v>147</v>
      </c>
      <c r="C24" s="484">
        <f ca="1">IEAData2!H81</f>
        <v>0.99</v>
      </c>
      <c r="D24" s="478">
        <f ca="1">AuxData2!H81</f>
        <v>0.99</v>
      </c>
      <c r="E24" s="479">
        <f ca="1">MAX(N24/1000,IEAData2!F81/C$14/INDEX($G$11:$N$11,$J24)*0.7)</f>
        <v>0</v>
      </c>
      <c r="F24" s="479">
        <f ca="1">MAX(W24/1000,AuxData2!F81/C$14/INDEX($G$11:$N$11,$J24)*0.7)</f>
        <v>0</v>
      </c>
      <c r="G24" s="479">
        <f ca="1">IF(E24,IEAData2!F81/(E24*$C$14),INDEX($G$11:$N$11,$J24))</f>
        <v>0.49191900985340065</v>
      </c>
      <c r="H24" s="479">
        <f ca="1">IF(F24,AuxData2!F81/(F24*$C$14),INDEX($G$11:$O$11,$J24))</f>
        <v>0.49191900985340065</v>
      </c>
      <c r="I24" s="480">
        <f t="shared" ca="1" si="1"/>
        <v>0.49191900985340065</v>
      </c>
      <c r="J24" s="481">
        <v>5</v>
      </c>
      <c r="M24" s="372" t="s">
        <v>147</v>
      </c>
      <c r="N24" s="482">
        <f t="array" aca="1" ref="N24:V24" ca="1">OFFSET(CalibData2!$C40:$K40,0,(CalIndex-1)*10)</f>
        <v>0</v>
      </c>
      <c r="O24" s="482">
        <f ca="1"/>
        <v>0</v>
      </c>
      <c r="P24" s="482">
        <f ca="1"/>
        <v>0</v>
      </c>
      <c r="Q24" s="482">
        <f ca="1"/>
        <v>0</v>
      </c>
      <c r="R24" s="482">
        <f ca="1"/>
        <v>0</v>
      </c>
      <c r="S24" s="482">
        <f ca="1"/>
        <v>0</v>
      </c>
      <c r="T24" s="482">
        <f ca="1"/>
        <v>0</v>
      </c>
      <c r="U24" s="482">
        <f ca="1"/>
        <v>0</v>
      </c>
      <c r="V24" s="482">
        <f ca="1"/>
        <v>0</v>
      </c>
      <c r="W24" s="483">
        <f t="shared" ca="1" si="2"/>
        <v>0</v>
      </c>
    </row>
    <row r="25" spans="2:23" ht="15" hidden="1">
      <c r="B25" s="372" t="s">
        <v>112</v>
      </c>
      <c r="C25" s="484">
        <f ca="1">IEAData2!H82</f>
        <v>0.35</v>
      </c>
      <c r="D25" s="478">
        <f ca="1">AuxData2!H82</f>
        <v>0.35</v>
      </c>
      <c r="E25" s="479">
        <f ca="1">MAX(N25/1000,IEAData2!F82/C$14/INDEX($G$11:$N$11,$J25)*0.7)</f>
        <v>0</v>
      </c>
      <c r="F25" s="479">
        <f ca="1">MAX(W25/1000,AuxData2!F82/C$14/INDEX($G$11:$N$11,$J25)*0.7)</f>
        <v>0</v>
      </c>
      <c r="G25" s="479">
        <f ca="1">IF(E25,IEAData2!F82/(E25*$C$14),INDEX($G$11:$N$11,$J25))</f>
        <v>0.92</v>
      </c>
      <c r="H25" s="479">
        <f ca="1">IF(F25,AuxData2!F82/(F25*$C$14),INDEX($G$11:$O$11,$J25))</f>
        <v>0.92</v>
      </c>
      <c r="I25" s="480">
        <f t="shared" ca="1" si="1"/>
        <v>0.92</v>
      </c>
      <c r="J25" s="481">
        <v>6</v>
      </c>
      <c r="M25" s="372" t="s">
        <v>112</v>
      </c>
      <c r="N25" s="482">
        <f t="array" aca="1" ref="N25:V25" ca="1">OFFSET(CalibData2!$C41:$K41,0,(CalIndex-1)*10)</f>
        <v>0</v>
      </c>
      <c r="O25" s="482">
        <f ca="1"/>
        <v>0</v>
      </c>
      <c r="P25" s="482">
        <f ca="1"/>
        <v>0</v>
      </c>
      <c r="Q25" s="482">
        <f ca="1"/>
        <v>0</v>
      </c>
      <c r="R25" s="482">
        <f ca="1"/>
        <v>0</v>
      </c>
      <c r="S25" s="482">
        <f ca="1"/>
        <v>0</v>
      </c>
      <c r="T25" s="482">
        <f ca="1"/>
        <v>0</v>
      </c>
      <c r="U25" s="482">
        <f ca="1"/>
        <v>0</v>
      </c>
      <c r="V25" s="482">
        <f ca="1"/>
        <v>0</v>
      </c>
      <c r="W25" s="483">
        <f ca="1">(OFFSET($N15,0,V$5)*U$7+OFFSET($N15,0,V$6)*U$6)/V$7</f>
        <v>0</v>
      </c>
    </row>
    <row r="26" spans="2:23" ht="15" hidden="1">
      <c r="B26" s="372" t="s">
        <v>194</v>
      </c>
      <c r="C26" s="484">
        <f ca="1">IEAData2!H83</f>
        <v>0.1</v>
      </c>
      <c r="D26" s="478">
        <f ca="1">AuxData2!H83</f>
        <v>0.1</v>
      </c>
      <c r="E26" s="479">
        <f ca="1">MAX(N26/1000,IEAData2!F83/C$14/INDEX($G$11:$N$11,$J26)*0.7)</f>
        <v>0</v>
      </c>
      <c r="F26" s="479">
        <f ca="1">MAX(W26/1000,AuxData2!F83/C$14/INDEX($G$11:$N$11,$J26)*0.7)</f>
        <v>0</v>
      </c>
      <c r="G26" s="479">
        <f ca="1">IF(E26,IEAData2!F83/(E26*$C$14),INDEX($G$11:$N$11,$J26))</f>
        <v>0.75</v>
      </c>
      <c r="H26" s="479">
        <f ca="1">IF(F26,AuxData2!F83/(F26*$C$14),INDEX($G$11:$O$11,$J26))</f>
        <v>0.75</v>
      </c>
      <c r="I26" s="480">
        <f t="shared" ca="1" si="1"/>
        <v>0.75</v>
      </c>
      <c r="J26" s="481">
        <v>7</v>
      </c>
      <c r="M26" s="372" t="s">
        <v>194</v>
      </c>
      <c r="N26" s="482">
        <f t="array" aca="1" ref="N26:V26" ca="1">OFFSET(CalibData2!$C42:$K42,0,(CalIndex-1)*10)</f>
        <v>0</v>
      </c>
      <c r="O26" s="482">
        <f ca="1"/>
        <v>0</v>
      </c>
      <c r="P26" s="482">
        <f ca="1"/>
        <v>0</v>
      </c>
      <c r="Q26" s="482">
        <f ca="1"/>
        <v>0</v>
      </c>
      <c r="R26" s="482">
        <f ca="1"/>
        <v>0</v>
      </c>
      <c r="S26" s="482">
        <f ca="1"/>
        <v>0</v>
      </c>
      <c r="T26" s="482">
        <f ca="1"/>
        <v>0</v>
      </c>
      <c r="U26" s="482">
        <f ca="1"/>
        <v>0</v>
      </c>
      <c r="V26" s="482">
        <f ca="1"/>
        <v>0</v>
      </c>
      <c r="W26" s="483">
        <f ca="1">(OFFSET($N26,0,V$5)*U$7+OFFSET($N26,0,V$6)*U$6)/V$7</f>
        <v>0</v>
      </c>
    </row>
    <row r="27" spans="2:23" ht="15" hidden="1">
      <c r="B27" s="372" t="s">
        <v>197</v>
      </c>
      <c r="C27" s="484">
        <f ca="1">IEAData2!H84</f>
        <v>0.99</v>
      </c>
      <c r="D27" s="478">
        <f ca="1">AuxData2!H84</f>
        <v>0.99</v>
      </c>
      <c r="E27" s="479">
        <f ca="1">MAX(N27/1000,IEAData2!F84/C$14/INDEX($G$11:$N$11,$J27)*0.9)</f>
        <v>0.01</v>
      </c>
      <c r="F27" s="479">
        <f ca="1">MAX(W27/1000,AuxData2!F84/C$14/INDEX($G$11:$N$11,$J27)*0.9)</f>
        <v>5.1999999999999998E-2</v>
      </c>
      <c r="G27" s="479">
        <f ca="1">IF(E27,IEAData2!F84/(E27*$C$14),INDEX($G$11:$N$11,$J27))</f>
        <v>0</v>
      </c>
      <c r="H27" s="479">
        <f ca="1">IF(F27,AuxData2!F84/(F27*$C$14),INDEX($G$11:$O$11,$J27))</f>
        <v>0</v>
      </c>
      <c r="I27" s="480">
        <f t="shared" ca="1" si="1"/>
        <v>0.30303030303030304</v>
      </c>
      <c r="J27" s="481">
        <v>8</v>
      </c>
      <c r="M27" s="372" t="s">
        <v>197</v>
      </c>
      <c r="N27" s="482">
        <f t="array" aca="1" ref="N27:V27" ca="1">OFFSET(CalibData2!$C43:$K43,0,(CalIndex-1)*10)</f>
        <v>10</v>
      </c>
      <c r="O27" s="482">
        <f ca="1"/>
        <v>20</v>
      </c>
      <c r="P27" s="482">
        <f ca="1"/>
        <v>100</v>
      </c>
      <c r="Q27" s="482">
        <f ca="1"/>
        <v>100</v>
      </c>
      <c r="R27" s="482">
        <f ca="1"/>
        <v>100</v>
      </c>
      <c r="S27" s="482">
        <f ca="1"/>
        <v>70</v>
      </c>
      <c r="T27" s="482">
        <f ca="1"/>
        <v>50</v>
      </c>
      <c r="U27" s="482">
        <f ca="1"/>
        <v>0</v>
      </c>
      <c r="V27" s="482">
        <f ca="1"/>
        <v>0</v>
      </c>
      <c r="W27" s="483">
        <f ca="1">(OFFSET($N27,0,V$5)*U$7+OFFSET($N27,0,V$6)*U$6)/V$7</f>
        <v>52</v>
      </c>
    </row>
    <row r="28" spans="2:23" ht="15" hidden="1">
      <c r="B28" s="372" t="s">
        <v>195</v>
      </c>
      <c r="C28" s="484">
        <f ca="1">IEAData2!H85</f>
        <v>0.99</v>
      </c>
      <c r="D28" s="478">
        <f ca="1">AuxData2!H85</f>
        <v>0.99</v>
      </c>
      <c r="E28" s="479">
        <f ca="1">MAX(N28/1000,IEAData2!F85/C$14/INDEX($G$11:$O$11,$J28)*0.95)</f>
        <v>5.0000000000000001E-4</v>
      </c>
      <c r="F28" s="479">
        <f ca="1">MAX(W28/1000,AuxData2!F85/C$14/INDEX($G$11:$O$11,$J28)*0.95)</f>
        <v>1.8E-3</v>
      </c>
      <c r="G28" s="479">
        <f ca="1">IF(E28,IEAData2!F85/(E28*$C$14),INDEX($G$11:$O$11,$J28))</f>
        <v>0</v>
      </c>
      <c r="H28" s="479">
        <f ca="1">IF(F28,AuxData2!F85/(F28*$C$14),INDEX($G$11:$O$11,$J28))</f>
        <v>0</v>
      </c>
      <c r="I28" s="480">
        <f t="shared" ca="1" si="1"/>
        <v>0.12557077625570776</v>
      </c>
      <c r="J28" s="481">
        <v>9</v>
      </c>
      <c r="M28" s="372" t="s">
        <v>195</v>
      </c>
      <c r="N28" s="482">
        <f t="array" aca="1" ref="N28:V28" ca="1">OFFSET(CalibData2!$C44:$K44,0,(CalIndex-1)*10)</f>
        <v>0.5</v>
      </c>
      <c r="O28" s="482">
        <f ca="1"/>
        <v>1</v>
      </c>
      <c r="P28" s="482">
        <f ca="1"/>
        <v>3</v>
      </c>
      <c r="Q28" s="482">
        <f ca="1"/>
        <v>9</v>
      </c>
      <c r="R28" s="482">
        <f ca="1"/>
        <v>27</v>
      </c>
      <c r="S28" s="482">
        <f ca="1"/>
        <v>0</v>
      </c>
      <c r="T28" s="482">
        <f ca="1"/>
        <v>0</v>
      </c>
      <c r="U28" s="482">
        <f ca="1"/>
        <v>0</v>
      </c>
      <c r="V28" s="482">
        <f ca="1"/>
        <v>0</v>
      </c>
      <c r="W28" s="483">
        <f ca="1">(OFFSET($N28,0,V$5)*U$7+OFFSET($N28,0,V$6)*U$6)/V$7</f>
        <v>1.8</v>
      </c>
    </row>
    <row r="29" spans="2:23" hidden="1">
      <c r="M29" s="372" t="s">
        <v>549</v>
      </c>
      <c r="N29" s="482">
        <f t="array" aca="1" ref="N29:V29" ca="1">OFFSET(CalibData2!$C39:$K39,0,(CalIndex-1)*10)</f>
        <v>0</v>
      </c>
      <c r="O29" s="482">
        <f ca="1"/>
        <v>80</v>
      </c>
      <c r="P29" s="482">
        <f ca="1"/>
        <v>80</v>
      </c>
      <c r="Q29" s="482">
        <f ca="1"/>
        <v>80</v>
      </c>
      <c r="R29" s="482">
        <f ca="1"/>
        <v>80</v>
      </c>
      <c r="S29" s="482">
        <f ca="1"/>
        <v>80</v>
      </c>
      <c r="T29" s="482">
        <f ca="1"/>
        <v>80</v>
      </c>
      <c r="U29" s="482">
        <f ca="1"/>
        <v>0</v>
      </c>
      <c r="V29" s="482">
        <f ca="1"/>
        <v>0</v>
      </c>
      <c r="W29" s="483">
        <f ca="1">(OFFSET($N29,0,V$5)*U$7+OFFSET($N29,0,V$6)*U$6)/V$7</f>
        <v>80</v>
      </c>
    </row>
    <row r="30" spans="2:23" hidden="1"/>
    <row r="31" spans="2:23" ht="20.25" hidden="1" thickBot="1">
      <c r="B31" s="474" t="s">
        <v>37</v>
      </c>
      <c r="C31" s="485">
        <f ca="1">BaseYear</f>
        <v>2010</v>
      </c>
      <c r="D31" s="485">
        <f ca="1">AuxYear</f>
        <v>2017</v>
      </c>
      <c r="E31" s="485">
        <f ca="1">BaseYear</f>
        <v>2010</v>
      </c>
      <c r="F31" s="485">
        <f ca="1">AuxYear</f>
        <v>2017</v>
      </c>
      <c r="G31" s="485">
        <f ca="1">BaseYear</f>
        <v>2010</v>
      </c>
      <c r="H31" s="485">
        <f ca="1">AuxYear</f>
        <v>2017</v>
      </c>
      <c r="I31" s="485">
        <f ca="1">BaseYear</f>
        <v>2010</v>
      </c>
      <c r="J31" s="485">
        <f ca="1">AuxYear</f>
        <v>2017</v>
      </c>
      <c r="K31" s="474"/>
      <c r="N31" s="474" t="s">
        <v>205</v>
      </c>
      <c r="O31" s="485">
        <f ca="1">BaseYear</f>
        <v>2010</v>
      </c>
      <c r="P31" s="485">
        <f ca="1">AuxYear</f>
        <v>2017</v>
      </c>
      <c r="Q31" s="485">
        <f ca="1">BaseYear</f>
        <v>2010</v>
      </c>
      <c r="R31" s="485">
        <f ca="1">AuxYear</f>
        <v>2017</v>
      </c>
      <c r="S31" s="485">
        <f ca="1">AuxYear</f>
        <v>2017</v>
      </c>
      <c r="T31" s="485">
        <v>2020</v>
      </c>
    </row>
    <row r="32" spans="2:23" ht="16.5" hidden="1" thickTop="1" thickBot="1">
      <c r="B32" s="475"/>
      <c r="C32" s="476" t="s">
        <v>224</v>
      </c>
      <c r="D32" s="476" t="s">
        <v>224</v>
      </c>
      <c r="E32" s="476" t="s">
        <v>225</v>
      </c>
      <c r="F32" s="476" t="s">
        <v>225</v>
      </c>
      <c r="G32" s="476" t="s">
        <v>259</v>
      </c>
      <c r="H32" s="476" t="s">
        <v>259</v>
      </c>
      <c r="I32" s="476" t="s">
        <v>258</v>
      </c>
      <c r="J32" s="476" t="s">
        <v>258</v>
      </c>
      <c r="K32" s="476"/>
      <c r="N32" s="475"/>
      <c r="O32" s="476" t="s">
        <v>224</v>
      </c>
      <c r="P32" s="476" t="s">
        <v>224</v>
      </c>
      <c r="Q32" s="476" t="s">
        <v>225</v>
      </c>
      <c r="R32" s="476" t="s">
        <v>225</v>
      </c>
      <c r="S32" s="476" t="s">
        <v>259</v>
      </c>
      <c r="T32" s="476" t="s">
        <v>259</v>
      </c>
    </row>
    <row r="33" spans="1:22" hidden="1">
      <c r="B33" s="372" t="s">
        <v>254</v>
      </c>
      <c r="C33" s="478">
        <f ca="1">IEAData2!H90</f>
        <v>0.85132456886311736</v>
      </c>
      <c r="D33" s="478">
        <f ca="1">AuxData2!H90</f>
        <v>0.87977710066493653</v>
      </c>
      <c r="E33" s="486">
        <f ca="1">IEAData2!$C90*C33/$C$14/G33</f>
        <v>8.4851882291015382E-2</v>
      </c>
      <c r="F33" s="486">
        <f ca="1">AuxData2!$C90*D33/$C$14/H33</f>
        <v>6.1664741987245558E-3</v>
      </c>
      <c r="G33" s="479">
        <v>0.5</v>
      </c>
      <c r="H33" s="479">
        <v>0.5</v>
      </c>
      <c r="I33" s="486">
        <f ca="1">MIN(100,MAX(0.01,IEAData2!$G90/(IEAData2!$F90+Tiny)))</f>
        <v>1.7142462577216711</v>
      </c>
      <c r="J33" s="486">
        <f ca="1">MIN(100,MAX(0.01,AuxData2!$G90/(AuxData2!$F90+Tiny)))</f>
        <v>1.8856690911687748</v>
      </c>
      <c r="K33" s="481">
        <v>1</v>
      </c>
      <c r="N33" s="372" t="s">
        <v>254</v>
      </c>
      <c r="O33" s="478">
        <f ca="1">IEAData2!H101</f>
        <v>0.89068067708413179</v>
      </c>
      <c r="P33" s="478">
        <f ca="1">AuxData2!H101</f>
        <v>0.97621876252562656</v>
      </c>
      <c r="Q33" s="486">
        <f ca="1">IEAData2!C101*O33/C$14/$S33</f>
        <v>5.4367888170985229E-2</v>
      </c>
      <c r="R33" s="486">
        <f ca="1">AuxData2!C101*P33/C$14/$S33</f>
        <v>4.7195050905205801E-2</v>
      </c>
      <c r="S33" s="479">
        <v>0.2</v>
      </c>
      <c r="T33" s="479">
        <v>0.2</v>
      </c>
    </row>
    <row r="34" spans="1:22" hidden="1">
      <c r="B34" s="372" t="s">
        <v>255</v>
      </c>
      <c r="C34" s="478">
        <f ca="1">IEAData2!H91</f>
        <v>0.89134737444413303</v>
      </c>
      <c r="D34" s="478">
        <f ca="1">AuxData2!H91</f>
        <v>0.88824555462302901</v>
      </c>
      <c r="E34" s="486">
        <f ca="1">IEAData2!C91*C34/C$14/G34</f>
        <v>2.6034884481801233</v>
      </c>
      <c r="F34" s="486">
        <f ca="1">AuxData2!$C91*D34/$C$14/H34</f>
        <v>0.8501752542847858</v>
      </c>
      <c r="G34" s="479">
        <v>0.55000000000000004</v>
      </c>
      <c r="H34" s="479">
        <v>0.55000000000000004</v>
      </c>
      <c r="I34" s="486">
        <f ca="1">MIN(100,MAX(0.01,IEAData2!G91/(IEAData2!F91+Tiny)))</f>
        <v>1.0073977885625665</v>
      </c>
      <c r="J34" s="486">
        <f ca="1">MIN(100,MAX(0.01,AuxData2!$G91/(AuxData2!$F91+Tiny)))</f>
        <v>1.1666625579614687</v>
      </c>
      <c r="K34" s="481">
        <v>2</v>
      </c>
      <c r="N34" s="372" t="s">
        <v>255</v>
      </c>
      <c r="O34" s="478">
        <f ca="1">IEAData2!H102</f>
        <v>0.89068067921694494</v>
      </c>
      <c r="P34" s="478">
        <f ca="1">AuxData2!H102</f>
        <v>0.9762187652237081</v>
      </c>
      <c r="Q34" s="486">
        <f ca="1">IEAData2!C102*O34/C$14/S34</f>
        <v>0.46413810220845897</v>
      </c>
      <c r="R34" s="486">
        <f ca="1">AuxData2!C102*P34/C$14/$S34</f>
        <v>0.20007284130498068</v>
      </c>
      <c r="S34" s="479">
        <v>0.3</v>
      </c>
      <c r="T34" s="479">
        <v>0.3</v>
      </c>
    </row>
    <row r="35" spans="1:22" hidden="1">
      <c r="B35" s="372" t="s">
        <v>256</v>
      </c>
      <c r="C35" s="478">
        <f ca="1">IEAData2!H92</f>
        <v>0.84731696571104176</v>
      </c>
      <c r="D35" s="478">
        <f ca="1">AuxData2!H92</f>
        <v>0.86240147974297932</v>
      </c>
      <c r="E35" s="486">
        <f ca="1">IEAData2!C92*C35/C$14/G35</f>
        <v>1.2007758768053736</v>
      </c>
      <c r="F35" s="486">
        <f ca="1">AuxData2!$C92*D35/$C$14/H35</f>
        <v>1.8610187183245652</v>
      </c>
      <c r="G35" s="479">
        <v>0.55000000000000004</v>
      </c>
      <c r="H35" s="479">
        <v>0.55000000000000004</v>
      </c>
      <c r="I35" s="486">
        <f ca="1">MIN(100,MAX(0.01,IEAData2!G92/(IEAData2!F92+Tiny)))</f>
        <v>1.8380826717306515</v>
      </c>
      <c r="J35" s="486">
        <f ca="1">MIN(100,MAX(0.01,AuxData2!$G92/(AuxData2!$F92+Tiny)))</f>
        <v>2.1286747461594913</v>
      </c>
      <c r="K35" s="481">
        <v>3</v>
      </c>
      <c r="N35" s="372" t="s">
        <v>256</v>
      </c>
      <c r="O35" s="478">
        <f ca="1">IEAData2!H103</f>
        <v>0.9154218090031323</v>
      </c>
      <c r="P35" s="478">
        <f ca="1">AuxData2!H103</f>
        <v>0.96537188968488963</v>
      </c>
      <c r="Q35" s="486">
        <f ca="1">IEAData2!C103*O35/C$14/S35</f>
        <v>0.14069232051309088</v>
      </c>
      <c r="R35" s="486">
        <f ca="1">AuxData2!C103*P35/C$14/$S35</f>
        <v>6.8127043630502149E-2</v>
      </c>
      <c r="S35" s="479">
        <v>0.5</v>
      </c>
      <c r="T35" s="479">
        <v>0.5</v>
      </c>
    </row>
    <row r="36" spans="1:22" hidden="1">
      <c r="B36" s="372" t="s">
        <v>347</v>
      </c>
      <c r="C36" s="478">
        <f ca="1">IEAData2!H93</f>
        <v>0.82710391168939534</v>
      </c>
      <c r="D36" s="478">
        <f ca="1">AuxData2!H93</f>
        <v>0.88436705970605445</v>
      </c>
      <c r="E36" s="486">
        <f ca="1">IEAData2!C93*C36/C$14/G36</f>
        <v>2.259823310995954E-2</v>
      </c>
      <c r="F36" s="486">
        <f ca="1">AuxData2!$C93*D36/$C$14/H36</f>
        <v>1.6116112046947191E-2</v>
      </c>
      <c r="G36" s="479">
        <v>0.55000000000000004</v>
      </c>
      <c r="H36" s="479">
        <v>0.55000000000000004</v>
      </c>
      <c r="I36" s="486">
        <f ca="1">MIN(100,MAX(0.01,IEAData2!G93/(IEAData2!F93+Tiny)))</f>
        <v>100</v>
      </c>
      <c r="J36" s="486">
        <f ca="1">MIN(100,MAX(0.01,AuxData2!$G93/(AuxData2!$F93+Tiny)))</f>
        <v>100</v>
      </c>
      <c r="K36" s="481">
        <v>4</v>
      </c>
      <c r="N36" s="372" t="s">
        <v>347</v>
      </c>
      <c r="O36" s="478">
        <f ca="1">IEAData2!H104</f>
        <v>0.85109485998236167</v>
      </c>
      <c r="P36" s="478">
        <f ca="1">AuxData2!H104</f>
        <v>0.93283112107277744</v>
      </c>
      <c r="Q36" s="486">
        <f ca="1">IEAData2!C104*O36/C$14/S36</f>
        <v>4.0149178335014768E-3</v>
      </c>
      <c r="R36" s="486">
        <f ca="1">AuxData2!C104*P36/C$14/$S36</f>
        <v>3.8335525523538799E-4</v>
      </c>
      <c r="S36" s="479">
        <v>0.5</v>
      </c>
      <c r="T36" s="479">
        <v>0.5</v>
      </c>
    </row>
    <row r="37" spans="1:22" hidden="1">
      <c r="B37" s="372" t="s">
        <v>257</v>
      </c>
      <c r="C37" s="478">
        <f ca="1">IEAData2!H94</f>
        <v>0.83570305665471967</v>
      </c>
      <c r="D37" s="478">
        <f ca="1">AuxData2!H94</f>
        <v>0.85781274740951075</v>
      </c>
      <c r="E37" s="486">
        <f ca="1">IEAData2!C94*C37/C$14/G37</f>
        <v>1.2460441295884578E-2</v>
      </c>
      <c r="F37" s="486">
        <f ca="1">AuxData2!$C94*D37/$C$14/H37</f>
        <v>9.4612223738774176E-2</v>
      </c>
      <c r="G37" s="479">
        <v>0.55000000000000004</v>
      </c>
      <c r="H37" s="479">
        <v>0.55000000000000004</v>
      </c>
      <c r="I37" s="486">
        <f ca="1">MIN(100,MAX(0.01,IEAData2!G94/(IEAData2!F94+Tiny)))</f>
        <v>2.4122229696454909</v>
      </c>
      <c r="J37" s="486">
        <f ca="1">MIN(100,MAX(0.01,AuxData2!$G94/(AuxData2!$F94+Tiny)))</f>
        <v>2.7935839152182735</v>
      </c>
      <c r="K37" s="481">
        <v>4</v>
      </c>
      <c r="N37" s="372" t="s">
        <v>257</v>
      </c>
      <c r="O37" s="478">
        <f ca="1">IEAData2!H105</f>
        <v>0.85109486966223113</v>
      </c>
      <c r="P37" s="478">
        <f ca="1">AuxData2!H105</f>
        <v>0.97621876474574343</v>
      </c>
      <c r="Q37" s="486">
        <f ca="1">IEAData2!C105*O37/C$14/S37</f>
        <v>2.6069734066475999E-2</v>
      </c>
      <c r="R37" s="486">
        <f ca="1">AuxData2!C105*P37/C$14/$S37</f>
        <v>6.1582019337728063E-2</v>
      </c>
      <c r="S37" s="479">
        <v>0.5</v>
      </c>
      <c r="T37" s="479">
        <v>0.5</v>
      </c>
    </row>
    <row r="38" spans="1:22" hidden="1">
      <c r="B38" s="372" t="s">
        <v>549</v>
      </c>
      <c r="C38" s="478">
        <f ca="1">IEAData2!H95</f>
        <v>0.90288581264129386</v>
      </c>
      <c r="D38" s="478">
        <f ca="1">AuxData2!H95</f>
        <v>0.91329368713835291</v>
      </c>
      <c r="E38" s="486">
        <f ca="1">MAX(O29/1000*(1+I38),IEAData2!$I95/$C$14/INDEX($G$11:$N$11,$K38)*0.9)</f>
        <v>0.22399999999999998</v>
      </c>
      <c r="F38" s="486">
        <f ca="1">MAX(W29/1000*(1+J38),AuxData2!$I95/$C$14/INDEX($G$11:$N$11,$K38)*0.9)</f>
        <v>0.22399999999999998</v>
      </c>
      <c r="G38" s="479">
        <f ca="1">IF(E38,IEAData2!I95/(E38*$C$14),INDEX($G$11:$N$11,$K38))</f>
        <v>1.4059532783188592E-3</v>
      </c>
      <c r="H38" s="479">
        <f ca="1">IF(F38,AuxData2!$I95/(F38*$C$14),INDEX($G$11:$N$11,$K38))</f>
        <v>0.36334382680934679</v>
      </c>
      <c r="I38" s="486">
        <f ca="1">MIN(100,MAX(1.8,IEAData2!$G95/(AuxData2!$F95+Tiny)))</f>
        <v>1.8</v>
      </c>
      <c r="J38" s="486">
        <f ca="1">MIN(100,MAX(1.8,AuxData2!$G95/(AuxData2!$F95+Tiny)))</f>
        <v>1.8</v>
      </c>
      <c r="K38" s="481">
        <v>4</v>
      </c>
      <c r="N38" s="372" t="s">
        <v>549</v>
      </c>
      <c r="O38" s="478">
        <f ca="1">IEAData2!H106</f>
        <v>0.8</v>
      </c>
      <c r="P38" s="478">
        <f ca="1">AuxData2!H106</f>
        <v>0.93283126423988028</v>
      </c>
      <c r="Q38" s="486">
        <f ca="1">IEAData2!C106*O38/C$14/S38</f>
        <v>0</v>
      </c>
      <c r="R38" s="486">
        <f ca="1">AuxData2!C106*P38/C$14/$S38</f>
        <v>5.8337449877406515E-2</v>
      </c>
      <c r="S38" s="479">
        <v>0.6</v>
      </c>
      <c r="T38" s="479">
        <v>0.6</v>
      </c>
    </row>
    <row r="39" spans="1:22" hidden="1">
      <c r="B39" s="372" t="s">
        <v>194</v>
      </c>
      <c r="C39" s="478">
        <f ca="1">IEAData2!H96</f>
        <v>0.9</v>
      </c>
      <c r="D39" s="478">
        <f ca="1">AuxData2!H96</f>
        <v>0.9</v>
      </c>
      <c r="E39" s="486">
        <f ca="1">IEAData2!C96*C39/C$14/G39</f>
        <v>0</v>
      </c>
      <c r="F39" s="486">
        <f ca="1">AuxData2!$C96*D39/$C$14/H39</f>
        <v>0</v>
      </c>
      <c r="G39" s="479">
        <v>0.55000000000000004</v>
      </c>
      <c r="H39" s="479">
        <v>0.55000000000000004</v>
      </c>
      <c r="I39" s="486">
        <f ca="1">MIN(100,MAX(0.01,IEAData2!G96/(IEAData2!F96+Tiny)))</f>
        <v>0.01</v>
      </c>
      <c r="J39" s="486">
        <f ca="1">MIN(100,MAX(0.01,AuxData2!$G96/(AuxData2!$F96+Tiny)))</f>
        <v>0.01</v>
      </c>
      <c r="K39" s="481">
        <v>7</v>
      </c>
      <c r="N39" s="372" t="s">
        <v>194</v>
      </c>
      <c r="O39" s="478">
        <f ca="1">IEAData2!H107</f>
        <v>1.5070862847928481</v>
      </c>
      <c r="P39" s="478">
        <f ca="1">AuxData2!H107</f>
        <v>1.4545454538638292</v>
      </c>
      <c r="Q39" s="486">
        <f ca="1">IEAData2!C107*O39/C$14/S39</f>
        <v>2.9163502933057462E-2</v>
      </c>
      <c r="R39" s="486">
        <f ca="1">MAX($X$120/1000,AuxData2!$G107/C$14/$T39)</f>
        <v>0.15380000000000002</v>
      </c>
      <c r="S39" s="479">
        <f ca="1">AuxData2!$G107/(R39*$C$14)</f>
        <v>0.63994959792579487</v>
      </c>
      <c r="T39" s="479">
        <v>0.65</v>
      </c>
    </row>
    <row r="40" spans="1:22" hidden="1"/>
    <row r="41" spans="1:22" hidden="1"/>
    <row r="42" spans="1:22" hidden="1">
      <c r="A42" s="487"/>
      <c r="B42" s="488" t="s">
        <v>352</v>
      </c>
      <c r="C42" s="487"/>
      <c r="D42" s="489">
        <f ca="1">BaseYear</f>
        <v>2010</v>
      </c>
      <c r="E42" s="487"/>
      <c r="F42" s="487"/>
      <c r="G42" s="487"/>
      <c r="H42" s="487"/>
      <c r="I42" s="487"/>
      <c r="J42" s="487"/>
      <c r="K42" s="487"/>
      <c r="L42" s="487"/>
      <c r="M42" s="487"/>
      <c r="N42" s="488" t="s">
        <v>381</v>
      </c>
      <c r="O42" s="487"/>
      <c r="P42" s="489">
        <f ca="1">BaseYear</f>
        <v>2010</v>
      </c>
      <c r="Q42" s="487"/>
      <c r="R42" s="487"/>
      <c r="S42" s="487"/>
      <c r="T42" s="487"/>
      <c r="U42" s="487"/>
      <c r="V42" s="487"/>
    </row>
    <row r="43" spans="1:22" hidden="1"/>
    <row r="44" spans="1:22" hidden="1">
      <c r="B44" s="373" t="s">
        <v>37</v>
      </c>
      <c r="C44" s="379" t="s">
        <v>254</v>
      </c>
      <c r="D44" s="379" t="s">
        <v>255</v>
      </c>
      <c r="E44" s="379" t="s">
        <v>256</v>
      </c>
      <c r="F44" s="379" t="s">
        <v>347</v>
      </c>
      <c r="G44" s="379" t="s">
        <v>348</v>
      </c>
      <c r="H44" s="379" t="s">
        <v>597</v>
      </c>
      <c r="N44" s="373" t="s">
        <v>349</v>
      </c>
      <c r="O44" s="379" t="s">
        <v>254</v>
      </c>
      <c r="P44" s="379" t="s">
        <v>255</v>
      </c>
      <c r="Q44" s="379" t="s">
        <v>256</v>
      </c>
      <c r="R44" s="379" t="s">
        <v>347</v>
      </c>
      <c r="S44" s="379" t="s">
        <v>348</v>
      </c>
      <c r="T44" s="379" t="s">
        <v>597</v>
      </c>
      <c r="U44" s="379" t="s">
        <v>598</v>
      </c>
    </row>
    <row r="45" spans="1:22" hidden="1">
      <c r="B45" s="376">
        <v>1</v>
      </c>
      <c r="C45" s="490">
        <f t="array" aca="1" ref="C45:H48" ca="1">OFFSET(CalibData2!$C$6:$H$9,0,(CalIndex-1)*10)</f>
        <v>1</v>
      </c>
      <c r="D45" s="490">
        <f ca="1"/>
        <v>1</v>
      </c>
      <c r="E45" s="490">
        <f ca="1"/>
        <v>1</v>
      </c>
      <c r="F45" s="490">
        <f ca="1"/>
        <v>1</v>
      </c>
      <c r="G45" s="490">
        <f ca="1"/>
        <v>1</v>
      </c>
      <c r="H45" s="490">
        <f ca="1"/>
        <v>1</v>
      </c>
      <c r="I45" s="491">
        <v>1</v>
      </c>
      <c r="N45" s="376">
        <v>1</v>
      </c>
      <c r="O45" s="490">
        <f t="array" aca="1" ref="O45:U48" ca="1">OFFSET(CalibData2!$C$12:$I$15,0,(CalIndex-1)*10)</f>
        <v>1</v>
      </c>
      <c r="P45" s="490">
        <f ca="1"/>
        <v>1</v>
      </c>
      <c r="Q45" s="490">
        <f ca="1"/>
        <v>1</v>
      </c>
      <c r="R45" s="490">
        <f ca="1"/>
        <v>1</v>
      </c>
      <c r="S45" s="490">
        <f ca="1"/>
        <v>1</v>
      </c>
      <c r="T45" s="490">
        <f ca="1"/>
        <v>1</v>
      </c>
      <c r="U45" s="490">
        <f ca="1"/>
        <v>1</v>
      </c>
    </row>
    <row r="46" spans="1:22" hidden="1">
      <c r="B46" s="376">
        <v>2</v>
      </c>
      <c r="C46" s="490">
        <f ca="1"/>
        <v>0</v>
      </c>
      <c r="D46" s="490">
        <f ca="1"/>
        <v>0</v>
      </c>
      <c r="E46" s="490">
        <f ca="1"/>
        <v>0</v>
      </c>
      <c r="F46" s="490">
        <f ca="1"/>
        <v>0</v>
      </c>
      <c r="G46" s="490">
        <f ca="1"/>
        <v>0</v>
      </c>
      <c r="H46" s="490">
        <f ca="1"/>
        <v>0</v>
      </c>
      <c r="I46" s="491">
        <v>1</v>
      </c>
      <c r="N46" s="376">
        <v>2</v>
      </c>
      <c r="O46" s="490">
        <f ca="1"/>
        <v>0</v>
      </c>
      <c r="P46" s="490">
        <f ca="1"/>
        <v>0</v>
      </c>
      <c r="Q46" s="490">
        <f ca="1"/>
        <v>0</v>
      </c>
      <c r="R46" s="490">
        <f ca="1"/>
        <v>0</v>
      </c>
      <c r="S46" s="490">
        <f ca="1"/>
        <v>0</v>
      </c>
      <c r="T46" s="490">
        <f ca="1"/>
        <v>0</v>
      </c>
      <c r="U46" s="490">
        <f ca="1"/>
        <v>0</v>
      </c>
    </row>
    <row r="47" spans="1:22" hidden="1">
      <c r="B47" s="376">
        <v>3</v>
      </c>
      <c r="C47" s="490">
        <f ca="1"/>
        <v>0</v>
      </c>
      <c r="D47" s="490">
        <f ca="1"/>
        <v>0</v>
      </c>
      <c r="E47" s="490">
        <f ca="1"/>
        <v>0</v>
      </c>
      <c r="F47" s="490">
        <f ca="1"/>
        <v>0</v>
      </c>
      <c r="G47" s="490">
        <f ca="1"/>
        <v>0</v>
      </c>
      <c r="H47" s="490">
        <f ca="1"/>
        <v>0</v>
      </c>
      <c r="I47" s="491">
        <v>1</v>
      </c>
      <c r="N47" s="376">
        <v>3</v>
      </c>
      <c r="O47" s="490">
        <f ca="1"/>
        <v>0</v>
      </c>
      <c r="P47" s="490">
        <f ca="1"/>
        <v>0</v>
      </c>
      <c r="Q47" s="490">
        <f ca="1"/>
        <v>0</v>
      </c>
      <c r="R47" s="490">
        <f ca="1"/>
        <v>0</v>
      </c>
      <c r="S47" s="490">
        <f ca="1"/>
        <v>0</v>
      </c>
      <c r="T47" s="490">
        <f ca="1"/>
        <v>0</v>
      </c>
      <c r="U47" s="490">
        <f ca="1"/>
        <v>0</v>
      </c>
    </row>
    <row r="48" spans="1:22" hidden="1">
      <c r="B48" s="376">
        <v>4</v>
      </c>
      <c r="C48" s="490">
        <f ca="1"/>
        <v>0</v>
      </c>
      <c r="D48" s="490">
        <f ca="1"/>
        <v>0</v>
      </c>
      <c r="E48" s="490">
        <f ca="1"/>
        <v>0</v>
      </c>
      <c r="F48" s="490">
        <f ca="1"/>
        <v>0</v>
      </c>
      <c r="G48" s="490">
        <f ca="1"/>
        <v>0</v>
      </c>
      <c r="H48" s="490">
        <f ca="1"/>
        <v>0</v>
      </c>
      <c r="I48" s="491">
        <v>1</v>
      </c>
      <c r="N48" s="376">
        <v>4</v>
      </c>
      <c r="O48" s="490">
        <f ca="1"/>
        <v>0</v>
      </c>
      <c r="P48" s="490">
        <f ca="1"/>
        <v>0</v>
      </c>
      <c r="Q48" s="490">
        <f ca="1"/>
        <v>0</v>
      </c>
      <c r="R48" s="490">
        <f ca="1"/>
        <v>0</v>
      </c>
      <c r="S48" s="490">
        <f ca="1"/>
        <v>0</v>
      </c>
      <c r="T48" s="490">
        <f ca="1"/>
        <v>0</v>
      </c>
      <c r="U48" s="490">
        <f ca="1"/>
        <v>0</v>
      </c>
    </row>
    <row r="49" spans="2:22" hidden="1"/>
    <row r="50" spans="2:22" hidden="1">
      <c r="D50" s="387">
        <v>1</v>
      </c>
      <c r="E50" s="387">
        <v>2</v>
      </c>
      <c r="F50" s="387">
        <v>3</v>
      </c>
      <c r="G50" s="387">
        <v>4</v>
      </c>
      <c r="H50" s="388"/>
      <c r="N50" s="435" t="s">
        <v>381</v>
      </c>
      <c r="P50" s="387">
        <v>1</v>
      </c>
      <c r="Q50" s="387">
        <v>2</v>
      </c>
      <c r="R50" s="387">
        <v>3</v>
      </c>
      <c r="S50" s="387">
        <v>4</v>
      </c>
    </row>
    <row r="51" spans="2:22" hidden="1">
      <c r="C51" s="492" t="s">
        <v>259</v>
      </c>
      <c r="D51" s="493">
        <f t="array" aca="1" ref="D51:G52" ca="1">OFFSET(CalibData2!$D$50:$G$51,0,(CalIndex-1)*10)</f>
        <v>0.65</v>
      </c>
      <c r="E51" s="493">
        <f ca="1"/>
        <v>0.47246836982896318</v>
      </c>
      <c r="F51" s="493">
        <f ca="1"/>
        <v>0.47246836982896318</v>
      </c>
      <c r="G51" s="493">
        <f ca="1"/>
        <v>0.47246836982896318</v>
      </c>
      <c r="N51" s="364" t="s">
        <v>259</v>
      </c>
      <c r="P51" s="493">
        <f t="array" aca="1" ref="P51:S51" ca="1">OFFSET(CalibData2!$D$97:$G$97,0,(CalIndex-1)*10)</f>
        <v>0.09</v>
      </c>
      <c r="Q51" s="493">
        <f ca="1"/>
        <v>0.1</v>
      </c>
      <c r="R51" s="493">
        <f ca="1"/>
        <v>0.1</v>
      </c>
      <c r="S51" s="493">
        <f ca="1"/>
        <v>0.1</v>
      </c>
    </row>
    <row r="52" spans="2:22" hidden="1">
      <c r="B52" s="364" t="s">
        <v>389</v>
      </c>
      <c r="C52" s="492" t="s">
        <v>384</v>
      </c>
      <c r="D52" s="493">
        <f ca="1"/>
        <v>0.33</v>
      </c>
      <c r="E52" s="493">
        <f ca="1"/>
        <v>0.18857142857142861</v>
      </c>
      <c r="F52" s="493">
        <f ca="1"/>
        <v>0.33</v>
      </c>
      <c r="G52" s="493">
        <f ca="1"/>
        <v>0.23571428571428574</v>
      </c>
      <c r="H52" s="409">
        <v>1</v>
      </c>
      <c r="I52" s="409">
        <v>2</v>
      </c>
      <c r="J52" s="409">
        <v>3</v>
      </c>
      <c r="K52" s="409">
        <v>4</v>
      </c>
      <c r="L52" s="410" t="s">
        <v>379</v>
      </c>
      <c r="P52" s="387">
        <v>1</v>
      </c>
      <c r="Q52" s="387">
        <v>2</v>
      </c>
      <c r="R52" s="387">
        <v>3</v>
      </c>
      <c r="S52" s="387">
        <v>4</v>
      </c>
      <c r="T52" s="388" t="s">
        <v>321</v>
      </c>
    </row>
    <row r="53" spans="2:22" hidden="1">
      <c r="B53" s="382" t="s">
        <v>254</v>
      </c>
      <c r="C53" s="494">
        <v>0.2</v>
      </c>
      <c r="D53" s="395">
        <f t="array" aca="1" ref="D53:G57" ca="1">ABS(1/(1/((1-D52:G52)^C53:C57*IF(IEAData2!$F90:$F94&gt;0,IEAData2!$G90:$G94/MMULT(IEAData2!$I90:$I94*TRANSPOSE(C45:G48)*(1-D52:G52)^C53:C57,I45:I48),1))-1))</f>
        <v>1.7142462611993099</v>
      </c>
      <c r="E53" s="396">
        <f ca="1"/>
        <v>1.908959774589245</v>
      </c>
      <c r="F53" s="396">
        <f ca="1"/>
        <v>1.7142462611993099</v>
      </c>
      <c r="G53" s="397">
        <f ca="1"/>
        <v>1.8443481417537784</v>
      </c>
      <c r="H53" s="495">
        <f t="array" aca="1" ref="H53:K57" ca="1">TRANSPOSE(C45:G48)*IEAData2!$I$90:$I$94*D53:G57/(D53:G57+1)*L53:L57</f>
        <v>1.4365176822530541</v>
      </c>
      <c r="I53" s="496">
        <f ca="1"/>
        <v>0</v>
      </c>
      <c r="J53" s="496">
        <f ca="1"/>
        <v>0</v>
      </c>
      <c r="K53" s="497">
        <f ca="1"/>
        <v>0</v>
      </c>
      <c r="L53" s="498">
        <f t="array" aca="1" ref="L53:L57" ca="1">OFFSET(CalibData2!$J$61:$J$65,0,(CalIndex-1)*10)</f>
        <v>1.7</v>
      </c>
      <c r="O53" s="499">
        <v>0.75</v>
      </c>
      <c r="P53" s="500">
        <f t="array" aca="1" ref="P53:S53" ca="1">TRANSPOSE(MMULT(O45:S48/TRANSPOSE(O53:O57),IEAData2!$C101:$C105*IEAData2!$H101:$H105))/P51:S51/$C$14*1000</f>
        <v>2300.7988711265398</v>
      </c>
      <c r="Q53" s="501">
        <f ca="1"/>
        <v>0</v>
      </c>
      <c r="R53" s="501">
        <f ca="1"/>
        <v>0</v>
      </c>
      <c r="S53" s="502">
        <f ca="1"/>
        <v>0</v>
      </c>
      <c r="T53" s="386">
        <f ca="1">SUM(P53:S53)</f>
        <v>2300.7988711265398</v>
      </c>
    </row>
    <row r="54" spans="2:22" hidden="1">
      <c r="B54" s="382" t="s">
        <v>255</v>
      </c>
      <c r="C54" s="494">
        <v>1</v>
      </c>
      <c r="D54" s="398">
        <f ca="1"/>
        <v>1.0073977886073491</v>
      </c>
      <c r="E54" s="399">
        <f ca="1"/>
        <v>1.5495589502006679</v>
      </c>
      <c r="F54" s="399">
        <f ca="1"/>
        <v>1.0073977886073491</v>
      </c>
      <c r="G54" s="400">
        <f ca="1"/>
        <v>1.3389865571011612</v>
      </c>
      <c r="H54" s="503">
        <f ca="1"/>
        <v>18.809211748261845</v>
      </c>
      <c r="I54" s="504">
        <f ca="1"/>
        <v>0</v>
      </c>
      <c r="J54" s="504">
        <f ca="1"/>
        <v>0</v>
      </c>
      <c r="K54" s="505">
        <f ca="1"/>
        <v>0</v>
      </c>
      <c r="L54" s="413">
        <f ca="1"/>
        <v>0.83</v>
      </c>
      <c r="O54" s="494">
        <v>1</v>
      </c>
      <c r="P54" s="500">
        <f t="array" aca="1" ref="P54:S54" ca="1">TRANSPOSE(MMULT(O45:S48,V62:V66*IEAData2!$G101:$G105))</f>
        <v>13.774901978209531</v>
      </c>
      <c r="Q54" s="501">
        <f ca="1"/>
        <v>0</v>
      </c>
      <c r="R54" s="501">
        <f ca="1"/>
        <v>0</v>
      </c>
      <c r="S54" s="502">
        <f ca="1"/>
        <v>0</v>
      </c>
      <c r="T54" s="386"/>
    </row>
    <row r="55" spans="2:22" hidden="1">
      <c r="B55" s="382" t="s">
        <v>256</v>
      </c>
      <c r="C55" s="494">
        <v>1</v>
      </c>
      <c r="D55" s="398">
        <f ca="1"/>
        <v>1.8380826719811227</v>
      </c>
      <c r="E55" s="399">
        <f ca="1"/>
        <v>3.6373606552394091</v>
      </c>
      <c r="F55" s="399">
        <f ca="1"/>
        <v>1.8380826719811227</v>
      </c>
      <c r="G55" s="400">
        <f ca="1"/>
        <v>2.8283356013396683</v>
      </c>
      <c r="H55" s="503">
        <f ca="1"/>
        <v>17.535356594556301</v>
      </c>
      <c r="I55" s="504">
        <f ca="1"/>
        <v>0</v>
      </c>
      <c r="J55" s="504">
        <f ca="1"/>
        <v>0</v>
      </c>
      <c r="K55" s="505">
        <f ca="1"/>
        <v>0</v>
      </c>
      <c r="L55" s="413">
        <f ca="1"/>
        <v>1.3</v>
      </c>
      <c r="O55" s="499">
        <v>1.5</v>
      </c>
      <c r="P55" s="428"/>
      <c r="Q55" s="428"/>
      <c r="R55" s="428"/>
      <c r="S55" s="428"/>
      <c r="T55" s="386"/>
    </row>
    <row r="56" spans="2:22" hidden="1">
      <c r="B56" s="382" t="s">
        <v>347</v>
      </c>
      <c r="C56" s="494">
        <v>1</v>
      </c>
      <c r="D56" s="398">
        <f ca="1"/>
        <v>2.0303030303030298</v>
      </c>
      <c r="E56" s="399">
        <f ca="1"/>
        <v>4.3030303030303001</v>
      </c>
      <c r="F56" s="399">
        <f ca="1"/>
        <v>2.0303030303030298</v>
      </c>
      <c r="G56" s="400">
        <f ca="1"/>
        <v>3.2424242424242409</v>
      </c>
      <c r="H56" s="503">
        <f ca="1"/>
        <v>0.26261442854256956</v>
      </c>
      <c r="I56" s="504">
        <f ca="1"/>
        <v>0</v>
      </c>
      <c r="J56" s="504">
        <f ca="1"/>
        <v>0</v>
      </c>
      <c r="K56" s="505">
        <f ca="1"/>
        <v>0</v>
      </c>
      <c r="L56" s="413">
        <f ca="1"/>
        <v>1</v>
      </c>
      <c r="O56" s="499">
        <v>2</v>
      </c>
      <c r="P56" s="428"/>
      <c r="Q56" s="428"/>
      <c r="R56" s="428"/>
      <c r="S56" s="428"/>
      <c r="T56" s="386"/>
    </row>
    <row r="57" spans="2:22" hidden="1">
      <c r="B57" s="382" t="s">
        <v>257</v>
      </c>
      <c r="C57" s="494">
        <v>1</v>
      </c>
      <c r="D57" s="401">
        <f ca="1"/>
        <v>2.4122230077303333</v>
      </c>
      <c r="E57" s="402">
        <f ca="1"/>
        <v>5.9522269919091375</v>
      </c>
      <c r="F57" s="402">
        <f ca="1"/>
        <v>2.4122230077303333</v>
      </c>
      <c r="G57" s="403">
        <f ca="1"/>
        <v>4.1658079314358147</v>
      </c>
      <c r="H57" s="506">
        <f ca="1"/>
        <v>0.61114288451888488</v>
      </c>
      <c r="I57" s="507">
        <f ca="1"/>
        <v>0</v>
      </c>
      <c r="J57" s="507">
        <f ca="1"/>
        <v>0</v>
      </c>
      <c r="K57" s="508">
        <f ca="1"/>
        <v>0</v>
      </c>
      <c r="L57" s="509">
        <f ca="1"/>
        <v>4</v>
      </c>
      <c r="O57" s="499">
        <v>2.4</v>
      </c>
      <c r="P57" s="428"/>
      <c r="Q57" s="428"/>
      <c r="R57" s="428"/>
      <c r="S57" s="428"/>
      <c r="T57" s="386"/>
    </row>
    <row r="58" spans="2:22" hidden="1">
      <c r="H58" s="421">
        <f ca="1">SUM(H53:H57)</f>
        <v>38.654843338132657</v>
      </c>
      <c r="I58" s="421">
        <f ca="1">SUM(I53:I57)</f>
        <v>0</v>
      </c>
      <c r="J58" s="421">
        <f ca="1">SUM(J53:J57)</f>
        <v>0</v>
      </c>
      <c r="K58" s="421">
        <f ca="1">SUM(K53:K57)</f>
        <v>0</v>
      </c>
    </row>
    <row r="59" spans="2:22" hidden="1">
      <c r="B59" s="364" t="s">
        <v>377</v>
      </c>
      <c r="D59" s="404">
        <f t="array" aca="1" ref="D59:G59" ca="1">TRANSPOSE(MMULT(C45:G48/TRANSPOSE(1+1/D53:G57),IEAData2!$C90:$C94*IEAData2!$H90:$H94))/D51:G51/$C14*1000</f>
        <v>1825.06182406843</v>
      </c>
      <c r="E59" s="405">
        <f ca="1"/>
        <v>0</v>
      </c>
      <c r="F59" s="405">
        <f ca="1"/>
        <v>0</v>
      </c>
      <c r="G59" s="406">
        <f ca="1"/>
        <v>0</v>
      </c>
      <c r="H59" s="407">
        <f ca="1">SUM(D59:G59)</f>
        <v>1825.06182406843</v>
      </c>
      <c r="N59" s="435" t="s">
        <v>381</v>
      </c>
      <c r="P59" s="387">
        <v>1</v>
      </c>
      <c r="Q59" s="387">
        <v>2</v>
      </c>
      <c r="R59" s="387">
        <v>3</v>
      </c>
      <c r="S59" s="387">
        <v>4</v>
      </c>
      <c r="T59" s="388" t="s">
        <v>321</v>
      </c>
    </row>
    <row r="60" spans="2:22" hidden="1">
      <c r="D60" s="408">
        <f t="array" aca="1" ref="D60" ca="1">SUM(OFFSET($D$102,D50*4-3,0,4)*D54:D57/(1+D54:D57))</f>
        <v>2278.2305489373434</v>
      </c>
      <c r="E60" s="408">
        <f t="array" aca="1" ref="E60" ca="1">SUM(OFFSET($D$102,E50*4-3,0,4)*E54:E57/(1+E54:E57))</f>
        <v>0</v>
      </c>
      <c r="F60" s="408">
        <f t="array" aca="1" ref="F60" ca="1">SUM(OFFSET($D$102,F50*4-3,0,4)*F54:F57/(1+F54:F57))</f>
        <v>0</v>
      </c>
      <c r="G60" s="408">
        <f t="array" aca="1" ref="G60" ca="1">SUM(OFFSET($D$102,G50*4-3,0,4)*G54:G57/(1+G54:G57))</f>
        <v>0</v>
      </c>
      <c r="H60" s="407">
        <f ca="1">SUM(D60:G60)</f>
        <v>2278.2305489373434</v>
      </c>
      <c r="K60" s="388" t="s">
        <v>385</v>
      </c>
      <c r="N60" s="364" t="s">
        <v>52</v>
      </c>
      <c r="P60" s="510">
        <f t="array" ref="P60:S60" ca="1">P53:S53</f>
        <v>2300.7988711265398</v>
      </c>
      <c r="Q60" s="511">
        <f ca="1"/>
        <v>0</v>
      </c>
      <c r="R60" s="511">
        <f ca="1"/>
        <v>0</v>
      </c>
      <c r="S60" s="512">
        <f ca="1"/>
        <v>0</v>
      </c>
      <c r="T60" s="386">
        <f ca="1">SUM(P60:S60)</f>
        <v>2300.7988711265398</v>
      </c>
    </row>
    <row r="61" spans="2:22" hidden="1">
      <c r="B61" s="364" t="s">
        <v>352</v>
      </c>
      <c r="D61" s="409">
        <v>1</v>
      </c>
      <c r="E61" s="409">
        <v>2</v>
      </c>
      <c r="F61" s="409">
        <v>3</v>
      </c>
      <c r="G61" s="409">
        <v>4</v>
      </c>
      <c r="H61" s="410" t="s">
        <v>377</v>
      </c>
      <c r="I61" s="409" t="s">
        <v>378</v>
      </c>
      <c r="J61" s="411" t="s">
        <v>387</v>
      </c>
      <c r="K61" s="409" t="s">
        <v>375</v>
      </c>
      <c r="N61" s="364" t="s">
        <v>381</v>
      </c>
      <c r="P61" s="409">
        <v>1</v>
      </c>
      <c r="Q61" s="409">
        <v>2</v>
      </c>
      <c r="R61" s="409">
        <v>3</v>
      </c>
      <c r="S61" s="409">
        <v>4</v>
      </c>
      <c r="T61" s="410" t="s">
        <v>377</v>
      </c>
      <c r="V61" s="411" t="s">
        <v>379</v>
      </c>
    </row>
    <row r="62" spans="2:22" hidden="1">
      <c r="B62" s="382" t="s">
        <v>254</v>
      </c>
      <c r="D62" s="513">
        <f t="array" aca="1" ref="D62:G66" ca="1">H53:K57/(H58:K58+Tiny)*D59:G59*(1+1/D53:G57)</f>
        <v>107.38921722854317</v>
      </c>
      <c r="E62" s="514">
        <f ca="1"/>
        <v>0</v>
      </c>
      <c r="F62" s="514">
        <f ca="1"/>
        <v>0</v>
      </c>
      <c r="G62" s="515">
        <f ca="1"/>
        <v>0</v>
      </c>
      <c r="H62" s="516">
        <f ca="1">SUMPRODUCT($H53:$K53/($H$58:$K$58+Tiny),$D$59:$G$59)</f>
        <v>67.824193684551091</v>
      </c>
      <c r="I62" s="517">
        <f ca="1">SUMPRODUCT($H53:$K53/($H$58:$K$58+Tiny),$D$59:$G$59/$D53:$G53)</f>
        <v>39.565023543992076</v>
      </c>
      <c r="J62" s="518">
        <f ca="1">SUM(D62:G62)</f>
        <v>107.38921722854317</v>
      </c>
      <c r="K62" s="519">
        <f t="array" aca="1" ref="K62:K66" ca="1">OFFSET(CalibData2!$K$61:$K$65,0,(CalIndex-1)*10)</f>
        <v>135</v>
      </c>
      <c r="N62" s="382" t="s">
        <v>254</v>
      </c>
      <c r="P62" s="440">
        <f t="array" aca="1" ref="P62:S66" ca="1">IEAData2!$G101:$G105*TRANSPOSE(O45:S48)*V62:V66/(P54:S54+Tiny)*P53:S53</f>
        <v>429.56656349359258</v>
      </c>
      <c r="Q62" s="440">
        <f ca="1"/>
        <v>0</v>
      </c>
      <c r="R62" s="440">
        <f ca="1"/>
        <v>0</v>
      </c>
      <c r="S62" s="440">
        <f ca="1"/>
        <v>0</v>
      </c>
      <c r="T62" s="386">
        <f ca="1">SUM(P62:S62)</f>
        <v>429.56656349359258</v>
      </c>
      <c r="V62" s="416">
        <f t="array" aca="1" ref="V62:V66" ca="1">OFFSET(CalibData2!$J$102:$J$106,0,(CalIndex-1)*10)</f>
        <v>7.5</v>
      </c>
    </row>
    <row r="63" spans="2:22" hidden="1">
      <c r="B63" s="382" t="s">
        <v>255</v>
      </c>
      <c r="D63" s="520">
        <f ca="1"/>
        <v>1769.606509289034</v>
      </c>
      <c r="E63" s="521">
        <f ca="1"/>
        <v>0</v>
      </c>
      <c r="F63" s="521">
        <f ca="1"/>
        <v>0</v>
      </c>
      <c r="G63" s="522">
        <f ca="1"/>
        <v>0</v>
      </c>
      <c r="H63" s="523">
        <f ca="1">SUMPRODUCT($H54:$K54/($H$58:$K$58+Tiny),$D$59:$G$59)</f>
        <v>888.06398725770555</v>
      </c>
      <c r="I63" s="524">
        <f ca="1">SUMPRODUCT($H54:$K54/($H$58:$K$58+Tiny),$D$59:$G$59/$D54:$G54)</f>
        <v>881.5425220313283</v>
      </c>
      <c r="J63" s="518">
        <f ca="1">SUM(D63:G63)</f>
        <v>1769.606509289034</v>
      </c>
      <c r="K63" s="525">
        <f ca="1"/>
        <v>1085.4000000000001</v>
      </c>
      <c r="N63" s="382" t="s">
        <v>255</v>
      </c>
      <c r="P63" s="440">
        <f ca="1"/>
        <v>1466.8821304786309</v>
      </c>
      <c r="Q63" s="440">
        <f ca="1"/>
        <v>0</v>
      </c>
      <c r="R63" s="440">
        <f ca="1"/>
        <v>0</v>
      </c>
      <c r="S63" s="440">
        <f ca="1"/>
        <v>0</v>
      </c>
      <c r="T63" s="386">
        <f ca="1">SUM(P63:S63)</f>
        <v>1466.8821304786309</v>
      </c>
      <c r="V63" s="416">
        <f ca="1"/>
        <v>2</v>
      </c>
    </row>
    <row r="64" spans="2:22" hidden="1">
      <c r="B64" s="382" t="s">
        <v>256</v>
      </c>
      <c r="D64" s="520">
        <f ca="1"/>
        <v>1278.3455574957127</v>
      </c>
      <c r="E64" s="521">
        <f ca="1"/>
        <v>0</v>
      </c>
      <c r="F64" s="521">
        <f ca="1"/>
        <v>0</v>
      </c>
      <c r="G64" s="522">
        <f ca="1"/>
        <v>0</v>
      </c>
      <c r="H64" s="523">
        <f ca="1">SUMPRODUCT($H55:$K55/($H$58:$K$58+Tiny),$D$59:$G$59)</f>
        <v>827.91979290607026</v>
      </c>
      <c r="I64" s="524">
        <f ca="1">SUMPRODUCT($H55:$K55/($H$58:$K$58+Tiny),$D$59:$G$59/$D55:$G55)</f>
        <v>450.42576458964248</v>
      </c>
      <c r="J64" s="518">
        <f ca="1">SUM(D64:G64)</f>
        <v>1278.3455574957127</v>
      </c>
      <c r="K64" s="525">
        <f ca="1"/>
        <v>463</v>
      </c>
      <c r="N64" s="382" t="s">
        <v>256</v>
      </c>
      <c r="P64" s="440">
        <f ca="1"/>
        <v>370.54174522183018</v>
      </c>
      <c r="Q64" s="440">
        <f ca="1"/>
        <v>0</v>
      </c>
      <c r="R64" s="440">
        <f ca="1"/>
        <v>0</v>
      </c>
      <c r="S64" s="440">
        <f ca="1"/>
        <v>0</v>
      </c>
      <c r="T64" s="386">
        <f ca="1">SUM(P64:S64)</f>
        <v>370.54174522183018</v>
      </c>
      <c r="V64" s="416">
        <f ca="1"/>
        <v>1</v>
      </c>
    </row>
    <row r="65" spans="1:22" hidden="1">
      <c r="B65" s="382" t="s">
        <v>347</v>
      </c>
      <c r="D65" s="520">
        <f ca="1"/>
        <v>18.506208207919343</v>
      </c>
      <c r="E65" s="521">
        <f ca="1"/>
        <v>0</v>
      </c>
      <c r="F65" s="521">
        <f ca="1"/>
        <v>0</v>
      </c>
      <c r="G65" s="522">
        <f ca="1"/>
        <v>0</v>
      </c>
      <c r="H65" s="523">
        <f ca="1">SUMPRODUCT($H56:$K56/($H$58:$K$58+Tiny),$D$59:$G$59)</f>
        <v>12.399159499305959</v>
      </c>
      <c r="I65" s="524">
        <f ca="1">SUMPRODUCT($H56:$K56/($H$58:$K$58+Tiny),$D$59:$G$59/$D56:$G56)</f>
        <v>6.1070487086133847</v>
      </c>
      <c r="J65" s="518">
        <f ca="1">SUM(D65:G65)</f>
        <v>18.506208207919343</v>
      </c>
      <c r="K65" s="525">
        <f ca="1"/>
        <v>0</v>
      </c>
      <c r="N65" s="382" t="s">
        <v>347</v>
      </c>
      <c r="P65" s="440">
        <f ca="1"/>
        <v>6.3444600596916052</v>
      </c>
      <c r="Q65" s="440">
        <f ca="1"/>
        <v>0</v>
      </c>
      <c r="R65" s="440">
        <f ca="1"/>
        <v>0</v>
      </c>
      <c r="S65" s="440">
        <f ca="1"/>
        <v>0</v>
      </c>
      <c r="T65" s="386">
        <f ca="1">SUM(P65:S65)</f>
        <v>6.3444600596916052</v>
      </c>
      <c r="V65" s="416">
        <f ca="1"/>
        <v>0.6</v>
      </c>
    </row>
    <row r="66" spans="1:22" hidden="1">
      <c r="B66" s="382" t="s">
        <v>257</v>
      </c>
      <c r="D66" s="526">
        <f ca="1"/>
        <v>40.81655762415653</v>
      </c>
      <c r="E66" s="527">
        <f ca="1"/>
        <v>0</v>
      </c>
      <c r="F66" s="527">
        <f ca="1"/>
        <v>0</v>
      </c>
      <c r="G66" s="528">
        <f ca="1"/>
        <v>0</v>
      </c>
      <c r="H66" s="523">
        <f ca="1">SUMPRODUCT($H57:$K57/($H$58:$K$58+Tiny),$D$59:$G$59)</f>
        <v>28.854690673582869</v>
      </c>
      <c r="I66" s="529">
        <f ca="1">SUMPRODUCT($H57:$K57/($H$58:$K$58+Tiny),$D$59:$G$59/$D57:$G57)</f>
        <v>11.961866950573663</v>
      </c>
      <c r="J66" s="518">
        <f ca="1">SUM(D66:G66)</f>
        <v>40.81655762415653</v>
      </c>
      <c r="K66" s="530">
        <f ca="1"/>
        <v>20</v>
      </c>
      <c r="N66" s="382" t="s">
        <v>257</v>
      </c>
      <c r="P66" s="440">
        <f ca="1"/>
        <v>27.463971705766248</v>
      </c>
      <c r="Q66" s="440">
        <f ca="1"/>
        <v>0</v>
      </c>
      <c r="R66" s="440">
        <f ca="1"/>
        <v>0</v>
      </c>
      <c r="S66" s="440">
        <f ca="1"/>
        <v>0</v>
      </c>
      <c r="T66" s="386">
        <f ca="1">SUM(P66:S66)</f>
        <v>27.463971705766248</v>
      </c>
      <c r="V66" s="416">
        <f ca="1"/>
        <v>0.4</v>
      </c>
    </row>
    <row r="67" spans="1:22" hidden="1">
      <c r="B67" s="364" t="s">
        <v>52</v>
      </c>
      <c r="D67" s="385">
        <f t="shared" ref="D67:K67" ca="1" si="3">SUM(D62:D66)</f>
        <v>3214.6640498453653</v>
      </c>
      <c r="E67" s="385">
        <f t="shared" ca="1" si="3"/>
        <v>0</v>
      </c>
      <c r="F67" s="385">
        <f t="shared" ca="1" si="3"/>
        <v>0</v>
      </c>
      <c r="G67" s="385">
        <f t="shared" ca="1" si="3"/>
        <v>0</v>
      </c>
      <c r="H67" s="531">
        <f t="shared" ca="1" si="3"/>
        <v>1825.0618240212159</v>
      </c>
      <c r="I67" s="532">
        <f t="shared" ca="1" si="3"/>
        <v>1389.6022258241499</v>
      </c>
      <c r="J67" s="533">
        <f t="shared" ca="1" si="3"/>
        <v>3214.6640498453653</v>
      </c>
      <c r="K67" s="423">
        <f t="shared" ca="1" si="3"/>
        <v>1703.4</v>
      </c>
      <c r="N67" s="364" t="s">
        <v>52</v>
      </c>
      <c r="P67" s="385">
        <f ca="1">SUM(P62:P66)</f>
        <v>2300.7988709595115</v>
      </c>
      <c r="Q67" s="385">
        <f ca="1">SUM(Q62:Q66)</f>
        <v>0</v>
      </c>
      <c r="R67" s="385">
        <f ca="1">SUM(R62:R66)</f>
        <v>0</v>
      </c>
      <c r="S67" s="385">
        <f ca="1">SUM(S62:S66)</f>
        <v>0</v>
      </c>
      <c r="T67" s="385">
        <f ca="1">SUM(T62:T66)</f>
        <v>2300.7988709595115</v>
      </c>
      <c r="V67" s="422"/>
    </row>
    <row r="68" spans="1:22" hidden="1">
      <c r="D68" s="534"/>
      <c r="E68" s="534"/>
      <c r="F68" s="534"/>
      <c r="G68" s="534"/>
      <c r="H68" s="535"/>
      <c r="I68" s="535"/>
      <c r="J68" s="535"/>
      <c r="K68" s="535"/>
      <c r="P68" s="534"/>
      <c r="Q68" s="534"/>
      <c r="R68" s="534"/>
      <c r="S68" s="534"/>
      <c r="T68" s="534"/>
      <c r="V68" s="536"/>
    </row>
    <row r="69" spans="1:22" hidden="1">
      <c r="B69" s="364" t="s">
        <v>421</v>
      </c>
      <c r="C69" s="364" t="s">
        <v>158</v>
      </c>
      <c r="D69" s="504">
        <f t="array" aca="1" ref="D69:G69" ca="1">TRANSPOSE(MMULT(C45:G48/(1+TRANSPOSE(D53:G57)),IEAData2!H90:H94*IEAData2!C90:C94))+TRANSPOSE($H$45:$H$48)*IEAData2!$F$95</f>
        <v>30.52331318884978</v>
      </c>
      <c r="E69" s="504">
        <f ca="1"/>
        <v>0</v>
      </c>
      <c r="F69" s="504">
        <f ca="1"/>
        <v>0</v>
      </c>
      <c r="G69" s="504">
        <f ca="1"/>
        <v>0</v>
      </c>
      <c r="H69" s="537">
        <f ca="1">SUM(D69:G69)</f>
        <v>30.52331318884978</v>
      </c>
      <c r="I69" s="535"/>
      <c r="J69" s="535"/>
      <c r="K69" s="535"/>
      <c r="N69" s="364" t="s">
        <v>422</v>
      </c>
      <c r="O69" s="364" t="s">
        <v>349</v>
      </c>
      <c r="P69" s="504">
        <f t="array" aca="1" ref="P69:S69" ca="1">TRANSPOSE(MMULT(O45:U48,IEAData2!H101:H107*IEAData2!C101:C107))</f>
        <v>8.0153999940939435</v>
      </c>
      <c r="Q69" s="504">
        <f ca="1"/>
        <v>0</v>
      </c>
      <c r="R69" s="504">
        <f ca="1"/>
        <v>0</v>
      </c>
      <c r="S69" s="504">
        <f ca="1"/>
        <v>0</v>
      </c>
      <c r="T69" s="537">
        <f ca="1">SUM(P69:S69)</f>
        <v>8.0153999940939435</v>
      </c>
      <c r="V69" s="538" t="s">
        <v>571</v>
      </c>
    </row>
    <row r="70" spans="1:22" hidden="1">
      <c r="C70" s="364" t="s">
        <v>138</v>
      </c>
      <c r="D70" s="412">
        <f t="array" aca="1" ref="D70:G70" ca="1">TRANSPOSE(MMULT(C45:G48,IEAData2!H90:H94*IEAData2!C90:C94))+TRANSPOSE($H$45:$H$48)*IEAData2!$I$95-D69:G69</f>
        <v>37.416852594896937</v>
      </c>
      <c r="E70" s="412">
        <f ca="1"/>
        <v>0</v>
      </c>
      <c r="F70" s="412">
        <f ca="1"/>
        <v>0</v>
      </c>
      <c r="G70" s="412">
        <f ca="1"/>
        <v>0</v>
      </c>
      <c r="H70" s="537">
        <f ca="1">SUM(D70:G70)</f>
        <v>37.416852594896937</v>
      </c>
      <c r="I70" s="535"/>
      <c r="J70" s="535"/>
      <c r="K70" s="535"/>
      <c r="O70" s="364" t="s">
        <v>673</v>
      </c>
      <c r="P70" s="504">
        <f t="array" ref="P70:S70" ca="1">D70:G70+P69:S69</f>
        <v>45.432252588990877</v>
      </c>
      <c r="Q70" s="504">
        <f ca="1"/>
        <v>0</v>
      </c>
      <c r="R70" s="504">
        <f ca="1"/>
        <v>0</v>
      </c>
      <c r="S70" s="504">
        <f ca="1"/>
        <v>0</v>
      </c>
      <c r="T70" s="537">
        <f ca="1">MAX(0.001,SUM(P70:S70))</f>
        <v>45.432252588990877</v>
      </c>
      <c r="V70" s="539">
        <f ca="1">SUM(P70,R70)</f>
        <v>45.432252588990877</v>
      </c>
    </row>
    <row r="71" spans="1:22" hidden="1"/>
    <row r="72" spans="1:22" hidden="1">
      <c r="A72" s="487"/>
      <c r="B72" s="488" t="s">
        <v>352</v>
      </c>
      <c r="C72" s="487"/>
      <c r="D72" s="489">
        <f ca="1">AuxYear</f>
        <v>2017</v>
      </c>
      <c r="E72" s="487"/>
      <c r="F72" s="487"/>
      <c r="G72" s="487"/>
      <c r="H72" s="487"/>
      <c r="I72" s="487"/>
      <c r="J72" s="487"/>
      <c r="K72" s="487"/>
      <c r="L72" s="487"/>
      <c r="M72" s="487"/>
      <c r="N72" s="488" t="s">
        <v>381</v>
      </c>
      <c r="O72" s="487"/>
      <c r="P72" s="489">
        <f ca="1">AuxYear</f>
        <v>2017</v>
      </c>
      <c r="Q72" s="487"/>
      <c r="R72" s="487"/>
      <c r="S72" s="487"/>
      <c r="T72" s="487"/>
      <c r="U72" s="487"/>
      <c r="V72" s="487"/>
    </row>
    <row r="73" spans="1:22" hidden="1"/>
    <row r="74" spans="1:22" hidden="1">
      <c r="B74" s="373" t="s">
        <v>37</v>
      </c>
      <c r="C74" s="379" t="s">
        <v>254</v>
      </c>
      <c r="D74" s="379" t="s">
        <v>255</v>
      </c>
      <c r="E74" s="379" t="s">
        <v>256</v>
      </c>
      <c r="F74" s="379" t="s">
        <v>347</v>
      </c>
      <c r="G74" s="379" t="s">
        <v>348</v>
      </c>
      <c r="H74" s="379" t="s">
        <v>597</v>
      </c>
      <c r="N74" s="373" t="s">
        <v>349</v>
      </c>
      <c r="O74" s="379" t="s">
        <v>254</v>
      </c>
      <c r="P74" s="379" t="s">
        <v>255</v>
      </c>
      <c r="Q74" s="379" t="s">
        <v>256</v>
      </c>
      <c r="R74" s="379" t="s">
        <v>347</v>
      </c>
      <c r="S74" s="379" t="s">
        <v>348</v>
      </c>
      <c r="T74" s="379" t="s">
        <v>597</v>
      </c>
      <c r="U74" s="379" t="s">
        <v>598</v>
      </c>
    </row>
    <row r="75" spans="1:22" hidden="1">
      <c r="B75" s="376">
        <v>1</v>
      </c>
      <c r="C75" s="490">
        <f t="array" aca="1" ref="C75:H78" ca="1">OFFSET(CalibData2!$C$18:$H$21,0,(CalIndex-1)*10)</f>
        <v>1</v>
      </c>
      <c r="D75" s="490">
        <f ca="1"/>
        <v>1</v>
      </c>
      <c r="E75" s="490">
        <f ca="1"/>
        <v>1</v>
      </c>
      <c r="F75" s="490">
        <f ca="1"/>
        <v>1</v>
      </c>
      <c r="G75" s="490">
        <f ca="1"/>
        <v>1</v>
      </c>
      <c r="H75" s="490">
        <f ca="1"/>
        <v>1</v>
      </c>
      <c r="I75" s="491">
        <v>1</v>
      </c>
      <c r="N75" s="376">
        <v>1</v>
      </c>
      <c r="O75" s="490">
        <f t="array" aca="1" ref="O75:U78" ca="1">OFFSET(CalibData2!$C$24:$I$27,0,(CalIndex-1)*10)</f>
        <v>1</v>
      </c>
      <c r="P75" s="490">
        <f ca="1"/>
        <v>1</v>
      </c>
      <c r="Q75" s="490">
        <f ca="1"/>
        <v>1</v>
      </c>
      <c r="R75" s="490">
        <f ca="1"/>
        <v>1</v>
      </c>
      <c r="S75" s="490">
        <f ca="1"/>
        <v>1</v>
      </c>
      <c r="T75" s="490">
        <f ca="1"/>
        <v>1</v>
      </c>
      <c r="U75" s="490">
        <f ca="1"/>
        <v>1</v>
      </c>
    </row>
    <row r="76" spans="1:22" hidden="1">
      <c r="B76" s="376">
        <v>2</v>
      </c>
      <c r="C76" s="490">
        <f ca="1"/>
        <v>0</v>
      </c>
      <c r="D76" s="490">
        <f ca="1"/>
        <v>0</v>
      </c>
      <c r="E76" s="490">
        <f ca="1"/>
        <v>0</v>
      </c>
      <c r="F76" s="490">
        <f ca="1"/>
        <v>0</v>
      </c>
      <c r="G76" s="490">
        <f ca="1"/>
        <v>0</v>
      </c>
      <c r="H76" s="490">
        <f ca="1"/>
        <v>0</v>
      </c>
      <c r="I76" s="491">
        <v>1</v>
      </c>
      <c r="N76" s="376">
        <v>2</v>
      </c>
      <c r="O76" s="490">
        <f ca="1"/>
        <v>0</v>
      </c>
      <c r="P76" s="490">
        <f ca="1"/>
        <v>0</v>
      </c>
      <c r="Q76" s="490">
        <f ca="1"/>
        <v>0</v>
      </c>
      <c r="R76" s="490">
        <f ca="1"/>
        <v>0</v>
      </c>
      <c r="S76" s="490">
        <f ca="1"/>
        <v>0</v>
      </c>
      <c r="T76" s="490">
        <f ca="1"/>
        <v>0</v>
      </c>
      <c r="U76" s="490">
        <f ca="1"/>
        <v>0</v>
      </c>
    </row>
    <row r="77" spans="1:22" hidden="1">
      <c r="B77" s="376">
        <v>3</v>
      </c>
      <c r="C77" s="490">
        <f ca="1"/>
        <v>0</v>
      </c>
      <c r="D77" s="490">
        <f ca="1"/>
        <v>0</v>
      </c>
      <c r="E77" s="490">
        <f ca="1"/>
        <v>0</v>
      </c>
      <c r="F77" s="490">
        <f ca="1"/>
        <v>0</v>
      </c>
      <c r="G77" s="490">
        <f ca="1"/>
        <v>0</v>
      </c>
      <c r="H77" s="490">
        <f ca="1"/>
        <v>0</v>
      </c>
      <c r="I77" s="491">
        <v>1</v>
      </c>
      <c r="N77" s="376">
        <v>3</v>
      </c>
      <c r="O77" s="490">
        <f ca="1"/>
        <v>0</v>
      </c>
      <c r="P77" s="490">
        <f ca="1"/>
        <v>0</v>
      </c>
      <c r="Q77" s="490">
        <f ca="1"/>
        <v>0</v>
      </c>
      <c r="R77" s="490">
        <f ca="1"/>
        <v>0</v>
      </c>
      <c r="S77" s="490">
        <f ca="1"/>
        <v>0</v>
      </c>
      <c r="T77" s="490">
        <f ca="1"/>
        <v>0</v>
      </c>
      <c r="U77" s="540">
        <f ca="1"/>
        <v>0</v>
      </c>
    </row>
    <row r="78" spans="1:22" hidden="1">
      <c r="B78" s="376">
        <v>4</v>
      </c>
      <c r="C78" s="490">
        <f ca="1"/>
        <v>0</v>
      </c>
      <c r="D78" s="540">
        <f ca="1"/>
        <v>0</v>
      </c>
      <c r="E78" s="490">
        <f ca="1"/>
        <v>0</v>
      </c>
      <c r="F78" s="490">
        <f ca="1"/>
        <v>0</v>
      </c>
      <c r="G78" s="490">
        <f ca="1"/>
        <v>0</v>
      </c>
      <c r="H78" s="490">
        <f ca="1"/>
        <v>0</v>
      </c>
      <c r="I78" s="491">
        <v>1</v>
      </c>
      <c r="K78" s="541"/>
      <c r="N78" s="376">
        <v>4</v>
      </c>
      <c r="O78" s="490">
        <f ca="1"/>
        <v>0</v>
      </c>
      <c r="P78" s="490">
        <f ca="1"/>
        <v>0</v>
      </c>
      <c r="Q78" s="490">
        <f ca="1"/>
        <v>0</v>
      </c>
      <c r="R78" s="490">
        <f ca="1"/>
        <v>0</v>
      </c>
      <c r="S78" s="490">
        <f ca="1"/>
        <v>0</v>
      </c>
      <c r="T78" s="490">
        <f ca="1"/>
        <v>0</v>
      </c>
      <c r="U78" s="490">
        <f ca="1"/>
        <v>0</v>
      </c>
    </row>
    <row r="79" spans="1:22" hidden="1">
      <c r="H79" s="542"/>
    </row>
    <row r="80" spans="1:22" hidden="1">
      <c r="D80" s="387">
        <v>1</v>
      </c>
      <c r="E80" s="387">
        <v>2</v>
      </c>
      <c r="F80" s="387">
        <v>3</v>
      </c>
      <c r="G80" s="387">
        <v>4</v>
      </c>
      <c r="H80" s="388"/>
      <c r="N80" s="435"/>
      <c r="P80" s="387">
        <v>1</v>
      </c>
      <c r="Q80" s="387">
        <v>2</v>
      </c>
      <c r="R80" s="387">
        <v>3</v>
      </c>
      <c r="S80" s="387">
        <v>4</v>
      </c>
    </row>
    <row r="81" spans="2:22" hidden="1">
      <c r="C81" s="492" t="s">
        <v>259</v>
      </c>
      <c r="D81" s="493">
        <f t="array" aca="1" ref="D81:G82" ca="1">OFFSET(CalibData2!$D$50:$G$51,0,(CalIndex-1)*10)</f>
        <v>0.65</v>
      </c>
      <c r="E81" s="493">
        <f ca="1"/>
        <v>0.47246836982896318</v>
      </c>
      <c r="F81" s="493">
        <f ca="1"/>
        <v>0.47246836982896318</v>
      </c>
      <c r="G81" s="493">
        <f ca="1"/>
        <v>0.47246836982896318</v>
      </c>
      <c r="N81" s="364" t="s">
        <v>259</v>
      </c>
      <c r="P81" s="543">
        <f t="array" aca="1" ref="P81:S81" ca="1">OFFSET(CalibData2!$D$97:$G$97,0,(CalIndex-1)*10)</f>
        <v>0.09</v>
      </c>
      <c r="Q81" s="543">
        <f ca="1"/>
        <v>0.1</v>
      </c>
      <c r="R81" s="543">
        <f ca="1"/>
        <v>0.1</v>
      </c>
      <c r="S81" s="543">
        <f ca="1"/>
        <v>0.1</v>
      </c>
    </row>
    <row r="82" spans="2:22" hidden="1">
      <c r="B82" s="364" t="s">
        <v>389</v>
      </c>
      <c r="C82" s="492" t="s">
        <v>384</v>
      </c>
      <c r="D82" s="493">
        <f ca="1"/>
        <v>0.33</v>
      </c>
      <c r="E82" s="493">
        <f ca="1"/>
        <v>0.18857142857142861</v>
      </c>
      <c r="F82" s="493">
        <f ca="1"/>
        <v>0.33</v>
      </c>
      <c r="G82" s="493">
        <f ca="1"/>
        <v>0.23571428571428574</v>
      </c>
      <c r="H82" s="409">
        <v>1</v>
      </c>
      <c r="I82" s="409">
        <v>2</v>
      </c>
      <c r="J82" s="409">
        <v>3</v>
      </c>
      <c r="K82" s="409">
        <v>4</v>
      </c>
      <c r="L82" s="410" t="s">
        <v>379</v>
      </c>
      <c r="P82" s="387">
        <v>1</v>
      </c>
      <c r="Q82" s="387">
        <v>2</v>
      </c>
      <c r="R82" s="387">
        <v>3</v>
      </c>
      <c r="S82" s="387">
        <v>4</v>
      </c>
      <c r="T82" s="388" t="s">
        <v>321</v>
      </c>
    </row>
    <row r="83" spans="2:22" hidden="1">
      <c r="B83" s="382" t="s">
        <v>254</v>
      </c>
      <c r="C83" s="544">
        <v>0.2</v>
      </c>
      <c r="D83" s="395">
        <f t="array" aca="1" ref="D83:G87" ca="1">ABS(1/(1/((1-D82:G82)^C83:C87*IF(AuxData2!$F90:$F94&gt;0,AuxData2!$G90:$G94/MMULT(AuxData2!$I90:$I94*TRANSPOSE(C75:G78)*(1-D82:G82)^C83:C87,I75:I78),1))-1))</f>
        <v>1.8856691471314526</v>
      </c>
      <c r="E83" s="396">
        <f ca="1"/>
        <v>2.1150263516804699</v>
      </c>
      <c r="F83" s="396">
        <f ca="1"/>
        <v>1.8856691471314526</v>
      </c>
      <c r="G83" s="397">
        <f ca="1"/>
        <v>2.0385523711383837</v>
      </c>
      <c r="H83" s="495">
        <f t="array" aca="1" ref="H83:K87" ca="1">TRANSPOSE(C75:G78)*AuxData2!$I$90:$I$94*D83:G87/(D83:G87+1)*L83:L87</f>
        <v>0.108014338564829</v>
      </c>
      <c r="I83" s="496">
        <f ca="1"/>
        <v>0</v>
      </c>
      <c r="J83" s="496">
        <f ca="1"/>
        <v>0</v>
      </c>
      <c r="K83" s="497">
        <f ca="1"/>
        <v>0</v>
      </c>
      <c r="L83" s="498">
        <f t="array" aca="1" ref="L83:L87" ca="1">OFFSET(CalibData2!$J$61:$J$65,0,(CalIndex-1)*10)</f>
        <v>1.7</v>
      </c>
      <c r="M83" s="388">
        <v>1</v>
      </c>
      <c r="O83" s="519">
        <f t="array" ref="O83:O87">$O$53:$O$57</f>
        <v>0.75</v>
      </c>
      <c r="P83" s="501">
        <f t="array" aca="1" ref="P83:S83" ca="1">TRANSPOSE(MMULT(O75:S78/TRANSPOSE(O83:O87),AuxData2!$C101:$C105*AuxData2!$H101:$H105))/P81:S81/$C$14*1000</f>
        <v>1202.6848890987258</v>
      </c>
      <c r="Q83" s="501">
        <f ca="1"/>
        <v>0</v>
      </c>
      <c r="R83" s="501">
        <f ca="1"/>
        <v>0</v>
      </c>
      <c r="S83" s="502">
        <f ca="1"/>
        <v>0</v>
      </c>
      <c r="T83" s="386">
        <f ca="1">SUM(P83:S83)</f>
        <v>1202.6848890987258</v>
      </c>
    </row>
    <row r="84" spans="2:22" hidden="1">
      <c r="B84" s="382" t="s">
        <v>255</v>
      </c>
      <c r="C84" s="416">
        <v>1</v>
      </c>
      <c r="D84" s="398">
        <f ca="1"/>
        <v>1.166662558132888</v>
      </c>
      <c r="E84" s="399">
        <f ca="1"/>
        <v>1.8745787002666454</v>
      </c>
      <c r="F84" s="399">
        <f ca="1"/>
        <v>1.166662558132888</v>
      </c>
      <c r="G84" s="400">
        <f ca="1"/>
        <v>1.5922551960204945</v>
      </c>
      <c r="H84" s="503">
        <f ca="1"/>
        <v>6.5903704998550747</v>
      </c>
      <c r="I84" s="504">
        <f ca="1"/>
        <v>0</v>
      </c>
      <c r="J84" s="504">
        <f ca="1"/>
        <v>0</v>
      </c>
      <c r="K84" s="505">
        <f ca="1"/>
        <v>0</v>
      </c>
      <c r="L84" s="413">
        <f ca="1"/>
        <v>0.83</v>
      </c>
      <c r="M84" s="388">
        <v>2</v>
      </c>
      <c r="O84" s="525">
        <v>1</v>
      </c>
      <c r="P84" s="501">
        <f t="array" aca="1" ref="P84:S84" ca="1">TRANSPOSE(MMULT(O75:S78,V92:V96*AuxData2!$G101:$G105))</f>
        <v>7.4844771569772215</v>
      </c>
      <c r="Q84" s="501">
        <f ca="1"/>
        <v>0</v>
      </c>
      <c r="R84" s="501">
        <f ca="1"/>
        <v>0</v>
      </c>
      <c r="S84" s="502">
        <f ca="1"/>
        <v>0</v>
      </c>
      <c r="T84" s="386"/>
    </row>
    <row r="85" spans="2:22" hidden="1">
      <c r="B85" s="382" t="s">
        <v>256</v>
      </c>
      <c r="C85" s="416">
        <v>1</v>
      </c>
      <c r="D85" s="398">
        <f ca="1"/>
        <v>2.1286747463658156</v>
      </c>
      <c r="E85" s="399">
        <f ca="1"/>
        <v>4.6816449990235212</v>
      </c>
      <c r="F85" s="399">
        <f ca="1"/>
        <v>2.1286747463658156</v>
      </c>
      <c r="G85" s="400">
        <f ca="1"/>
        <v>3.4667126461620299</v>
      </c>
      <c r="H85" s="503">
        <f ca="1"/>
        <v>28.55040552543332</v>
      </c>
      <c r="I85" s="504">
        <f ca="1"/>
        <v>0</v>
      </c>
      <c r="J85" s="504">
        <f ca="1"/>
        <v>0</v>
      </c>
      <c r="K85" s="505">
        <f ca="1"/>
        <v>0</v>
      </c>
      <c r="L85" s="413">
        <f ca="1"/>
        <v>1.3</v>
      </c>
      <c r="M85" s="388">
        <v>3</v>
      </c>
      <c r="O85" s="525">
        <v>1.5</v>
      </c>
      <c r="P85" s="428"/>
      <c r="Q85" s="428"/>
      <c r="R85" s="428"/>
      <c r="S85" s="428"/>
      <c r="T85" s="386"/>
    </row>
    <row r="86" spans="2:22" hidden="1">
      <c r="B86" s="382" t="s">
        <v>347</v>
      </c>
      <c r="C86" s="416">
        <v>1</v>
      </c>
      <c r="D86" s="398">
        <f ca="1"/>
        <v>2.0303030303030298</v>
      </c>
      <c r="E86" s="399">
        <f ca="1"/>
        <v>4.3030303030303001</v>
      </c>
      <c r="F86" s="399">
        <f ca="1"/>
        <v>2.0303030303030298</v>
      </c>
      <c r="G86" s="400">
        <f ca="1"/>
        <v>3.2424242424242409</v>
      </c>
      <c r="H86" s="503">
        <f ca="1"/>
        <v>0.18728559595536606</v>
      </c>
      <c r="I86" s="504">
        <f ca="1"/>
        <v>0</v>
      </c>
      <c r="J86" s="504">
        <f ca="1"/>
        <v>0</v>
      </c>
      <c r="K86" s="505">
        <f ca="1"/>
        <v>0</v>
      </c>
      <c r="L86" s="413">
        <f ca="1"/>
        <v>1</v>
      </c>
      <c r="M86" s="388">
        <v>4</v>
      </c>
      <c r="O86" s="525">
        <v>2</v>
      </c>
      <c r="P86" s="428"/>
      <c r="Q86" s="428"/>
      <c r="R86" s="428"/>
      <c r="S86" s="428"/>
      <c r="T86" s="386"/>
    </row>
    <row r="87" spans="2:22" hidden="1">
      <c r="B87" s="382" t="s">
        <v>257</v>
      </c>
      <c r="C87" s="545">
        <v>1</v>
      </c>
      <c r="D87" s="401">
        <f ca="1"/>
        <v>2.7935839216762259</v>
      </c>
      <c r="E87" s="402">
        <f ca="1"/>
        <v>8.2456626204841328</v>
      </c>
      <c r="F87" s="402">
        <f ca="1"/>
        <v>2.7935839216762259</v>
      </c>
      <c r="G87" s="403">
        <f ca="1"/>
        <v>5.2510337410569958</v>
      </c>
      <c r="H87" s="506">
        <f ca="1"/>
        <v>4.8337987425716289</v>
      </c>
      <c r="I87" s="507">
        <f ca="1"/>
        <v>0</v>
      </c>
      <c r="J87" s="507">
        <f ca="1"/>
        <v>0</v>
      </c>
      <c r="K87" s="508">
        <f ca="1"/>
        <v>0</v>
      </c>
      <c r="L87" s="509">
        <f ca="1"/>
        <v>4</v>
      </c>
      <c r="M87" s="388">
        <v>5</v>
      </c>
      <c r="O87" s="530">
        <v>2.4</v>
      </c>
      <c r="P87" s="428"/>
      <c r="Q87" s="428"/>
      <c r="R87" s="428"/>
      <c r="S87" s="428"/>
      <c r="T87" s="386"/>
    </row>
    <row r="88" spans="2:22" hidden="1">
      <c r="H88" s="421">
        <f ca="1">SUM(H83:H87)</f>
        <v>40.269874702380221</v>
      </c>
      <c r="I88" s="421">
        <f ca="1">SUM(I83:I87)</f>
        <v>0</v>
      </c>
      <c r="J88" s="421">
        <f ca="1">SUM(J83:J87)</f>
        <v>0</v>
      </c>
      <c r="K88" s="421">
        <f ca="1">SUM(K83:K87)</f>
        <v>0</v>
      </c>
    </row>
    <row r="89" spans="2:22" hidden="1">
      <c r="B89" s="364" t="s">
        <v>377</v>
      </c>
      <c r="D89" s="404">
        <f t="array" aca="1" ref="D89:G89" ca="1">TRANSPOSE(MMULT(C75:G78/TRANSPOSE(1+1/D83:G87),AuxData2!$C90:$C94*AuxData2!$H90:$H94))/D81:G81/$C14*1000</f>
        <v>1529.9403345385244</v>
      </c>
      <c r="E89" s="405">
        <f ca="1"/>
        <v>0</v>
      </c>
      <c r="F89" s="405">
        <f ca="1"/>
        <v>0</v>
      </c>
      <c r="G89" s="406">
        <f ca="1"/>
        <v>0</v>
      </c>
      <c r="H89" s="407">
        <f ca="1">SUM(D89:G89)</f>
        <v>1529.9403345385244</v>
      </c>
      <c r="N89" s="435" t="s">
        <v>381</v>
      </c>
      <c r="P89" s="387">
        <v>1</v>
      </c>
      <c r="Q89" s="387">
        <v>2</v>
      </c>
      <c r="R89" s="387">
        <v>3</v>
      </c>
      <c r="S89" s="387">
        <v>4</v>
      </c>
      <c r="T89" s="388" t="s">
        <v>321</v>
      </c>
    </row>
    <row r="90" spans="2:22" hidden="1">
      <c r="D90" s="408">
        <f t="array" aca="1" ref="D90" ca="1">SUM(OFFSET($D$102,D80*4-3,0,4)*D84:D87/(1+D84:D87))</f>
        <v>2413.5621028727542</v>
      </c>
      <c r="E90" s="408">
        <f t="array" aca="1" ref="E90" ca="1">SUM(OFFSET($D$102,E80*4-3,0,4)*E84:E87/(1+E84:E87))</f>
        <v>0</v>
      </c>
      <c r="F90" s="408">
        <f t="array" aca="1" ref="F90" ca="1">SUM(OFFSET($D$102,F80*4-3,0,4)*F84:F87/(1+F84:F87))</f>
        <v>0</v>
      </c>
      <c r="G90" s="408">
        <f t="array" aca="1" ref="G90" ca="1">SUM(OFFSET($D$102,G80*4-3,0,4)*G84:G87/(1+G84:G87))</f>
        <v>0</v>
      </c>
      <c r="H90" s="407">
        <f ca="1">SUM(D90:G90)</f>
        <v>2413.5621028727542</v>
      </c>
      <c r="K90" s="388" t="s">
        <v>385</v>
      </c>
      <c r="N90" s="364" t="s">
        <v>52</v>
      </c>
      <c r="P90" s="510">
        <f t="array" ref="P90:S90" ca="1">P83:S83</f>
        <v>1202.6848890987258</v>
      </c>
      <c r="Q90" s="511">
        <f ca="1"/>
        <v>0</v>
      </c>
      <c r="R90" s="511">
        <f ca="1"/>
        <v>0</v>
      </c>
      <c r="S90" s="512">
        <f ca="1"/>
        <v>0</v>
      </c>
      <c r="T90" s="386">
        <f ca="1">SUM(P90:S90)</f>
        <v>1202.6848890987258</v>
      </c>
    </row>
    <row r="91" spans="2:22" hidden="1">
      <c r="B91" s="364" t="s">
        <v>352</v>
      </c>
      <c r="D91" s="409">
        <v>1</v>
      </c>
      <c r="E91" s="409">
        <v>2</v>
      </c>
      <c r="F91" s="409">
        <v>3</v>
      </c>
      <c r="G91" s="409">
        <v>4</v>
      </c>
      <c r="H91" s="410" t="s">
        <v>377</v>
      </c>
      <c r="I91" s="409" t="s">
        <v>378</v>
      </c>
      <c r="J91" s="411" t="s">
        <v>387</v>
      </c>
      <c r="K91" s="409" t="s">
        <v>375</v>
      </c>
      <c r="N91" s="364" t="s">
        <v>381</v>
      </c>
      <c r="P91" s="409">
        <v>1</v>
      </c>
      <c r="Q91" s="409">
        <v>2</v>
      </c>
      <c r="R91" s="409">
        <v>3</v>
      </c>
      <c r="S91" s="409">
        <v>4</v>
      </c>
      <c r="T91" s="410" t="s">
        <v>377</v>
      </c>
      <c r="V91" s="411" t="s">
        <v>379</v>
      </c>
    </row>
    <row r="92" spans="2:22" hidden="1">
      <c r="B92" s="382" t="s">
        <v>254</v>
      </c>
      <c r="D92" s="513">
        <f t="array" aca="1" ref="D92:G96" ca="1">H83:K87/(H88:K88+Tiny)*D89:G89*(1+1/D83:G87)</f>
        <v>6.2799569602250438</v>
      </c>
      <c r="E92" s="514">
        <f ca="1"/>
        <v>0</v>
      </c>
      <c r="F92" s="514">
        <f ca="1"/>
        <v>0</v>
      </c>
      <c r="G92" s="515">
        <f ca="1"/>
        <v>0</v>
      </c>
      <c r="H92" s="516">
        <f ca="1">SUMPRODUCT($H83:$K83/($H$88:$K$88+Tiny),$D$89:$G$89)</f>
        <v>4.1037002100471032</v>
      </c>
      <c r="I92" s="517">
        <f ca="1">SUMPRODUCT($H83:$K83/($H$88:$K$88+Tiny),$D$89:$G$89/$D83:$G83)</f>
        <v>2.1762567501779402</v>
      </c>
      <c r="J92" s="518">
        <f ca="1">SUM(D92:G92)</f>
        <v>6.2799569602250438</v>
      </c>
      <c r="K92" s="519">
        <f t="array" aca="1" ref="K92:K96" ca="1">OFFSET(CalibData2!$K$61:$K$65,0,(CalIndex-1)*10)</f>
        <v>135</v>
      </c>
      <c r="N92" s="382" t="s">
        <v>254</v>
      </c>
      <c r="P92" s="440">
        <f t="array" aca="1" ref="P92:S96" ca="1">AuxData2!$G101:$G105*TRANSPOSE(O75:S78)*V92:V96/(P84:S84+Tiny)*P83:S83</f>
        <v>358.74405547704589</v>
      </c>
      <c r="Q92" s="440">
        <f ca="1"/>
        <v>0</v>
      </c>
      <c r="R92" s="440">
        <f ca="1"/>
        <v>0</v>
      </c>
      <c r="S92" s="440">
        <f ca="1"/>
        <v>0</v>
      </c>
      <c r="T92" s="386">
        <f ca="1">SUM(P92:S92)</f>
        <v>358.74405547704589</v>
      </c>
      <c r="V92" s="416">
        <f t="array" aca="1" ref="V92:V96" ca="1">OFFSET(CalibData2!$J$102:$J$106,0,(CalIndex-1)*10)</f>
        <v>7.5</v>
      </c>
    </row>
    <row r="93" spans="2:22" hidden="1">
      <c r="B93" s="382" t="s">
        <v>255</v>
      </c>
      <c r="D93" s="520">
        <f ca="1"/>
        <v>464.99690766007944</v>
      </c>
      <c r="E93" s="521">
        <f ca="1"/>
        <v>0</v>
      </c>
      <c r="F93" s="521">
        <f ca="1"/>
        <v>0</v>
      </c>
      <c r="G93" s="522">
        <f ca="1"/>
        <v>0</v>
      </c>
      <c r="H93" s="523">
        <f ca="1">SUMPRODUCT($H84:$K84/($H$88:$K$88+Tiny),$D$89:$G$89)</f>
        <v>250.38254331679727</v>
      </c>
      <c r="I93" s="524">
        <f ca="1">SUMPRODUCT($H84:$K84/($H$88:$K$88+Tiny),$D$89:$G$89/$D84:$G84)</f>
        <v>214.61436434328218</v>
      </c>
      <c r="J93" s="518">
        <f ca="1">SUM(D93:G93)</f>
        <v>464.99690766007944</v>
      </c>
      <c r="K93" s="525">
        <f ca="1"/>
        <v>1085.4000000000001</v>
      </c>
      <c r="N93" s="382" t="s">
        <v>255</v>
      </c>
      <c r="P93" s="440">
        <f ca="1"/>
        <v>608.32600796516931</v>
      </c>
      <c r="Q93" s="440">
        <f ca="1"/>
        <v>0</v>
      </c>
      <c r="R93" s="440">
        <f ca="1"/>
        <v>0</v>
      </c>
      <c r="S93" s="440">
        <f ca="1"/>
        <v>0</v>
      </c>
      <c r="T93" s="386">
        <f ca="1">SUM(P93:S93)</f>
        <v>608.32600796516931</v>
      </c>
      <c r="V93" s="416">
        <f ca="1"/>
        <v>2</v>
      </c>
    </row>
    <row r="94" spans="2:22" hidden="1">
      <c r="B94" s="382" t="s">
        <v>256</v>
      </c>
      <c r="D94" s="520">
        <f ca="1"/>
        <v>1594.2543330043609</v>
      </c>
      <c r="E94" s="521">
        <f ca="1"/>
        <v>0</v>
      </c>
      <c r="F94" s="521">
        <f ca="1"/>
        <v>0</v>
      </c>
      <c r="G94" s="522">
        <f ca="1"/>
        <v>0</v>
      </c>
      <c r="H94" s="523">
        <f ca="1">SUMPRODUCT($H85:$K85/($H$88:$K$88+Tiny),$D$89:$G$89)</f>
        <v>1084.6921502123644</v>
      </c>
      <c r="I94" s="524">
        <f ca="1">SUMPRODUCT($H85:$K85/($H$88:$K$88+Tiny),$D$89:$G$89/$D85:$G85)</f>
        <v>509.56218279199646</v>
      </c>
      <c r="J94" s="518">
        <f ca="1">SUM(D94:G94)</f>
        <v>1594.2543330043609</v>
      </c>
      <c r="K94" s="525">
        <f ca="1"/>
        <v>463</v>
      </c>
      <c r="N94" s="382" t="s">
        <v>256</v>
      </c>
      <c r="P94" s="440">
        <f ca="1"/>
        <v>172.61818342328888</v>
      </c>
      <c r="Q94" s="440">
        <f ca="1"/>
        <v>0</v>
      </c>
      <c r="R94" s="440">
        <f ca="1"/>
        <v>0</v>
      </c>
      <c r="S94" s="440">
        <f ca="1"/>
        <v>0</v>
      </c>
      <c r="T94" s="386">
        <f ca="1">SUM(P94:S94)</f>
        <v>172.61818342328888</v>
      </c>
      <c r="V94" s="416">
        <f ca="1"/>
        <v>1</v>
      </c>
    </row>
    <row r="95" spans="2:22" hidden="1">
      <c r="B95" s="382" t="s">
        <v>347</v>
      </c>
      <c r="D95" s="520">
        <f ca="1"/>
        <v>10.619982241670117</v>
      </c>
      <c r="E95" s="521">
        <f ca="1"/>
        <v>0</v>
      </c>
      <c r="F95" s="521">
        <f ca="1"/>
        <v>0</v>
      </c>
      <c r="G95" s="522">
        <f ca="1"/>
        <v>0</v>
      </c>
      <c r="H95" s="523">
        <f ca="1">SUMPRODUCT($H86:$K86/($H$88:$K$88+Tiny),$D$89:$G$89)</f>
        <v>7.1153881019189784</v>
      </c>
      <c r="I95" s="524">
        <f ca="1">SUMPRODUCT($H86:$K86/($H$88:$K$88+Tiny),$D$89:$G$89/$D86:$G86)</f>
        <v>3.50459413975114</v>
      </c>
      <c r="J95" s="518">
        <f ca="1">SUM(D95:G95)</f>
        <v>10.619982241670117</v>
      </c>
      <c r="K95" s="525">
        <f ca="1"/>
        <v>0</v>
      </c>
      <c r="N95" s="382" t="s">
        <v>347</v>
      </c>
      <c r="P95" s="440">
        <f ca="1"/>
        <v>0.5828002601374439</v>
      </c>
      <c r="Q95" s="440">
        <f ca="1"/>
        <v>0</v>
      </c>
      <c r="R95" s="440">
        <f ca="1"/>
        <v>0</v>
      </c>
      <c r="S95" s="440">
        <f ca="1"/>
        <v>0</v>
      </c>
      <c r="T95" s="386">
        <f ca="1">SUM(P95:S95)</f>
        <v>0.5828002601374439</v>
      </c>
      <c r="V95" s="416">
        <f ca="1"/>
        <v>0.6</v>
      </c>
    </row>
    <row r="96" spans="2:22" hidden="1">
      <c r="B96" s="382" t="s">
        <v>257</v>
      </c>
      <c r="D96" s="526">
        <f ca="1"/>
        <v>249.38524453632925</v>
      </c>
      <c r="E96" s="527">
        <f ca="1"/>
        <v>0</v>
      </c>
      <c r="F96" s="527">
        <f ca="1"/>
        <v>0</v>
      </c>
      <c r="G96" s="528">
        <f ca="1"/>
        <v>0</v>
      </c>
      <c r="H96" s="523">
        <f ca="1">SUMPRODUCT($H87:$K87/($H$88:$K$88+Tiny),$D$89:$G$89)</f>
        <v>183.64655265940451</v>
      </c>
      <c r="I96" s="529">
        <f ca="1">SUMPRODUCT($H87:$K87/($H$88:$K$88+Tiny),$D$89:$G$89/$D87:$G87)</f>
        <v>65.738691876924747</v>
      </c>
      <c r="J96" s="518">
        <f ca="1">SUM(D96:G96)</f>
        <v>249.38524453632925</v>
      </c>
      <c r="K96" s="530">
        <f ca="1"/>
        <v>20</v>
      </c>
      <c r="N96" s="382" t="s">
        <v>257</v>
      </c>
      <c r="P96" s="440">
        <f ca="1"/>
        <v>62.413841812393706</v>
      </c>
      <c r="Q96" s="440">
        <f ca="1"/>
        <v>0</v>
      </c>
      <c r="R96" s="440">
        <f ca="1"/>
        <v>0</v>
      </c>
      <c r="S96" s="440">
        <f ca="1"/>
        <v>0</v>
      </c>
      <c r="T96" s="386">
        <f ca="1">SUM(P96:S96)</f>
        <v>62.413841812393706</v>
      </c>
      <c r="V96" s="416">
        <f ca="1"/>
        <v>0.4</v>
      </c>
    </row>
    <row r="97" spans="1:24" hidden="1">
      <c r="B97" s="364" t="s">
        <v>52</v>
      </c>
      <c r="D97" s="385">
        <f t="shared" ref="D97:I97" ca="1" si="4">SUM(D92:D96)</f>
        <v>2325.5364244026646</v>
      </c>
      <c r="E97" s="385">
        <f t="shared" ca="1" si="4"/>
        <v>0</v>
      </c>
      <c r="F97" s="385">
        <f t="shared" ca="1" si="4"/>
        <v>0</v>
      </c>
      <c r="G97" s="385">
        <f t="shared" ca="1" si="4"/>
        <v>0</v>
      </c>
      <c r="H97" s="531">
        <f t="shared" ca="1" si="4"/>
        <v>1529.9403345005323</v>
      </c>
      <c r="I97" s="532">
        <f t="shared" ca="1" si="4"/>
        <v>795.59608990213246</v>
      </c>
      <c r="J97" s="533">
        <f ca="1">SUM(J92:J96)</f>
        <v>2325.5364244026646</v>
      </c>
      <c r="K97" s="423">
        <f ca="1">SUM(K92:K96)</f>
        <v>1703.4</v>
      </c>
      <c r="N97" s="364" t="s">
        <v>52</v>
      </c>
      <c r="P97" s="385">
        <f ca="1">SUM(P92:P96)</f>
        <v>1202.6848889380351</v>
      </c>
      <c r="Q97" s="385">
        <f ca="1">SUM(Q92:Q96)</f>
        <v>0</v>
      </c>
      <c r="R97" s="385">
        <f ca="1">SUM(R92:R96)</f>
        <v>0</v>
      </c>
      <c r="S97" s="385">
        <f ca="1">SUM(S92:S96)</f>
        <v>0</v>
      </c>
      <c r="T97" s="385">
        <f ca="1">SUM(T92:T96)</f>
        <v>1202.6848889380351</v>
      </c>
      <c r="V97" s="422"/>
    </row>
    <row r="98" spans="1:24" hidden="1">
      <c r="D98" s="534"/>
      <c r="E98" s="534"/>
      <c r="F98" s="534"/>
      <c r="G98" s="534"/>
      <c r="H98" s="534"/>
      <c r="I98" s="534"/>
      <c r="J98" s="534"/>
      <c r="P98" s="534"/>
      <c r="Q98" s="534"/>
      <c r="R98" s="534"/>
      <c r="S98" s="534"/>
      <c r="T98" s="534"/>
      <c r="V98" s="536"/>
    </row>
    <row r="99" spans="1:24" hidden="1">
      <c r="B99" s="364" t="s">
        <v>421</v>
      </c>
      <c r="C99" s="364" t="s">
        <v>158</v>
      </c>
      <c r="D99" s="504">
        <f t="array" aca="1" ref="D99:G99" ca="1">TRANSPOSE(MMULT(C75:G78/(1+TRANSPOSE(D83:G87)),AuxData2!H90:H94*AuxData2!C90:C94))+TRANSPOSE($H$75:$H$78)*AuxData2!$F$95</f>
        <v>18.607765144276527</v>
      </c>
      <c r="E99" s="504">
        <f ca="1"/>
        <v>0</v>
      </c>
      <c r="F99" s="504">
        <f ca="1"/>
        <v>0</v>
      </c>
      <c r="G99" s="504">
        <f ca="1"/>
        <v>0</v>
      </c>
      <c r="H99" s="537">
        <f ca="1">SUM(D99:G99)</f>
        <v>18.607765144276527</v>
      </c>
      <c r="J99" s="460" t="s">
        <v>596</v>
      </c>
      <c r="K99" s="460">
        <f>MATCH(K102,$C$102:$J$102,1)</f>
        <v>3</v>
      </c>
      <c r="N99" s="364" t="s">
        <v>422</v>
      </c>
      <c r="O99" s="364" t="s">
        <v>349</v>
      </c>
      <c r="P99" s="504">
        <f t="array" aca="1" ref="P99:S99" ca="1">TRANSPOSE(MMULT(O75:U78,AuxData2!H101:H107*AuxData2!C101:C107))</f>
        <v>8.4495599927857654</v>
      </c>
      <c r="Q99" s="504">
        <f ca="1"/>
        <v>0</v>
      </c>
      <c r="R99" s="504">
        <f ca="1"/>
        <v>0</v>
      </c>
      <c r="S99" s="504">
        <f ca="1"/>
        <v>0</v>
      </c>
      <c r="T99" s="537">
        <f ca="1">SUM(P99:S99)</f>
        <v>8.4495599927857654</v>
      </c>
      <c r="V99" s="538" t="s">
        <v>571</v>
      </c>
    </row>
    <row r="100" spans="1:24" hidden="1">
      <c r="C100" s="364" t="s">
        <v>138</v>
      </c>
      <c r="D100" s="412">
        <f t="array" aca="1" ref="D100:G100" ca="1">TRANSPOSE(MMULT(C75:G78,AuxData2!H90:H94*AuxData2!C90:C94))+TRANSPOSE($H$75:$H$78)*AuxData2!$I$95-D99:G99</f>
        <v>33.001829922125964</v>
      </c>
      <c r="E100" s="412">
        <f ca="1"/>
        <v>0</v>
      </c>
      <c r="F100" s="412">
        <f ca="1"/>
        <v>0</v>
      </c>
      <c r="G100" s="412">
        <f ca="1"/>
        <v>0</v>
      </c>
      <c r="H100" s="537">
        <f ca="1">SUM(D100:G100)</f>
        <v>33.001829922125964</v>
      </c>
      <c r="J100" s="460">
        <f ca="1">K102-OFFSET($B102,0,K99)</f>
        <v>2</v>
      </c>
      <c r="K100" s="460">
        <f>K99+1</f>
        <v>4</v>
      </c>
      <c r="O100" s="364" t="s">
        <v>673</v>
      </c>
      <c r="P100" s="504">
        <f t="array" ref="P100:S100" ca="1">D100:G100+P99:S99</f>
        <v>41.451389914911729</v>
      </c>
      <c r="Q100" s="504">
        <f ca="1"/>
        <v>0</v>
      </c>
      <c r="R100" s="504">
        <f ca="1"/>
        <v>0</v>
      </c>
      <c r="S100" s="504">
        <f ca="1"/>
        <v>0</v>
      </c>
      <c r="T100" s="537">
        <f ca="1">MAX(0.001,SUM(P100:S100))</f>
        <v>41.451389914911729</v>
      </c>
      <c r="V100" s="539">
        <f ca="1">SUM(P100,R100)</f>
        <v>41.451389914911729</v>
      </c>
    </row>
    <row r="101" spans="1:24" hidden="1">
      <c r="J101" s="460">
        <f ca="1">OFFSET($B102,0,K$99+1)-K102</f>
        <v>3</v>
      </c>
      <c r="K101" s="460">
        <f ca="1">SUM(J100:J101)</f>
        <v>5</v>
      </c>
    </row>
    <row r="102" spans="1:24" hidden="1">
      <c r="B102" s="546" t="s">
        <v>352</v>
      </c>
      <c r="C102" s="411"/>
      <c r="D102" s="411">
        <v>2010</v>
      </c>
      <c r="E102" s="411">
        <v>2015</v>
      </c>
      <c r="F102" s="411">
        <v>2020</v>
      </c>
      <c r="G102" s="411">
        <v>2025</v>
      </c>
      <c r="H102" s="411">
        <v>2030</v>
      </c>
      <c r="I102" s="411">
        <v>2040</v>
      </c>
      <c r="J102" s="411">
        <v>2050</v>
      </c>
      <c r="K102" s="547">
        <f ca="1">AuxYear</f>
        <v>2017</v>
      </c>
      <c r="N102" s="546" t="s">
        <v>381</v>
      </c>
      <c r="O102" s="411"/>
      <c r="P102" s="411">
        <v>2010</v>
      </c>
      <c r="Q102" s="411">
        <v>2015</v>
      </c>
      <c r="R102" s="411">
        <v>2020</v>
      </c>
      <c r="S102" s="411">
        <v>2025</v>
      </c>
      <c r="T102" s="411">
        <v>2030</v>
      </c>
      <c r="U102" s="411">
        <v>2040</v>
      </c>
      <c r="V102" s="411">
        <v>2050</v>
      </c>
      <c r="W102" s="548">
        <f ca="1">AuxYear</f>
        <v>2017</v>
      </c>
      <c r="X102" s="548">
        <f ca="1">AuxYear</f>
        <v>2017</v>
      </c>
    </row>
    <row r="103" spans="1:24" hidden="1">
      <c r="A103" s="364">
        <v>1</v>
      </c>
      <c r="B103" s="382" t="s">
        <v>255</v>
      </c>
      <c r="C103" s="549">
        <f t="array" aca="1" ref="C103:J118" ca="1">OFFSET(CalibData2!$C$77:$J$92,0,(CalIndex-1)*10)</f>
        <v>0</v>
      </c>
      <c r="D103" s="550">
        <f ca="1"/>
        <v>2125</v>
      </c>
      <c r="E103" s="383">
        <f ca="1"/>
        <v>1996</v>
      </c>
      <c r="F103" s="383">
        <f ca="1"/>
        <v>1996</v>
      </c>
      <c r="G103" s="383">
        <f ca="1"/>
        <v>1996</v>
      </c>
      <c r="H103" s="383">
        <f ca="1"/>
        <v>1744.1055013960595</v>
      </c>
      <c r="I103" s="383">
        <f ca="1"/>
        <v>825.36537363763932</v>
      </c>
      <c r="J103" s="383">
        <f ca="1"/>
        <v>0</v>
      </c>
      <c r="K103" s="551">
        <f ca="1">MAX(INDEX($D$92:$G$96,$L103,$A103),(OFFSET($B103,0,K$99)*J$101+OFFSET($B103,0,K$100)*J$100)/K$101)</f>
        <v>1996</v>
      </c>
      <c r="L103" s="388">
        <v>2</v>
      </c>
      <c r="N103" s="382" t="s">
        <v>255</v>
      </c>
      <c r="O103" s="549">
        <f t="array" aca="1" ref="O103:V118" ca="1">OFFSET(CalibData2!$C$111:$J$126,0,(CalIndex-1)*10)</f>
        <v>0</v>
      </c>
      <c r="P103" s="550">
        <f ca="1"/>
        <v>1912</v>
      </c>
      <c r="Q103" s="383">
        <f ca="1"/>
        <v>2004</v>
      </c>
      <c r="R103" s="383">
        <f ca="1"/>
        <v>1389.1911315582172</v>
      </c>
      <c r="S103" s="383">
        <f ca="1"/>
        <v>816.33081529487788</v>
      </c>
      <c r="T103" s="383">
        <f ca="1"/>
        <v>618.04854178292499</v>
      </c>
      <c r="U103" s="383">
        <f ca="1"/>
        <v>0</v>
      </c>
      <c r="V103" s="383">
        <f ca="1"/>
        <v>0</v>
      </c>
      <c r="W103" s="551">
        <f ca="1">(OFFSET($N103,0,$K$99)*$J$101+OFFSET($N103,0,$K$100)*$J$100)/$K$101</f>
        <v>1758.076452623287</v>
      </c>
      <c r="X103" s="551">
        <f ca="1">MAX(INDEX($P$92:$S$96,$L103,$A103),(OFFSET($N103,0,$K$99)*$J$101+OFFSET($N103,0,$K$100)*$J$100-0.5)/$K$101)</f>
        <v>1757.9764526232871</v>
      </c>
    </row>
    <row r="104" spans="1:24" hidden="1">
      <c r="A104" s="364">
        <v>1</v>
      </c>
      <c r="B104" s="382" t="s">
        <v>256</v>
      </c>
      <c r="C104" s="549">
        <f ca="1"/>
        <v>0</v>
      </c>
      <c r="D104" s="552">
        <f ca="1"/>
        <v>1564</v>
      </c>
      <c r="E104" s="383">
        <f ca="1"/>
        <v>1564</v>
      </c>
      <c r="F104" s="383">
        <f ca="1"/>
        <v>1564</v>
      </c>
      <c r="G104" s="383">
        <f ca="1"/>
        <v>680</v>
      </c>
      <c r="H104" s="383">
        <f ca="1"/>
        <v>460</v>
      </c>
      <c r="I104" s="383">
        <f ca="1"/>
        <v>0</v>
      </c>
      <c r="J104" s="383">
        <f ca="1"/>
        <v>0</v>
      </c>
      <c r="K104" s="553">
        <f ca="1">MAX(INDEX($D$92:$G$96,$L104,$A104),(OFFSET($B104,0,K$99)*J$101+OFFSET($B104,0,K$100)*J$100)/K$101)</f>
        <v>1594.2543330043609</v>
      </c>
      <c r="L104" s="388">
        <v>3</v>
      </c>
      <c r="N104" s="382" t="s">
        <v>256</v>
      </c>
      <c r="O104" s="549">
        <f ca="1"/>
        <v>0</v>
      </c>
      <c r="P104" s="552">
        <f ca="1"/>
        <v>420</v>
      </c>
      <c r="Q104" s="383">
        <f ca="1"/>
        <v>420</v>
      </c>
      <c r="R104" s="383">
        <f ca="1"/>
        <v>260</v>
      </c>
      <c r="S104" s="383">
        <f ca="1"/>
        <v>0</v>
      </c>
      <c r="T104" s="383">
        <f ca="1"/>
        <v>0</v>
      </c>
      <c r="U104" s="383">
        <f ca="1"/>
        <v>0</v>
      </c>
      <c r="V104" s="383">
        <f ca="1"/>
        <v>0</v>
      </c>
      <c r="W104" s="553">
        <f t="shared" ref="W104:W120" ca="1" si="5">(OFFSET($N104,0,$K$99)*$J$101+OFFSET($N104,0,$K$100)*$J$100)/$K$101</f>
        <v>356</v>
      </c>
      <c r="X104" s="553">
        <f t="shared" ref="X104:X118" ca="1" si="6">MAX(INDEX($P$92:$S$96,$L104,$A104),(OFFSET($N104,0,$K$99)*$J$101+OFFSET($N104,0,$K$100)*$J$100-0.5)/$K$101)</f>
        <v>355.9</v>
      </c>
    </row>
    <row r="105" spans="1:24" hidden="1">
      <c r="A105" s="364">
        <v>1</v>
      </c>
      <c r="B105" s="382" t="s">
        <v>257</v>
      </c>
      <c r="C105" s="549">
        <f ca="1"/>
        <v>0</v>
      </c>
      <c r="D105" s="552">
        <f ca="1"/>
        <v>70</v>
      </c>
      <c r="E105" s="383">
        <f ca="1"/>
        <v>293.39999999999998</v>
      </c>
      <c r="F105" s="383">
        <f ca="1"/>
        <v>403.4</v>
      </c>
      <c r="G105" s="383">
        <f ca="1"/>
        <v>403.4</v>
      </c>
      <c r="H105" s="383">
        <f ca="1"/>
        <v>403.4</v>
      </c>
      <c r="I105" s="383">
        <f ca="1"/>
        <v>403.4</v>
      </c>
      <c r="J105" s="383">
        <f ca="1"/>
        <v>100</v>
      </c>
      <c r="K105" s="553">
        <f ca="1">MAX(INDEX($D$92:$G$96,$L105,$A105),(OFFSET($B105,0,K$99)*J$101+OFFSET($B105,0,K$100)*J$100)/K$101)</f>
        <v>337.4</v>
      </c>
      <c r="L105" s="388">
        <v>5</v>
      </c>
      <c r="N105" s="382" t="s">
        <v>257</v>
      </c>
      <c r="O105" s="549">
        <f ca="1"/>
        <v>0</v>
      </c>
      <c r="P105" s="552">
        <f ca="1"/>
        <v>20</v>
      </c>
      <c r="Q105" s="383">
        <f ca="1"/>
        <v>20</v>
      </c>
      <c r="R105" s="383">
        <f ca="1"/>
        <v>242</v>
      </c>
      <c r="S105" s="383">
        <f ca="1"/>
        <v>492</v>
      </c>
      <c r="T105" s="383">
        <f ca="1"/>
        <v>492</v>
      </c>
      <c r="U105" s="383">
        <f ca="1"/>
        <v>492</v>
      </c>
      <c r="V105" s="383">
        <f ca="1"/>
        <v>400</v>
      </c>
      <c r="W105" s="553">
        <f t="shared" ca="1" si="5"/>
        <v>108.8</v>
      </c>
      <c r="X105" s="553">
        <f t="shared" ca="1" si="6"/>
        <v>108.7</v>
      </c>
    </row>
    <row r="106" spans="1:24" hidden="1">
      <c r="A106" s="364">
        <v>1</v>
      </c>
      <c r="B106" s="382" t="s">
        <v>314</v>
      </c>
      <c r="C106" s="549">
        <f ca="1"/>
        <v>0</v>
      </c>
      <c r="D106" s="554">
        <f ca="1"/>
        <v>215</v>
      </c>
      <c r="E106" s="555">
        <f ca="1"/>
        <v>0</v>
      </c>
      <c r="F106" s="555">
        <f ca="1"/>
        <v>0</v>
      </c>
      <c r="G106" s="555">
        <f ca="1"/>
        <v>0</v>
      </c>
      <c r="H106" s="556">
        <f ca="1"/>
        <v>0</v>
      </c>
      <c r="I106" s="433">
        <f ca="1"/>
        <v>0</v>
      </c>
      <c r="J106" s="433">
        <f ca="1"/>
        <v>0</v>
      </c>
      <c r="K106" s="557">
        <f ca="1">MAX(INDEX($D$92:$G$96,$L106,$A106),(OFFSET($B106,0,K$99)*J$101+OFFSET($B106,0,K$100)*J$100)/K$101)</f>
        <v>6.2799569602250438</v>
      </c>
      <c r="L106" s="388">
        <v>1</v>
      </c>
      <c r="N106" s="382" t="s">
        <v>314</v>
      </c>
      <c r="O106" s="549">
        <f ca="1"/>
        <v>0</v>
      </c>
      <c r="P106" s="558">
        <f ca="1"/>
        <v>1750.7</v>
      </c>
      <c r="Q106" s="433">
        <f ca="1"/>
        <v>935</v>
      </c>
      <c r="R106" s="433">
        <f ca="1"/>
        <v>670.62284482412315</v>
      </c>
      <c r="S106" s="433">
        <f ca="1"/>
        <v>439.1821945388952</v>
      </c>
      <c r="T106" s="433">
        <f ca="1"/>
        <v>398.49215801568795</v>
      </c>
      <c r="U106" s="433">
        <f ca="1"/>
        <v>0</v>
      </c>
      <c r="V106" s="433">
        <f ca="1"/>
        <v>0</v>
      </c>
      <c r="W106" s="557">
        <f t="shared" ca="1" si="5"/>
        <v>829.24913792964924</v>
      </c>
      <c r="X106" s="557">
        <f t="shared" ca="1" si="6"/>
        <v>829.14913792964921</v>
      </c>
    </row>
    <row r="107" spans="1:24" hidden="1">
      <c r="A107" s="364">
        <v>2</v>
      </c>
      <c r="B107" s="382" t="s">
        <v>255</v>
      </c>
      <c r="C107" s="549">
        <f ca="1"/>
        <v>0</v>
      </c>
      <c r="D107" s="552">
        <f ca="1"/>
        <v>0</v>
      </c>
      <c r="E107" s="383">
        <f ca="1"/>
        <v>0</v>
      </c>
      <c r="F107" s="383">
        <f ca="1"/>
        <v>0</v>
      </c>
      <c r="G107" s="383">
        <f ca="1"/>
        <v>0</v>
      </c>
      <c r="H107" s="383">
        <f ca="1"/>
        <v>0</v>
      </c>
      <c r="I107" s="383">
        <f ca="1"/>
        <v>0</v>
      </c>
      <c r="J107" s="383">
        <f ca="1"/>
        <v>0</v>
      </c>
      <c r="K107" s="553">
        <f t="shared" ref="K107:K118" ca="1" si="7">MAX(INDEX($D$92:$G$96,$L107,$A107),(OFFSET($B107,0,K$99)*J$101+OFFSET($B107,0,K$100)*J$100)/K$101)</f>
        <v>0</v>
      </c>
      <c r="L107" s="388">
        <v>2</v>
      </c>
      <c r="N107" s="382" t="s">
        <v>255</v>
      </c>
      <c r="O107" s="549">
        <f ca="1"/>
        <v>0</v>
      </c>
      <c r="P107" s="552">
        <f ca="1"/>
        <v>0</v>
      </c>
      <c r="Q107" s="383">
        <f ca="1"/>
        <v>0</v>
      </c>
      <c r="R107" s="383">
        <f ca="1"/>
        <v>0</v>
      </c>
      <c r="S107" s="383">
        <f ca="1"/>
        <v>0</v>
      </c>
      <c r="T107" s="383">
        <f ca="1"/>
        <v>0</v>
      </c>
      <c r="U107" s="383">
        <f ca="1"/>
        <v>0</v>
      </c>
      <c r="V107" s="383">
        <f ca="1"/>
        <v>0</v>
      </c>
      <c r="W107" s="553">
        <f t="shared" ca="1" si="5"/>
        <v>0</v>
      </c>
      <c r="X107" s="553">
        <f t="shared" ca="1" si="6"/>
        <v>0</v>
      </c>
    </row>
    <row r="108" spans="1:24" hidden="1">
      <c r="A108" s="364">
        <v>2</v>
      </c>
      <c r="B108" s="382" t="s">
        <v>256</v>
      </c>
      <c r="C108" s="549">
        <f ca="1"/>
        <v>0</v>
      </c>
      <c r="D108" s="552">
        <f ca="1"/>
        <v>0</v>
      </c>
      <c r="E108" s="383">
        <f ca="1"/>
        <v>0</v>
      </c>
      <c r="F108" s="383">
        <f ca="1"/>
        <v>0</v>
      </c>
      <c r="G108" s="383">
        <f ca="1"/>
        <v>0</v>
      </c>
      <c r="H108" s="383">
        <f ca="1"/>
        <v>0</v>
      </c>
      <c r="I108" s="383">
        <f ca="1"/>
        <v>0</v>
      </c>
      <c r="J108" s="383">
        <f ca="1"/>
        <v>0</v>
      </c>
      <c r="K108" s="553">
        <f t="shared" ca="1" si="7"/>
        <v>0</v>
      </c>
      <c r="L108" s="388">
        <v>3</v>
      </c>
      <c r="N108" s="382" t="s">
        <v>256</v>
      </c>
      <c r="O108" s="549">
        <f ca="1"/>
        <v>0</v>
      </c>
      <c r="P108" s="552">
        <f ca="1"/>
        <v>0</v>
      </c>
      <c r="Q108" s="383">
        <f ca="1"/>
        <v>0</v>
      </c>
      <c r="R108" s="383">
        <f ca="1"/>
        <v>0</v>
      </c>
      <c r="S108" s="383">
        <f ca="1"/>
        <v>0</v>
      </c>
      <c r="T108" s="383">
        <f ca="1"/>
        <v>0</v>
      </c>
      <c r="U108" s="383">
        <f ca="1"/>
        <v>0</v>
      </c>
      <c r="V108" s="383">
        <f ca="1"/>
        <v>0</v>
      </c>
      <c r="W108" s="553">
        <f t="shared" ca="1" si="5"/>
        <v>0</v>
      </c>
      <c r="X108" s="553">
        <f t="shared" ca="1" si="6"/>
        <v>0</v>
      </c>
    </row>
    <row r="109" spans="1:24" hidden="1">
      <c r="A109" s="364">
        <v>2</v>
      </c>
      <c r="B109" s="382" t="s">
        <v>257</v>
      </c>
      <c r="C109" s="549">
        <f ca="1"/>
        <v>0</v>
      </c>
      <c r="D109" s="552">
        <f ca="1"/>
        <v>0</v>
      </c>
      <c r="E109" s="383">
        <f ca="1"/>
        <v>0</v>
      </c>
      <c r="F109" s="383">
        <f ca="1"/>
        <v>0</v>
      </c>
      <c r="G109" s="383">
        <f ca="1"/>
        <v>0</v>
      </c>
      <c r="H109" s="383">
        <f ca="1"/>
        <v>0</v>
      </c>
      <c r="I109" s="383">
        <f ca="1"/>
        <v>0</v>
      </c>
      <c r="J109" s="383">
        <f ca="1"/>
        <v>0</v>
      </c>
      <c r="K109" s="553">
        <f t="shared" ca="1" si="7"/>
        <v>0</v>
      </c>
      <c r="L109" s="388">
        <v>5</v>
      </c>
      <c r="N109" s="382" t="s">
        <v>257</v>
      </c>
      <c r="O109" s="549">
        <f ca="1"/>
        <v>0</v>
      </c>
      <c r="P109" s="552">
        <f ca="1"/>
        <v>0</v>
      </c>
      <c r="Q109" s="383">
        <f ca="1"/>
        <v>0</v>
      </c>
      <c r="R109" s="383">
        <f ca="1"/>
        <v>0</v>
      </c>
      <c r="S109" s="383">
        <f ca="1"/>
        <v>0</v>
      </c>
      <c r="T109" s="383">
        <f ca="1"/>
        <v>0</v>
      </c>
      <c r="U109" s="383">
        <f ca="1"/>
        <v>0</v>
      </c>
      <c r="V109" s="383">
        <f ca="1"/>
        <v>0</v>
      </c>
      <c r="W109" s="553">
        <f t="shared" ca="1" si="5"/>
        <v>0</v>
      </c>
      <c r="X109" s="553">
        <f t="shared" ca="1" si="6"/>
        <v>0</v>
      </c>
    </row>
    <row r="110" spans="1:24" hidden="1">
      <c r="A110" s="364">
        <v>2</v>
      </c>
      <c r="B110" s="382" t="s">
        <v>314</v>
      </c>
      <c r="C110" s="549">
        <f ca="1"/>
        <v>0</v>
      </c>
      <c r="D110" s="558">
        <f ca="1"/>
        <v>0</v>
      </c>
      <c r="E110" s="433">
        <f ca="1"/>
        <v>0</v>
      </c>
      <c r="F110" s="433">
        <f ca="1"/>
        <v>0</v>
      </c>
      <c r="G110" s="433">
        <f ca="1"/>
        <v>0</v>
      </c>
      <c r="H110" s="433">
        <f ca="1"/>
        <v>0</v>
      </c>
      <c r="I110" s="433">
        <f ca="1"/>
        <v>0</v>
      </c>
      <c r="J110" s="433">
        <f ca="1"/>
        <v>0</v>
      </c>
      <c r="K110" s="557">
        <f t="shared" ca="1" si="7"/>
        <v>0</v>
      </c>
      <c r="L110" s="388">
        <v>1</v>
      </c>
      <c r="N110" s="382" t="s">
        <v>314</v>
      </c>
      <c r="O110" s="549">
        <f ca="1"/>
        <v>0</v>
      </c>
      <c r="P110" s="558">
        <f ca="1"/>
        <v>0</v>
      </c>
      <c r="Q110" s="433">
        <f ca="1"/>
        <v>0</v>
      </c>
      <c r="R110" s="433">
        <f ca="1"/>
        <v>0</v>
      </c>
      <c r="S110" s="433">
        <f ca="1"/>
        <v>0</v>
      </c>
      <c r="T110" s="433">
        <f ca="1"/>
        <v>0</v>
      </c>
      <c r="U110" s="433">
        <f ca="1"/>
        <v>0</v>
      </c>
      <c r="V110" s="433">
        <f ca="1"/>
        <v>0</v>
      </c>
      <c r="W110" s="557">
        <f t="shared" ca="1" si="5"/>
        <v>0</v>
      </c>
      <c r="X110" s="557">
        <f t="shared" ca="1" si="6"/>
        <v>0</v>
      </c>
    </row>
    <row r="111" spans="1:24" hidden="1">
      <c r="A111" s="364">
        <v>3</v>
      </c>
      <c r="B111" s="382" t="s">
        <v>255</v>
      </c>
      <c r="C111" s="549">
        <f ca="1"/>
        <v>0</v>
      </c>
      <c r="D111" s="552">
        <f ca="1"/>
        <v>0</v>
      </c>
      <c r="E111" s="383">
        <f ca="1"/>
        <v>0</v>
      </c>
      <c r="F111" s="383">
        <f ca="1"/>
        <v>0</v>
      </c>
      <c r="G111" s="383">
        <f ca="1"/>
        <v>0</v>
      </c>
      <c r="H111" s="383">
        <f ca="1"/>
        <v>0</v>
      </c>
      <c r="I111" s="383">
        <f ca="1"/>
        <v>0</v>
      </c>
      <c r="J111" s="383">
        <f ca="1"/>
        <v>0</v>
      </c>
      <c r="K111" s="553">
        <f t="shared" ca="1" si="7"/>
        <v>0</v>
      </c>
      <c r="L111" s="388">
        <v>2</v>
      </c>
      <c r="N111" s="382" t="s">
        <v>255</v>
      </c>
      <c r="O111" s="549">
        <f ca="1"/>
        <v>0</v>
      </c>
      <c r="P111" s="552">
        <f ca="1"/>
        <v>0</v>
      </c>
      <c r="Q111" s="383">
        <f ca="1"/>
        <v>0</v>
      </c>
      <c r="R111" s="383">
        <f ca="1"/>
        <v>0</v>
      </c>
      <c r="S111" s="383">
        <f ca="1"/>
        <v>0</v>
      </c>
      <c r="T111" s="383">
        <f ca="1"/>
        <v>0</v>
      </c>
      <c r="U111" s="383">
        <f ca="1"/>
        <v>0</v>
      </c>
      <c r="V111" s="383">
        <f ca="1"/>
        <v>0</v>
      </c>
      <c r="W111" s="553">
        <f t="shared" ca="1" si="5"/>
        <v>0</v>
      </c>
      <c r="X111" s="553">
        <f t="shared" ca="1" si="6"/>
        <v>0</v>
      </c>
    </row>
    <row r="112" spans="1:24" hidden="1">
      <c r="A112" s="364">
        <v>3</v>
      </c>
      <c r="B112" s="382" t="s">
        <v>256</v>
      </c>
      <c r="C112" s="549">
        <f ca="1"/>
        <v>0</v>
      </c>
      <c r="D112" s="552">
        <f ca="1"/>
        <v>0</v>
      </c>
      <c r="E112" s="383">
        <f ca="1"/>
        <v>0</v>
      </c>
      <c r="F112" s="383">
        <f ca="1"/>
        <v>0</v>
      </c>
      <c r="G112" s="383">
        <f ca="1"/>
        <v>0</v>
      </c>
      <c r="H112" s="383">
        <f ca="1"/>
        <v>0</v>
      </c>
      <c r="I112" s="383">
        <f ca="1"/>
        <v>0</v>
      </c>
      <c r="J112" s="383">
        <f ca="1"/>
        <v>0</v>
      </c>
      <c r="K112" s="553">
        <f t="shared" ca="1" si="7"/>
        <v>0</v>
      </c>
      <c r="L112" s="388">
        <v>3</v>
      </c>
      <c r="N112" s="382" t="s">
        <v>256</v>
      </c>
      <c r="O112" s="549">
        <f ca="1"/>
        <v>0</v>
      </c>
      <c r="P112" s="552">
        <f ca="1"/>
        <v>0</v>
      </c>
      <c r="Q112" s="383">
        <f ca="1"/>
        <v>0</v>
      </c>
      <c r="R112" s="383">
        <f ca="1"/>
        <v>0</v>
      </c>
      <c r="S112" s="383">
        <f ca="1"/>
        <v>0</v>
      </c>
      <c r="T112" s="383">
        <f ca="1"/>
        <v>0</v>
      </c>
      <c r="U112" s="383">
        <f ca="1"/>
        <v>0</v>
      </c>
      <c r="V112" s="383">
        <f ca="1"/>
        <v>0</v>
      </c>
      <c r="W112" s="553">
        <f t="shared" ca="1" si="5"/>
        <v>0</v>
      </c>
      <c r="X112" s="553">
        <f t="shared" ca="1" si="6"/>
        <v>0</v>
      </c>
    </row>
    <row r="113" spans="1:27" hidden="1">
      <c r="A113" s="364">
        <v>3</v>
      </c>
      <c r="B113" s="382" t="s">
        <v>257</v>
      </c>
      <c r="C113" s="549">
        <f ca="1"/>
        <v>0</v>
      </c>
      <c r="D113" s="552">
        <f ca="1"/>
        <v>0</v>
      </c>
      <c r="E113" s="383">
        <f ca="1"/>
        <v>0</v>
      </c>
      <c r="F113" s="383">
        <f ca="1"/>
        <v>0</v>
      </c>
      <c r="G113" s="383">
        <f ca="1"/>
        <v>0</v>
      </c>
      <c r="H113" s="383">
        <f ca="1"/>
        <v>0</v>
      </c>
      <c r="I113" s="383">
        <f ca="1"/>
        <v>0</v>
      </c>
      <c r="J113" s="383">
        <f ca="1"/>
        <v>0</v>
      </c>
      <c r="K113" s="553">
        <f t="shared" ca="1" si="7"/>
        <v>0</v>
      </c>
      <c r="L113" s="388">
        <v>5</v>
      </c>
      <c r="N113" s="382" t="s">
        <v>257</v>
      </c>
      <c r="O113" s="549">
        <f ca="1"/>
        <v>0</v>
      </c>
      <c r="P113" s="552">
        <f ca="1"/>
        <v>0</v>
      </c>
      <c r="Q113" s="383">
        <f ca="1"/>
        <v>0</v>
      </c>
      <c r="R113" s="383">
        <f ca="1"/>
        <v>0</v>
      </c>
      <c r="S113" s="383">
        <f ca="1"/>
        <v>0</v>
      </c>
      <c r="T113" s="383">
        <f ca="1"/>
        <v>0</v>
      </c>
      <c r="U113" s="383">
        <f ca="1"/>
        <v>0</v>
      </c>
      <c r="V113" s="383">
        <f ca="1"/>
        <v>0</v>
      </c>
      <c r="W113" s="553">
        <f t="shared" ca="1" si="5"/>
        <v>0</v>
      </c>
      <c r="X113" s="553">
        <f t="shared" ca="1" si="6"/>
        <v>0</v>
      </c>
    </row>
    <row r="114" spans="1:27" hidden="1">
      <c r="A114" s="364">
        <v>3</v>
      </c>
      <c r="B114" s="382" t="s">
        <v>314</v>
      </c>
      <c r="C114" s="549">
        <f ca="1"/>
        <v>0</v>
      </c>
      <c r="D114" s="558">
        <f ca="1"/>
        <v>0</v>
      </c>
      <c r="E114" s="433">
        <f ca="1"/>
        <v>0</v>
      </c>
      <c r="F114" s="433">
        <f ca="1"/>
        <v>0</v>
      </c>
      <c r="G114" s="433">
        <f ca="1"/>
        <v>0</v>
      </c>
      <c r="H114" s="433">
        <f ca="1"/>
        <v>0</v>
      </c>
      <c r="I114" s="433">
        <f ca="1"/>
        <v>0</v>
      </c>
      <c r="J114" s="433">
        <f ca="1"/>
        <v>0</v>
      </c>
      <c r="K114" s="557">
        <f t="shared" ca="1" si="7"/>
        <v>0</v>
      </c>
      <c r="L114" s="388">
        <v>1</v>
      </c>
      <c r="N114" s="382" t="s">
        <v>314</v>
      </c>
      <c r="O114" s="549">
        <f ca="1"/>
        <v>0</v>
      </c>
      <c r="P114" s="558">
        <f ca="1"/>
        <v>0</v>
      </c>
      <c r="Q114" s="433">
        <f ca="1"/>
        <v>0</v>
      </c>
      <c r="R114" s="433">
        <f ca="1"/>
        <v>0</v>
      </c>
      <c r="S114" s="433">
        <f ca="1"/>
        <v>0</v>
      </c>
      <c r="T114" s="433">
        <f ca="1"/>
        <v>0</v>
      </c>
      <c r="U114" s="433">
        <f ca="1"/>
        <v>0</v>
      </c>
      <c r="V114" s="433">
        <f ca="1"/>
        <v>0</v>
      </c>
      <c r="W114" s="557">
        <f t="shared" ca="1" si="5"/>
        <v>0</v>
      </c>
      <c r="X114" s="557">
        <f t="shared" ca="1" si="6"/>
        <v>0</v>
      </c>
    </row>
    <row r="115" spans="1:27" hidden="1">
      <c r="A115" s="364">
        <v>4</v>
      </c>
      <c r="B115" s="382" t="s">
        <v>255</v>
      </c>
      <c r="C115" s="549">
        <f ca="1"/>
        <v>0</v>
      </c>
      <c r="D115" s="552">
        <f ca="1"/>
        <v>0</v>
      </c>
      <c r="E115" s="383">
        <f ca="1"/>
        <v>0</v>
      </c>
      <c r="F115" s="383">
        <f ca="1"/>
        <v>0</v>
      </c>
      <c r="G115" s="383">
        <f ca="1"/>
        <v>0</v>
      </c>
      <c r="H115" s="383">
        <f ca="1"/>
        <v>0</v>
      </c>
      <c r="I115" s="383">
        <f ca="1"/>
        <v>0</v>
      </c>
      <c r="J115" s="383">
        <f ca="1"/>
        <v>0</v>
      </c>
      <c r="K115" s="553">
        <f t="shared" ca="1" si="7"/>
        <v>0</v>
      </c>
      <c r="L115" s="388">
        <v>2</v>
      </c>
      <c r="N115" s="382" t="s">
        <v>255</v>
      </c>
      <c r="O115" s="549">
        <f ca="1"/>
        <v>0</v>
      </c>
      <c r="P115" s="552">
        <f ca="1"/>
        <v>0</v>
      </c>
      <c r="Q115" s="383">
        <f ca="1"/>
        <v>0</v>
      </c>
      <c r="R115" s="383">
        <f ca="1"/>
        <v>0</v>
      </c>
      <c r="S115" s="383">
        <f ca="1"/>
        <v>0</v>
      </c>
      <c r="T115" s="383">
        <f ca="1"/>
        <v>0</v>
      </c>
      <c r="U115" s="383">
        <f ca="1"/>
        <v>0</v>
      </c>
      <c r="V115" s="383">
        <f ca="1"/>
        <v>0</v>
      </c>
      <c r="W115" s="553">
        <f t="shared" ca="1" si="5"/>
        <v>0</v>
      </c>
      <c r="X115" s="553">
        <f t="shared" ca="1" si="6"/>
        <v>0</v>
      </c>
    </row>
    <row r="116" spans="1:27" hidden="1">
      <c r="A116" s="364">
        <v>4</v>
      </c>
      <c r="B116" s="382" t="s">
        <v>256</v>
      </c>
      <c r="C116" s="549">
        <f ca="1"/>
        <v>0</v>
      </c>
      <c r="D116" s="552">
        <f ca="1"/>
        <v>0</v>
      </c>
      <c r="E116" s="383">
        <f ca="1"/>
        <v>0</v>
      </c>
      <c r="F116" s="383">
        <f ca="1"/>
        <v>0</v>
      </c>
      <c r="G116" s="383">
        <f ca="1"/>
        <v>0</v>
      </c>
      <c r="H116" s="383">
        <f ca="1"/>
        <v>0</v>
      </c>
      <c r="I116" s="383">
        <f ca="1"/>
        <v>0</v>
      </c>
      <c r="J116" s="383">
        <f ca="1"/>
        <v>0</v>
      </c>
      <c r="K116" s="553">
        <f t="shared" ca="1" si="7"/>
        <v>0</v>
      </c>
      <c r="L116" s="388">
        <v>3</v>
      </c>
      <c r="N116" s="382" t="s">
        <v>256</v>
      </c>
      <c r="O116" s="549">
        <f ca="1"/>
        <v>0</v>
      </c>
      <c r="P116" s="552">
        <f ca="1"/>
        <v>0</v>
      </c>
      <c r="Q116" s="383">
        <f ca="1"/>
        <v>0</v>
      </c>
      <c r="R116" s="383">
        <f ca="1"/>
        <v>0</v>
      </c>
      <c r="S116" s="383">
        <f ca="1"/>
        <v>0</v>
      </c>
      <c r="T116" s="383">
        <f ca="1"/>
        <v>0</v>
      </c>
      <c r="U116" s="383">
        <f ca="1"/>
        <v>0</v>
      </c>
      <c r="V116" s="383">
        <f ca="1"/>
        <v>0</v>
      </c>
      <c r="W116" s="553">
        <f t="shared" ca="1" si="5"/>
        <v>0</v>
      </c>
      <c r="X116" s="553">
        <f t="shared" ca="1" si="6"/>
        <v>0</v>
      </c>
    </row>
    <row r="117" spans="1:27" hidden="1">
      <c r="A117" s="364">
        <v>4</v>
      </c>
      <c r="B117" s="382" t="s">
        <v>257</v>
      </c>
      <c r="C117" s="549">
        <f ca="1"/>
        <v>0</v>
      </c>
      <c r="D117" s="552">
        <f ca="1"/>
        <v>0</v>
      </c>
      <c r="E117" s="383">
        <f ca="1"/>
        <v>0</v>
      </c>
      <c r="F117" s="383">
        <f ca="1"/>
        <v>0</v>
      </c>
      <c r="G117" s="383">
        <f ca="1"/>
        <v>0</v>
      </c>
      <c r="H117" s="383">
        <f ca="1"/>
        <v>0</v>
      </c>
      <c r="I117" s="383">
        <f ca="1"/>
        <v>0</v>
      </c>
      <c r="J117" s="383">
        <f ca="1"/>
        <v>0</v>
      </c>
      <c r="K117" s="553">
        <f t="shared" ca="1" si="7"/>
        <v>0</v>
      </c>
      <c r="L117" s="388">
        <v>5</v>
      </c>
      <c r="N117" s="382" t="s">
        <v>257</v>
      </c>
      <c r="O117" s="549">
        <f ca="1"/>
        <v>0</v>
      </c>
      <c r="P117" s="552">
        <f ca="1"/>
        <v>0</v>
      </c>
      <c r="Q117" s="383">
        <f ca="1"/>
        <v>0</v>
      </c>
      <c r="R117" s="383">
        <f ca="1"/>
        <v>0</v>
      </c>
      <c r="S117" s="383">
        <f ca="1"/>
        <v>0</v>
      </c>
      <c r="T117" s="383">
        <f ca="1"/>
        <v>0</v>
      </c>
      <c r="U117" s="383">
        <f ca="1"/>
        <v>0</v>
      </c>
      <c r="V117" s="383">
        <f ca="1"/>
        <v>0</v>
      </c>
      <c r="W117" s="553">
        <f t="shared" ca="1" si="5"/>
        <v>0</v>
      </c>
      <c r="X117" s="553">
        <f t="shared" ca="1" si="6"/>
        <v>0</v>
      </c>
    </row>
    <row r="118" spans="1:27" hidden="1">
      <c r="A118" s="364">
        <v>4</v>
      </c>
      <c r="B118" s="382" t="s">
        <v>314</v>
      </c>
      <c r="C118" s="549">
        <f ca="1"/>
        <v>0</v>
      </c>
      <c r="D118" s="552">
        <f ca="1"/>
        <v>0</v>
      </c>
      <c r="E118" s="559">
        <f ca="1"/>
        <v>0</v>
      </c>
      <c r="F118" s="559">
        <f ca="1"/>
        <v>0</v>
      </c>
      <c r="G118" s="559">
        <f ca="1"/>
        <v>0</v>
      </c>
      <c r="H118" s="559">
        <f ca="1"/>
        <v>0</v>
      </c>
      <c r="I118" s="559">
        <f ca="1"/>
        <v>0</v>
      </c>
      <c r="J118" s="559">
        <f ca="1"/>
        <v>0</v>
      </c>
      <c r="K118" s="557">
        <f t="shared" ca="1" si="7"/>
        <v>0</v>
      </c>
      <c r="L118" s="388">
        <v>1</v>
      </c>
      <c r="N118" s="382" t="s">
        <v>314</v>
      </c>
      <c r="O118" s="549">
        <f ca="1"/>
        <v>0</v>
      </c>
      <c r="P118" s="558">
        <f ca="1"/>
        <v>0</v>
      </c>
      <c r="Q118" s="433">
        <f ca="1"/>
        <v>0</v>
      </c>
      <c r="R118" s="433">
        <f ca="1"/>
        <v>0</v>
      </c>
      <c r="S118" s="433">
        <f ca="1"/>
        <v>0</v>
      </c>
      <c r="T118" s="433">
        <f ca="1"/>
        <v>0</v>
      </c>
      <c r="U118" s="433">
        <f ca="1"/>
        <v>0</v>
      </c>
      <c r="V118" s="433">
        <f ca="1"/>
        <v>0</v>
      </c>
      <c r="W118" s="557">
        <f t="shared" ca="1" si="5"/>
        <v>0</v>
      </c>
      <c r="X118" s="557">
        <f t="shared" ca="1" si="6"/>
        <v>0</v>
      </c>
    </row>
    <row r="119" spans="1:27" hidden="1">
      <c r="A119" s="364">
        <v>0</v>
      </c>
      <c r="B119" s="382" t="s">
        <v>597</v>
      </c>
      <c r="C119" s="549"/>
      <c r="D119" s="510">
        <f ca="1">N$29/$W$29*$F$38*1000</f>
        <v>0</v>
      </c>
      <c r="E119" s="511">
        <f t="shared" ref="E119:J119" ca="1" si="8">O$29/$W$29*$F$38*1000</f>
        <v>223.99999999999997</v>
      </c>
      <c r="F119" s="511">
        <f t="shared" ca="1" si="8"/>
        <v>223.99999999999997</v>
      </c>
      <c r="G119" s="511">
        <f t="shared" ca="1" si="8"/>
        <v>223.99999999999997</v>
      </c>
      <c r="H119" s="511">
        <f t="shared" ca="1" si="8"/>
        <v>223.99999999999997</v>
      </c>
      <c r="I119" s="511">
        <f t="shared" ca="1" si="8"/>
        <v>223.99999999999997</v>
      </c>
      <c r="J119" s="512">
        <f t="shared" ca="1" si="8"/>
        <v>223.99999999999997</v>
      </c>
      <c r="K119" s="560">
        <f ca="1">(OFFSET($B119,0,K$99)*J$101+OFFSET($B119,0,K$100)*J$100)/K$101</f>
        <v>223.99999999999994</v>
      </c>
      <c r="L119" s="388"/>
      <c r="N119" s="382" t="s">
        <v>597</v>
      </c>
      <c r="O119" s="549"/>
      <c r="P119" s="510">
        <f ca="1">Q38*1000/SCAP</f>
        <v>0</v>
      </c>
      <c r="Q119" s="511">
        <f>$X119</f>
        <v>58.337449877406513</v>
      </c>
      <c r="R119" s="511">
        <f>X119</f>
        <v>58.337449877406513</v>
      </c>
      <c r="S119" s="511">
        <f>$X119</f>
        <v>58.337449877406513</v>
      </c>
      <c r="T119" s="511">
        <f>$X119</f>
        <v>58.337449877406513</v>
      </c>
      <c r="U119" s="511">
        <f>$X119</f>
        <v>58.337449877406513</v>
      </c>
      <c r="V119" s="512">
        <v>0</v>
      </c>
      <c r="W119" s="560">
        <f t="shared" ca="1" si="5"/>
        <v>58.337449877406513</v>
      </c>
      <c r="X119" s="560">
        <f ca="1">R38*1000/SCAP</f>
        <v>58.337449877406513</v>
      </c>
    </row>
    <row r="120" spans="1:27" hidden="1">
      <c r="D120" s="386">
        <f ca="1">SUM(D103:D118)</f>
        <v>3974</v>
      </c>
      <c r="H120" s="386">
        <f ca="1">SUM(H103:H118)</f>
        <v>2607.5055013960596</v>
      </c>
      <c r="K120" s="386">
        <f ca="1">SUM(K103:K118)</f>
        <v>3933.9342899645862</v>
      </c>
      <c r="L120" s="388"/>
      <c r="N120" s="382" t="s">
        <v>648</v>
      </c>
      <c r="O120" s="549"/>
      <c r="P120" s="510">
        <f t="array" aca="1" ref="P120:V120" ca="1">OFFSET(CalibData2!$D$127:$J$127,0,(CalIndex-1)*10)</f>
        <v>105</v>
      </c>
      <c r="Q120" s="511">
        <f ca="1"/>
        <v>145</v>
      </c>
      <c r="R120" s="511">
        <f ca="1"/>
        <v>167</v>
      </c>
      <c r="S120" s="511">
        <f ca="1"/>
        <v>190</v>
      </c>
      <c r="T120" s="511">
        <f ca="1"/>
        <v>190</v>
      </c>
      <c r="U120" s="511">
        <f ca="1"/>
        <v>85</v>
      </c>
      <c r="V120" s="512">
        <f ca="1"/>
        <v>23</v>
      </c>
      <c r="W120" s="560">
        <f t="shared" ca="1" si="5"/>
        <v>153.80000000000001</v>
      </c>
      <c r="X120" s="560">
        <f ca="1">MAX(AuxData2!$G107/C$14/$T39*1000/SCAP,(OFFSET($N120,0,K$99)*J$101+OFFSET($N120,0,K$100)*J$100)/K$101)</f>
        <v>153.80000000000001</v>
      </c>
    </row>
    <row r="121" spans="1:27" hidden="1">
      <c r="P121" s="386">
        <f ca="1">SUM(P103:P118)</f>
        <v>4102.7</v>
      </c>
      <c r="W121" s="386">
        <f ca="1">SUM(W103:W118)</f>
        <v>3052.1255905529365</v>
      </c>
      <c r="X121" s="386">
        <f ca="1">SUM(X103:X118)</f>
        <v>3051.7255905529364</v>
      </c>
    </row>
    <row r="122" spans="1:27" hidden="1">
      <c r="E122" s="364" t="s">
        <v>452</v>
      </c>
      <c r="Q122" s="364" t="s">
        <v>453</v>
      </c>
    </row>
    <row r="123" spans="1:27" hidden="1">
      <c r="B123" s="364" t="s">
        <v>380</v>
      </c>
      <c r="C123" s="561">
        <f ca="1">BaseYear</f>
        <v>2010</v>
      </c>
      <c r="D123" s="561">
        <f ca="1">AuxYear</f>
        <v>2017</v>
      </c>
      <c r="E123" s="536">
        <v>2015</v>
      </c>
      <c r="F123" s="536">
        <v>2020</v>
      </c>
      <c r="G123" s="536">
        <v>2025</v>
      </c>
      <c r="H123" s="536">
        <v>2030</v>
      </c>
      <c r="I123" s="536">
        <v>2040</v>
      </c>
      <c r="J123" s="536">
        <v>2050</v>
      </c>
      <c r="K123" s="379" t="s">
        <v>259</v>
      </c>
      <c r="L123" s="379" t="s">
        <v>259</v>
      </c>
      <c r="N123" s="364" t="s">
        <v>381</v>
      </c>
      <c r="O123" s="561">
        <f ca="1">BaseYear</f>
        <v>2010</v>
      </c>
      <c r="P123" s="561">
        <f ca="1">AuxYear</f>
        <v>2017</v>
      </c>
      <c r="Q123" s="411">
        <v>2015</v>
      </c>
      <c r="R123" s="411">
        <v>2020</v>
      </c>
      <c r="S123" s="411">
        <v>2025</v>
      </c>
      <c r="T123" s="411">
        <v>2030</v>
      </c>
      <c r="U123" s="411">
        <v>2040</v>
      </c>
      <c r="V123" s="411">
        <v>2050</v>
      </c>
      <c r="W123" s="494" t="s">
        <v>259</v>
      </c>
      <c r="X123" s="494" t="s">
        <v>259</v>
      </c>
    </row>
    <row r="124" spans="1:27" hidden="1">
      <c r="A124" s="364">
        <v>1</v>
      </c>
      <c r="B124" s="382" t="s">
        <v>254</v>
      </c>
      <c r="C124" s="550">
        <f ca="1">MAX(VLOOKUP($B124,$B$62:$G$66,$A124+2,0),IF(OFFSET($B$102,$M124,0)=$B124,(OFFSET($D$102,$M124,0)-IF($B124="BIO",C123*SCAP))))/SCAP</f>
        <v>107.38921722854317</v>
      </c>
      <c r="D124" s="562">
        <f t="shared" ref="D124:D143" ca="1" si="9">MAX(VLOOKUP($B124,$B$92:$G$96,$A124+2,0),IF(OFFSET($B$102,$M124,0)=$B124,(OFFSET($K$102,$M124,0)-IF($B124="BIO",D123*SCAP))))/SCAP</f>
        <v>6.2799569602250438</v>
      </c>
      <c r="E124" s="563">
        <f t="shared" ref="E124:J133" ca="1" si="10">IF($D124&gt;0,MIN(OFFSET(E$102,$M124,0)/MIN($D124*SCAP,OFFSET($K$102,$M124,0)),MIN(10^IF($B124=OFFSET($B$102,$M124,0),3,0),MAX(0,$D124*SCAP+OFFSET(E$102,$M124,0)-OFFSET($K$102,$M124,0))/(SCAP*$D124))),0)</f>
        <v>0</v>
      </c>
      <c r="F124" s="564">
        <f t="shared" ca="1" si="10"/>
        <v>0</v>
      </c>
      <c r="G124" s="564">
        <f t="shared" ca="1" si="10"/>
        <v>0</v>
      </c>
      <c r="H124" s="564">
        <f t="shared" ca="1" si="10"/>
        <v>0</v>
      </c>
      <c r="I124" s="564">
        <f t="shared" ca="1" si="10"/>
        <v>0</v>
      </c>
      <c r="J124" s="564">
        <f t="shared" ca="1" si="10"/>
        <v>0</v>
      </c>
      <c r="K124" s="565">
        <f t="array" aca="1" ref="K124:K128" ca="1">IEAData2!I$90:I$94*TRANSPOSE(INDEX(C$45:G$48,$A124,0))/IF(C124:C128&gt;0,C124:C128*$C$14,1)*1000/SCAP</f>
        <v>0.39506704900565398</v>
      </c>
      <c r="L124" s="566">
        <f t="array" aca="1" ref="L124:L128" ca="1">AuxData2!I$90:I$94*TRANSPOSE(INDEX(C$75:G$78,$A124,0))/IF(D124:D128&gt;0,D124:D128*$C$14,1)*1000/SCAP</f>
        <v>0.49096468636495066</v>
      </c>
      <c r="M124" s="567">
        <f t="shared" ref="M124:M143" si="11">($A124-1)*4+$Y124</f>
        <v>4</v>
      </c>
      <c r="N124" s="382" t="s">
        <v>254</v>
      </c>
      <c r="O124" s="568">
        <f ca="1">MAX(VLOOKUP($N124,$N$62:$S$66,$A124+2,0),IF(OR(OFFSET($N$102,$M124,0)=$N124,$N124="OIL"),OFFSET($P$102,$M124,0)-IF($N124="BIO",O123*SHCAP)))/SHCAP</f>
        <v>1.7507000000000001</v>
      </c>
      <c r="P124" s="568">
        <f ca="1">MAX(VLOOKUP($N124,$N$92:$S$96,$A124+2,0),IF(OR(OFFSET($N$102,$M124,0)=$N124,$N124="OIL"),OFFSET($X$102,$M124,0)-IF($N124="BIO",P123*SHCAP)))/SHCAP</f>
        <v>0.82914913792964917</v>
      </c>
      <c r="Q124" s="569">
        <f t="shared" ref="Q124:Q143" ca="1" si="12">IF(P124&gt;0,MAX(IF($N124=OFFSET($N$102,$M124,0),OFFSET(Q$102,$M124,0)/SHCAP-IF($N124="BIO",Q123)),$P124*MIN(1,OFFSET(Q$102,$M124,0)/MAX(Tiny,OFFSET($W$102,$M124,0)))),0)</f>
        <v>0.82914913792964917</v>
      </c>
      <c r="R124" s="570">
        <f t="shared" ref="R124:R143" ca="1" si="13">IF(Q124&gt;0,MAX(IF($N124=OFFSET($N$102,$M124,0),OFFSET(R$102,$M124,0)/SHCAP-IF($N124="BIO",R123)),$P124*MIN(1,OFFSET(R$102,$M124,0)/MAX(Tiny,OFFSET($W$102,$M124,0)))),0)</f>
        <v>0.67054197373072666</v>
      </c>
      <c r="S124" s="570">
        <f t="shared" ref="S124:S143" ca="1" si="14">IF(R124&gt;0,MAX(IF($N124=OFFSET($N$102,$M124,0),OFFSET(S$102,$M124,0)/SHCAP-IF($N124="BIO",S123)),$P124*MIN(1,OFFSET(S$102,$M124,0)/MAX(Tiny,OFFSET($W$102,$M124,0)))),0)</f>
        <v>0.43912923310975999</v>
      </c>
      <c r="T124" s="570">
        <f t="shared" ref="T124:T143" ca="1" si="15">IF(S124&gt;0,MAX(IF($N124=OFFSET($N$102,$M124,0),OFFSET(T$102,$M124,0)/SHCAP-IF($N124="BIO",T123)),$P124*MIN(1,OFFSET(T$102,$M124,0)/MAX(Tiny,OFFSET($W$102,$M124,0)))),0)</f>
        <v>0.39844410343959147</v>
      </c>
      <c r="U124" s="570">
        <f t="shared" ref="U124:U143" ca="1" si="16">IF(T124&gt;0,MAX(IF($N124=OFFSET($N$102,$M124,0),OFFSET(U$102,$M124,0)/SHCAP-IF($N124="BIO",U123)),$P124*MIN(1,OFFSET(U$102,$M124,0)/MAX(Tiny,OFFSET($W$102,$M124,0)))),0)</f>
        <v>0</v>
      </c>
      <c r="V124" s="571">
        <f t="shared" ref="V124:V143" ca="1" si="17">IF(U124&gt;0,MAX(IF($N124=OFFSET($N$102,$M124,0),OFFSET(V$102,$M124,0)/SHCAP-IF($N124="BIO",V123)),$P124*MIN(1,OFFSET(V$102,$M124,0)/MAX(Tiny,OFFSET($W$102,$M124,0)))),0)</f>
        <v>0</v>
      </c>
      <c r="W124" s="572">
        <f t="array" aca="1" ref="W124:W128" ca="1">IEAData2!$I$101:$I$105*TRANSPOSE(INDEX($O$45:$S$48,$A124,0))/IF(O124:O128&gt;0,O124:O128*$C$14,1)*1000/SHCAP</f>
        <v>6.2109885384115182E-3</v>
      </c>
      <c r="X124" s="572">
        <f t="array" aca="1" ref="X124:X128" ca="1">AuxData2!$I$101:$I$105*TRANSPOSE(INDEX($O$75:$S$78,$A124,0))/IF(P124:P128&gt;0,P124:P128*$C$14,1)*1000/SHCAP</f>
        <v>1.1383971530875586E-2</v>
      </c>
      <c r="Y124" s="573">
        <v>4</v>
      </c>
      <c r="AA124" s="574"/>
    </row>
    <row r="125" spans="1:27" hidden="1">
      <c r="A125" s="364">
        <v>1</v>
      </c>
      <c r="B125" s="382" t="s">
        <v>255</v>
      </c>
      <c r="C125" s="552">
        <f ca="1">MAX(VLOOKUP($B125,$B$62:$G$66,$A125+2,0),IF(OFFSET($B$102,$M125,0)=$B125,(OFFSET($D$102,$M125,0)-IF($B125="BIO",C124*SCAP))))/SCAP</f>
        <v>2125</v>
      </c>
      <c r="D125" s="559">
        <f t="shared" ca="1" si="9"/>
        <v>1996</v>
      </c>
      <c r="E125" s="575">
        <f t="shared" ca="1" si="10"/>
        <v>1</v>
      </c>
      <c r="F125" s="576">
        <f t="shared" ca="1" si="10"/>
        <v>1</v>
      </c>
      <c r="G125" s="576">
        <f t="shared" ca="1" si="10"/>
        <v>1</v>
      </c>
      <c r="H125" s="576">
        <f t="shared" ca="1" si="10"/>
        <v>0.87380035140083145</v>
      </c>
      <c r="I125" s="576">
        <f t="shared" ca="1" si="10"/>
        <v>0.41350970623128214</v>
      </c>
      <c r="J125" s="576">
        <f t="shared" ca="1" si="10"/>
        <v>0</v>
      </c>
      <c r="K125" s="577">
        <f ca="1"/>
        <v>0.67384406894073778</v>
      </c>
      <c r="L125" s="578">
        <f ca="1"/>
        <v>0.2342667283850863</v>
      </c>
      <c r="M125" s="567">
        <f t="shared" si="11"/>
        <v>1</v>
      </c>
      <c r="N125" s="382" t="s">
        <v>255</v>
      </c>
      <c r="O125" s="579">
        <f t="shared" ref="O125:O140" ca="1" si="18">MAX(VLOOKUP($N125,$N$62:$S$66,$A125+2,0),IF(OFFSET($N$102,$M125,0)=$N125,OFFSET($P$102,$M125,0)-IF($N125="BIO",O124*SHCAP)))/SHCAP</f>
        <v>1.9119999999999999</v>
      </c>
      <c r="P125" s="579">
        <f t="shared" ref="P125:P140" ca="1" si="19">MAX(VLOOKUP($N125,$N$92:$S$96,$A125+2,0),IF(OFFSET($N$102,$M125,0)=$N125,OFFSET($X$102,$M125,0)-IF($N125="BIO",P124*SHCAP)))/SHCAP</f>
        <v>1.7579764526232871</v>
      </c>
      <c r="Q125" s="580">
        <f t="shared" ca="1" si="12"/>
        <v>2.004</v>
      </c>
      <c r="R125" s="581">
        <f t="shared" ca="1" si="13"/>
        <v>1.3891911315582173</v>
      </c>
      <c r="S125" s="581">
        <f t="shared" ca="1" si="14"/>
        <v>0.81633081529487783</v>
      </c>
      <c r="T125" s="581">
        <f t="shared" ca="1" si="15"/>
        <v>0.61804854178292501</v>
      </c>
      <c r="U125" s="581">
        <f t="shared" ca="1" si="16"/>
        <v>0</v>
      </c>
      <c r="V125" s="582">
        <f t="shared" ca="1" si="17"/>
        <v>0</v>
      </c>
      <c r="W125" s="583">
        <f ca="1"/>
        <v>7.2825016036892107E-2</v>
      </c>
      <c r="X125" s="583">
        <f ca="1"/>
        <v>3.4142580409383991E-2</v>
      </c>
      <c r="Y125" s="573">
        <v>1</v>
      </c>
      <c r="AA125" s="574"/>
    </row>
    <row r="126" spans="1:27" hidden="1">
      <c r="A126" s="364">
        <v>1</v>
      </c>
      <c r="B126" s="382" t="s">
        <v>256</v>
      </c>
      <c r="C126" s="552">
        <f ca="1">MAX(VLOOKUP($B126,$B$62:$G$66,$A126+2,0),IF(OFFSET($B$102,$M126,0)=$B126,(OFFSET($D$102,$M126,0)-IF($B126="BIO",C125*SCAP))))/SCAP</f>
        <v>1564</v>
      </c>
      <c r="D126" s="559">
        <f t="shared" ca="1" si="9"/>
        <v>1594.2543330043609</v>
      </c>
      <c r="E126" s="575">
        <f t="shared" ca="1" si="10"/>
        <v>0.98102289429105904</v>
      </c>
      <c r="F126" s="576">
        <f t="shared" ca="1" si="10"/>
        <v>0.98102289429105904</v>
      </c>
      <c r="G126" s="576">
        <f t="shared" ca="1" si="10"/>
        <v>0.42653169317002571</v>
      </c>
      <c r="H126" s="576">
        <f t="shared" ca="1" si="10"/>
        <v>0.28853614537972327</v>
      </c>
      <c r="I126" s="576">
        <f t="shared" ca="1" si="10"/>
        <v>0</v>
      </c>
      <c r="J126" s="576">
        <f t="shared" ca="1" si="10"/>
        <v>0</v>
      </c>
      <c r="K126" s="577">
        <f ca="1"/>
        <v>0.4222677316131429</v>
      </c>
      <c r="L126" s="578">
        <f ca="1"/>
        <v>0.64203074370801227</v>
      </c>
      <c r="M126" s="567">
        <f t="shared" si="11"/>
        <v>2</v>
      </c>
      <c r="N126" s="382" t="s">
        <v>256</v>
      </c>
      <c r="O126" s="579">
        <f t="shared" ca="1" si="18"/>
        <v>0.42</v>
      </c>
      <c r="P126" s="579">
        <f t="shared" ca="1" si="19"/>
        <v>0.35589999999999999</v>
      </c>
      <c r="Q126" s="580">
        <f t="shared" ca="1" si="12"/>
        <v>0.42</v>
      </c>
      <c r="R126" s="581">
        <f t="shared" ca="1" si="13"/>
        <v>0.26</v>
      </c>
      <c r="S126" s="581">
        <f t="shared" ca="1" si="14"/>
        <v>0</v>
      </c>
      <c r="T126" s="581">
        <f t="shared" ca="1" si="15"/>
        <v>0</v>
      </c>
      <c r="U126" s="581">
        <f t="shared" ca="1" si="16"/>
        <v>0</v>
      </c>
      <c r="V126" s="582">
        <f t="shared" ca="1" si="17"/>
        <v>0</v>
      </c>
      <c r="W126" s="583">
        <f ca="1"/>
        <v>0.16749085775367961</v>
      </c>
      <c r="X126" s="583">
        <f ca="1"/>
        <v>9.5710935136979702E-2</v>
      </c>
      <c r="Y126" s="573">
        <v>2</v>
      </c>
      <c r="AA126" s="574"/>
    </row>
    <row r="127" spans="1:27" hidden="1">
      <c r="A127" s="364">
        <v>1</v>
      </c>
      <c r="B127" s="382" t="s">
        <v>347</v>
      </c>
      <c r="C127" s="552">
        <f ca="1">MAX(VLOOKUP($B127,$B$62:$G$66,$A127+2,0),IF(OFFSET($B$102,$M127,0)=$B127,(OFFSET($D$102,$M127,0)-IF($B127="BIO",C126*SCAP))))/SCAP</f>
        <v>18.506208207919343</v>
      </c>
      <c r="D127" s="559">
        <f t="shared" ca="1" si="9"/>
        <v>10.619982241670117</v>
      </c>
      <c r="E127" s="575">
        <f t="shared" ca="1" si="10"/>
        <v>0</v>
      </c>
      <c r="F127" s="576">
        <f t="shared" ca="1" si="10"/>
        <v>1</v>
      </c>
      <c r="G127" s="576">
        <f t="shared" ca="1" si="10"/>
        <v>1</v>
      </c>
      <c r="H127" s="576">
        <f t="shared" ca="1" si="10"/>
        <v>1</v>
      </c>
      <c r="I127" s="576">
        <f t="shared" ca="1" si="10"/>
        <v>1</v>
      </c>
      <c r="J127" s="576">
        <f t="shared" ca="1" si="10"/>
        <v>0</v>
      </c>
      <c r="K127" s="577">
        <f ca="1"/>
        <v>0.67161398330961208</v>
      </c>
      <c r="L127" s="578">
        <f ca="1"/>
        <v>0.83463996682041608</v>
      </c>
      <c r="M127" s="567">
        <f t="shared" si="11"/>
        <v>3</v>
      </c>
      <c r="N127" s="382" t="s">
        <v>347</v>
      </c>
      <c r="O127" s="579">
        <f t="shared" ca="1" si="18"/>
        <v>6.3444600596916055E-3</v>
      </c>
      <c r="P127" s="579">
        <f t="shared" ca="1" si="19"/>
        <v>5.8280026013744388E-4</v>
      </c>
      <c r="Q127" s="580">
        <f t="shared" ca="1" si="12"/>
        <v>1.0713240076055955E-4</v>
      </c>
      <c r="R127" s="581">
        <f t="shared" ca="1" si="13"/>
        <v>5.8280026013744388E-4</v>
      </c>
      <c r="S127" s="581">
        <f t="shared" ca="1" si="14"/>
        <v>5.8280026013744388E-4</v>
      </c>
      <c r="T127" s="581">
        <f t="shared" ca="1" si="15"/>
        <v>5.8280026013744388E-4</v>
      </c>
      <c r="U127" s="581">
        <f t="shared" ca="1" si="16"/>
        <v>5.8280026013744388E-4</v>
      </c>
      <c r="V127" s="582">
        <f t="shared" ca="1" si="17"/>
        <v>5.8280026013744388E-4</v>
      </c>
      <c r="W127" s="583">
        <f ca="1"/>
        <v>0.31641130968808051</v>
      </c>
      <c r="X127" s="583">
        <f ca="1"/>
        <v>0.32889077223899998</v>
      </c>
      <c r="Y127" s="573">
        <v>3</v>
      </c>
      <c r="AA127" s="574"/>
    </row>
    <row r="128" spans="1:27" hidden="1">
      <c r="A128" s="364">
        <v>1</v>
      </c>
      <c r="B128" s="382" t="s">
        <v>257</v>
      </c>
      <c r="C128" s="558">
        <f ca="1">MAX(VLOOKUP($B128,$B$62:$G$66,$A128+2,0),IF(OFFSET($B$102,$M128,0)=$B128,(OFFSET($D$102,$M128,0)-IF($B128="BIO",C127*SCAP))))/SCAP</f>
        <v>51.493791792080657</v>
      </c>
      <c r="D128" s="433">
        <f t="shared" ca="1" si="9"/>
        <v>326.78001775832985</v>
      </c>
      <c r="E128" s="584">
        <f t="shared" ca="1" si="10"/>
        <v>0.86535284408809765</v>
      </c>
      <c r="F128" s="585">
        <f t="shared" ca="1" si="10"/>
        <v>1.2019707338678531</v>
      </c>
      <c r="G128" s="585">
        <f t="shared" ca="1" si="10"/>
        <v>1.2019707338678531</v>
      </c>
      <c r="H128" s="585">
        <f t="shared" ca="1" si="10"/>
        <v>1.2019707338678531</v>
      </c>
      <c r="I128" s="585">
        <f t="shared" ca="1" si="10"/>
        <v>1.2019707338678531</v>
      </c>
      <c r="J128" s="585">
        <f t="shared" ca="1" si="10"/>
        <v>0.27351739060260061</v>
      </c>
      <c r="K128" s="586">
        <f ca="1"/>
        <v>0.13308871757605725</v>
      </c>
      <c r="L128" s="587">
        <f ca="1"/>
        <v>0.15924083551158122</v>
      </c>
      <c r="M128" s="567">
        <f t="shared" si="11"/>
        <v>3</v>
      </c>
      <c r="N128" s="382" t="s">
        <v>257</v>
      </c>
      <c r="O128" s="579">
        <f t="shared" ca="1" si="18"/>
        <v>2.7463971705766248E-2</v>
      </c>
      <c r="P128" s="579">
        <f t="shared" ca="1" si="19"/>
        <v>0.10811719973986256</v>
      </c>
      <c r="Q128" s="588">
        <f t="shared" ca="1" si="12"/>
        <v>1.9892867599239441E-2</v>
      </c>
      <c r="R128" s="589">
        <f t="shared" ca="1" si="13"/>
        <v>0.24141719973986256</v>
      </c>
      <c r="S128" s="589">
        <f t="shared" ca="1" si="14"/>
        <v>0.49141719973986253</v>
      </c>
      <c r="T128" s="589">
        <f t="shared" ca="1" si="15"/>
        <v>0.49141719973986253</v>
      </c>
      <c r="U128" s="589">
        <f t="shared" ca="1" si="16"/>
        <v>0.49141719973986253</v>
      </c>
      <c r="V128" s="590">
        <f t="shared" ca="1" si="17"/>
        <v>0.39941719973986256</v>
      </c>
      <c r="W128" s="583">
        <f ca="1"/>
        <v>0.47461696993014457</v>
      </c>
      <c r="X128" s="583">
        <f ca="1"/>
        <v>0.28479288904031297</v>
      </c>
      <c r="Y128" s="573">
        <v>3</v>
      </c>
      <c r="AA128" s="574"/>
    </row>
    <row r="129" spans="1:27" hidden="1">
      <c r="A129" s="364">
        <v>2</v>
      </c>
      <c r="B129" s="382" t="s">
        <v>254</v>
      </c>
      <c r="C129" s="550">
        <f t="array" aca="1" ref="C129:C133" ca="1">OFFSET(C$62:C$66,0,$A129)/SCAP</f>
        <v>0</v>
      </c>
      <c r="D129" s="562">
        <f t="shared" ca="1" si="9"/>
        <v>0</v>
      </c>
      <c r="E129" s="563">
        <f t="shared" ca="1" si="10"/>
        <v>0</v>
      </c>
      <c r="F129" s="564">
        <f t="shared" ca="1" si="10"/>
        <v>0</v>
      </c>
      <c r="G129" s="564">
        <f t="shared" ca="1" si="10"/>
        <v>0</v>
      </c>
      <c r="H129" s="564">
        <f t="shared" ca="1" si="10"/>
        <v>0</v>
      </c>
      <c r="I129" s="564">
        <f t="shared" ca="1" si="10"/>
        <v>0</v>
      </c>
      <c r="J129" s="564">
        <f t="shared" ca="1" si="10"/>
        <v>0</v>
      </c>
      <c r="K129" s="565">
        <f t="array" aca="1" ref="K129:K133" ca="1">IEAData2!I$90:I$94*TRANSPOSE(INDEX(C$45:G$48,$A129,0))/IF(C129:C133&gt;0,C129:C133*$C$14,1)*1000/SCAP</f>
        <v>0</v>
      </c>
      <c r="L129" s="566">
        <f t="array" aca="1" ref="L129:L133" ca="1">AuxData2!I$90:I$94*TRANSPOSE(INDEX(C$75:G$78,$A129,0))/IF(D129:D133&gt;0,D129:D133*$C$14,1)*1000/SCAP</f>
        <v>0</v>
      </c>
      <c r="M129" s="567">
        <f t="shared" si="11"/>
        <v>8</v>
      </c>
      <c r="N129" s="382" t="s">
        <v>254</v>
      </c>
      <c r="O129" s="568">
        <f ca="1">MAX(VLOOKUP($N129,$N$62:$S$66,$A129+2,0),IF(OR(OFFSET($N$102,$M129,0)=$N129,$N129="OIL"),OFFSET($P$102,$M129,0)-IF($N129="BIO",O128*SHCAP)))/SHCAP</f>
        <v>0</v>
      </c>
      <c r="P129" s="568">
        <f ca="1">MAX(VLOOKUP($N129,$N$92:$S$96,$A129+2,0),IF(OR(OFFSET($N$102,$M129,0)=$N129,$N129="OIL"),OFFSET($X$102,$M129,0)-IF($N129="BIO",P128*SHCAP)))/SHCAP</f>
        <v>0</v>
      </c>
      <c r="Q129" s="569">
        <f t="shared" ca="1" si="12"/>
        <v>0</v>
      </c>
      <c r="R129" s="570">
        <f t="shared" ca="1" si="13"/>
        <v>0</v>
      </c>
      <c r="S129" s="570">
        <f t="shared" ca="1" si="14"/>
        <v>0</v>
      </c>
      <c r="T129" s="570">
        <f t="shared" ca="1" si="15"/>
        <v>0</v>
      </c>
      <c r="U129" s="570">
        <f t="shared" ca="1" si="16"/>
        <v>0</v>
      </c>
      <c r="V129" s="571">
        <f t="shared" ca="1" si="17"/>
        <v>0</v>
      </c>
      <c r="W129" s="572">
        <f t="array" aca="1" ref="W129:W133" ca="1">IEAData2!$I$101:$I$105*TRANSPOSE(INDEX($O$45:$S$48,$A129,0))/IF(O129:O133&gt;0,O129:O133*$C$14,1)*1000/SHCAP</f>
        <v>0</v>
      </c>
      <c r="X129" s="572">
        <f t="array" aca="1" ref="X129:X133" ca="1">AuxData2!$I$101:$I$105*TRANSPOSE(INDEX($O$75:$S$78,$A129,0))/IF(P129:P133&gt;0,P129:P133*$C$14,1)*1000/SHCAP</f>
        <v>0</v>
      </c>
      <c r="Y129" s="573">
        <v>4</v>
      </c>
      <c r="AA129" s="574"/>
    </row>
    <row r="130" spans="1:27" hidden="1">
      <c r="A130" s="364">
        <v>2</v>
      </c>
      <c r="B130" s="382" t="s">
        <v>255</v>
      </c>
      <c r="C130" s="552">
        <f ca="1"/>
        <v>0</v>
      </c>
      <c r="D130" s="559">
        <f t="shared" ca="1" si="9"/>
        <v>0</v>
      </c>
      <c r="E130" s="575">
        <f t="shared" ca="1" si="10"/>
        <v>0</v>
      </c>
      <c r="F130" s="576">
        <f t="shared" ca="1" si="10"/>
        <v>0</v>
      </c>
      <c r="G130" s="576">
        <f t="shared" ca="1" si="10"/>
        <v>0</v>
      </c>
      <c r="H130" s="576">
        <f t="shared" ca="1" si="10"/>
        <v>0</v>
      </c>
      <c r="I130" s="576">
        <f t="shared" ca="1" si="10"/>
        <v>0</v>
      </c>
      <c r="J130" s="576">
        <f t="shared" ca="1" si="10"/>
        <v>0</v>
      </c>
      <c r="K130" s="577">
        <f ca="1"/>
        <v>0</v>
      </c>
      <c r="L130" s="578">
        <f ca="1"/>
        <v>0</v>
      </c>
      <c r="M130" s="567">
        <f t="shared" si="11"/>
        <v>5</v>
      </c>
      <c r="N130" s="382" t="s">
        <v>255</v>
      </c>
      <c r="O130" s="579">
        <f t="shared" ca="1" si="18"/>
        <v>0</v>
      </c>
      <c r="P130" s="579">
        <f t="shared" ca="1" si="19"/>
        <v>0</v>
      </c>
      <c r="Q130" s="580">
        <f t="shared" ca="1" si="12"/>
        <v>0</v>
      </c>
      <c r="R130" s="581">
        <f t="shared" ca="1" si="13"/>
        <v>0</v>
      </c>
      <c r="S130" s="581">
        <f t="shared" ca="1" si="14"/>
        <v>0</v>
      </c>
      <c r="T130" s="581">
        <f t="shared" ca="1" si="15"/>
        <v>0</v>
      </c>
      <c r="U130" s="581">
        <f t="shared" ca="1" si="16"/>
        <v>0</v>
      </c>
      <c r="V130" s="582">
        <f t="shared" ca="1" si="17"/>
        <v>0</v>
      </c>
      <c r="W130" s="583">
        <f ca="1"/>
        <v>0</v>
      </c>
      <c r="X130" s="583">
        <f ca="1"/>
        <v>0</v>
      </c>
      <c r="Y130" s="573">
        <v>1</v>
      </c>
      <c r="AA130" s="574"/>
    </row>
    <row r="131" spans="1:27" hidden="1">
      <c r="A131" s="364">
        <v>2</v>
      </c>
      <c r="B131" s="382" t="s">
        <v>256</v>
      </c>
      <c r="C131" s="552">
        <f ca="1"/>
        <v>0</v>
      </c>
      <c r="D131" s="559">
        <f t="shared" ca="1" si="9"/>
        <v>0</v>
      </c>
      <c r="E131" s="575">
        <f t="shared" ca="1" si="10"/>
        <v>0</v>
      </c>
      <c r="F131" s="576">
        <f t="shared" ca="1" si="10"/>
        <v>0</v>
      </c>
      <c r="G131" s="576">
        <f t="shared" ca="1" si="10"/>
        <v>0</v>
      </c>
      <c r="H131" s="576">
        <f t="shared" ca="1" si="10"/>
        <v>0</v>
      </c>
      <c r="I131" s="576">
        <f t="shared" ca="1" si="10"/>
        <v>0</v>
      </c>
      <c r="J131" s="576">
        <f t="shared" ca="1" si="10"/>
        <v>0</v>
      </c>
      <c r="K131" s="577">
        <f ca="1"/>
        <v>0</v>
      </c>
      <c r="L131" s="578">
        <f ca="1"/>
        <v>0</v>
      </c>
      <c r="M131" s="567">
        <f t="shared" si="11"/>
        <v>6</v>
      </c>
      <c r="N131" s="382" t="s">
        <v>256</v>
      </c>
      <c r="O131" s="579">
        <f t="shared" ca="1" si="18"/>
        <v>0</v>
      </c>
      <c r="P131" s="579">
        <f t="shared" ca="1" si="19"/>
        <v>0</v>
      </c>
      <c r="Q131" s="580">
        <f t="shared" ca="1" si="12"/>
        <v>0</v>
      </c>
      <c r="R131" s="581">
        <f t="shared" ca="1" si="13"/>
        <v>0</v>
      </c>
      <c r="S131" s="581">
        <f t="shared" ca="1" si="14"/>
        <v>0</v>
      </c>
      <c r="T131" s="581">
        <f t="shared" ca="1" si="15"/>
        <v>0</v>
      </c>
      <c r="U131" s="581">
        <f t="shared" ca="1" si="16"/>
        <v>0</v>
      </c>
      <c r="V131" s="582">
        <f t="shared" ca="1" si="17"/>
        <v>0</v>
      </c>
      <c r="W131" s="583">
        <f ca="1"/>
        <v>0</v>
      </c>
      <c r="X131" s="583">
        <f ca="1"/>
        <v>0</v>
      </c>
      <c r="Y131" s="573">
        <v>2</v>
      </c>
      <c r="AA131" s="574"/>
    </row>
    <row r="132" spans="1:27" hidden="1">
      <c r="A132" s="364">
        <v>2</v>
      </c>
      <c r="B132" s="382" t="s">
        <v>347</v>
      </c>
      <c r="C132" s="552">
        <f ca="1"/>
        <v>0</v>
      </c>
      <c r="D132" s="559">
        <f t="shared" ca="1" si="9"/>
        <v>0</v>
      </c>
      <c r="E132" s="575">
        <f t="shared" ca="1" si="10"/>
        <v>0</v>
      </c>
      <c r="F132" s="576">
        <f t="shared" ca="1" si="10"/>
        <v>0</v>
      </c>
      <c r="G132" s="576">
        <f t="shared" ca="1" si="10"/>
        <v>0</v>
      </c>
      <c r="H132" s="576">
        <f t="shared" ca="1" si="10"/>
        <v>0</v>
      </c>
      <c r="I132" s="576">
        <f t="shared" ca="1" si="10"/>
        <v>0</v>
      </c>
      <c r="J132" s="576">
        <f t="shared" ca="1" si="10"/>
        <v>0</v>
      </c>
      <c r="K132" s="577">
        <f ca="1"/>
        <v>0</v>
      </c>
      <c r="L132" s="578">
        <f ca="1"/>
        <v>0</v>
      </c>
      <c r="M132" s="567">
        <f t="shared" si="11"/>
        <v>7</v>
      </c>
      <c r="N132" s="382" t="s">
        <v>347</v>
      </c>
      <c r="O132" s="579">
        <f t="shared" ca="1" si="18"/>
        <v>0</v>
      </c>
      <c r="P132" s="579">
        <f t="shared" ca="1" si="19"/>
        <v>0</v>
      </c>
      <c r="Q132" s="580">
        <f t="shared" ca="1" si="12"/>
        <v>0</v>
      </c>
      <c r="R132" s="581">
        <f t="shared" ca="1" si="13"/>
        <v>0</v>
      </c>
      <c r="S132" s="581">
        <f t="shared" ca="1" si="14"/>
        <v>0</v>
      </c>
      <c r="T132" s="581">
        <f t="shared" ca="1" si="15"/>
        <v>0</v>
      </c>
      <c r="U132" s="581">
        <f t="shared" ca="1" si="16"/>
        <v>0</v>
      </c>
      <c r="V132" s="582">
        <f t="shared" ca="1" si="17"/>
        <v>0</v>
      </c>
      <c r="W132" s="583">
        <f ca="1"/>
        <v>0</v>
      </c>
      <c r="X132" s="583">
        <f ca="1"/>
        <v>0</v>
      </c>
      <c r="Y132" s="573">
        <v>3</v>
      </c>
      <c r="AA132" s="574"/>
    </row>
    <row r="133" spans="1:27" hidden="1">
      <c r="A133" s="364">
        <v>2</v>
      </c>
      <c r="B133" s="382" t="s">
        <v>257</v>
      </c>
      <c r="C133" s="552">
        <f ca="1"/>
        <v>0</v>
      </c>
      <c r="D133" s="559">
        <f t="shared" ca="1" si="9"/>
        <v>0</v>
      </c>
      <c r="E133" s="584">
        <f t="shared" ca="1" si="10"/>
        <v>0</v>
      </c>
      <c r="F133" s="585">
        <f t="shared" ca="1" si="10"/>
        <v>0</v>
      </c>
      <c r="G133" s="585">
        <f t="shared" ca="1" si="10"/>
        <v>0</v>
      </c>
      <c r="H133" s="585">
        <f t="shared" ca="1" si="10"/>
        <v>0</v>
      </c>
      <c r="I133" s="585">
        <f t="shared" ca="1" si="10"/>
        <v>0</v>
      </c>
      <c r="J133" s="585">
        <f t="shared" ca="1" si="10"/>
        <v>0</v>
      </c>
      <c r="K133" s="586">
        <f ca="1"/>
        <v>0</v>
      </c>
      <c r="L133" s="587">
        <f ca="1"/>
        <v>0</v>
      </c>
      <c r="M133" s="567">
        <f t="shared" si="11"/>
        <v>7</v>
      </c>
      <c r="N133" s="382" t="s">
        <v>257</v>
      </c>
      <c r="O133" s="579">
        <f t="shared" ca="1" si="18"/>
        <v>0</v>
      </c>
      <c r="P133" s="579">
        <f t="shared" ca="1" si="19"/>
        <v>0</v>
      </c>
      <c r="Q133" s="588">
        <f t="shared" ca="1" si="12"/>
        <v>0</v>
      </c>
      <c r="R133" s="589">
        <f t="shared" ca="1" si="13"/>
        <v>0</v>
      </c>
      <c r="S133" s="589">
        <f t="shared" ca="1" si="14"/>
        <v>0</v>
      </c>
      <c r="T133" s="589">
        <f t="shared" ca="1" si="15"/>
        <v>0</v>
      </c>
      <c r="U133" s="589">
        <f t="shared" ca="1" si="16"/>
        <v>0</v>
      </c>
      <c r="V133" s="590">
        <f t="shared" ca="1" si="17"/>
        <v>0</v>
      </c>
      <c r="W133" s="583">
        <f ca="1"/>
        <v>0</v>
      </c>
      <c r="X133" s="583">
        <f ca="1"/>
        <v>0</v>
      </c>
      <c r="Y133" s="573">
        <v>3</v>
      </c>
      <c r="AA133" s="574"/>
    </row>
    <row r="134" spans="1:27" hidden="1">
      <c r="A134" s="364">
        <v>3</v>
      </c>
      <c r="B134" s="382" t="s">
        <v>254</v>
      </c>
      <c r="C134" s="550">
        <f t="array" aca="1" ref="C134:C138" ca="1">OFFSET(C$62:C$66,0,$A134)/SCAP</f>
        <v>0</v>
      </c>
      <c r="D134" s="562">
        <f t="shared" ca="1" si="9"/>
        <v>0</v>
      </c>
      <c r="E134" s="563">
        <f t="shared" ref="E134:J143" ca="1" si="20">IF($D134&gt;0,MIN(OFFSET(E$102,$M134,0)/MIN($D134*SCAP,OFFSET($K$102,$M134,0)),MIN(10^IF($B134=OFFSET($B$102,$M134,0),3,0),MAX(0,$D134*SCAP+OFFSET(E$102,$M134,0)-OFFSET($K$102,$M134,0))/(SCAP*$D134))),0)</f>
        <v>0</v>
      </c>
      <c r="F134" s="564">
        <f t="shared" ca="1" si="20"/>
        <v>0</v>
      </c>
      <c r="G134" s="564">
        <f t="shared" ca="1" si="20"/>
        <v>0</v>
      </c>
      <c r="H134" s="564">
        <f t="shared" ca="1" si="20"/>
        <v>0</v>
      </c>
      <c r="I134" s="564">
        <f t="shared" ca="1" si="20"/>
        <v>0</v>
      </c>
      <c r="J134" s="564">
        <f t="shared" ca="1" si="20"/>
        <v>0</v>
      </c>
      <c r="K134" s="565">
        <f t="array" aca="1" ref="K134:K138" ca="1">IEAData2!I$90:I$94*TRANSPOSE(INDEX(C$45:G$48,$A134,0))/IF(C134:C138&gt;0,C134:C138*$C$14,1)*1000/SCAP</f>
        <v>0</v>
      </c>
      <c r="L134" s="566">
        <f t="array" aca="1" ref="L134:L138" ca="1">AuxData2!I$90:I$94*TRANSPOSE(INDEX(C$75:G$78,$A134,0))/IF(D134:D138&gt;0,D134:D138*$C$14,1)*1000/SCAP</f>
        <v>0</v>
      </c>
      <c r="M134" s="567">
        <f t="shared" si="11"/>
        <v>12</v>
      </c>
      <c r="N134" s="382" t="s">
        <v>254</v>
      </c>
      <c r="O134" s="568">
        <f ca="1">MAX(VLOOKUP($N134,$N$62:$S$66,$A134+2,0),IF(OR(OFFSET($N$102,$M134,0)=$N134,$N134="OIL"),OFFSET($P$102,$M134,0)-IF($N134="BIO",O133*SHCAP)))/SHCAP</f>
        <v>0</v>
      </c>
      <c r="P134" s="568">
        <f ca="1">MAX(VLOOKUP($N134,$N$92:$S$96,$A134+2,0),IF(OR(OFFSET($N$102,$M134,0)=$N134,$N134="OIL"),OFFSET($X$102,$M134,0)-IF($N134="BIO",P133*SHCAP)))/SHCAP</f>
        <v>0</v>
      </c>
      <c r="Q134" s="569">
        <f t="shared" ca="1" si="12"/>
        <v>0</v>
      </c>
      <c r="R134" s="570">
        <f t="shared" ca="1" si="13"/>
        <v>0</v>
      </c>
      <c r="S134" s="570">
        <f t="shared" ca="1" si="14"/>
        <v>0</v>
      </c>
      <c r="T134" s="570">
        <f t="shared" ca="1" si="15"/>
        <v>0</v>
      </c>
      <c r="U134" s="570">
        <f t="shared" ca="1" si="16"/>
        <v>0</v>
      </c>
      <c r="V134" s="571">
        <f t="shared" ca="1" si="17"/>
        <v>0</v>
      </c>
      <c r="W134" s="572">
        <f t="array" aca="1" ref="W134:W138" ca="1">IEAData2!$I$101:$I$105*TRANSPOSE(INDEX($O$45:$S$48,$A134,0))/IF(O134:O138&gt;0,O134:O138*$C$14,1)*1000/SHCAP</f>
        <v>0</v>
      </c>
      <c r="X134" s="572">
        <f t="array" aca="1" ref="X134:X138" ca="1">AuxData2!$I$101:$I$105*TRANSPOSE(INDEX($O$75:$S$78,$A134,0))/IF(P134:P138&gt;0,P134:P138*$C$14,1)*1000/SHCAP</f>
        <v>0</v>
      </c>
      <c r="Y134" s="573">
        <v>4</v>
      </c>
      <c r="AA134" s="574"/>
    </row>
    <row r="135" spans="1:27" hidden="1">
      <c r="A135" s="364">
        <v>3</v>
      </c>
      <c r="B135" s="382" t="s">
        <v>255</v>
      </c>
      <c r="C135" s="552">
        <f ca="1"/>
        <v>0</v>
      </c>
      <c r="D135" s="559">
        <f t="shared" ca="1" si="9"/>
        <v>0</v>
      </c>
      <c r="E135" s="575">
        <f t="shared" ca="1" si="20"/>
        <v>0</v>
      </c>
      <c r="F135" s="576">
        <f t="shared" ca="1" si="20"/>
        <v>0</v>
      </c>
      <c r="G135" s="576">
        <f t="shared" ca="1" si="20"/>
        <v>0</v>
      </c>
      <c r="H135" s="576">
        <f t="shared" ca="1" si="20"/>
        <v>0</v>
      </c>
      <c r="I135" s="576">
        <f t="shared" ca="1" si="20"/>
        <v>0</v>
      </c>
      <c r="J135" s="576">
        <f t="shared" ca="1" si="20"/>
        <v>0</v>
      </c>
      <c r="K135" s="577">
        <f ca="1"/>
        <v>0</v>
      </c>
      <c r="L135" s="578">
        <f ca="1"/>
        <v>0</v>
      </c>
      <c r="M135" s="567">
        <f t="shared" si="11"/>
        <v>9</v>
      </c>
      <c r="N135" s="382" t="s">
        <v>255</v>
      </c>
      <c r="O135" s="579">
        <f t="shared" ca="1" si="18"/>
        <v>0</v>
      </c>
      <c r="P135" s="579">
        <f t="shared" ca="1" si="19"/>
        <v>0</v>
      </c>
      <c r="Q135" s="580">
        <f t="shared" ca="1" si="12"/>
        <v>0</v>
      </c>
      <c r="R135" s="581">
        <f t="shared" ca="1" si="13"/>
        <v>0</v>
      </c>
      <c r="S135" s="581">
        <f t="shared" ca="1" si="14"/>
        <v>0</v>
      </c>
      <c r="T135" s="581">
        <f t="shared" ca="1" si="15"/>
        <v>0</v>
      </c>
      <c r="U135" s="581">
        <f t="shared" ca="1" si="16"/>
        <v>0</v>
      </c>
      <c r="V135" s="582">
        <f t="shared" ca="1" si="17"/>
        <v>0</v>
      </c>
      <c r="W135" s="583">
        <f ca="1"/>
        <v>0</v>
      </c>
      <c r="X135" s="583">
        <f ca="1"/>
        <v>0</v>
      </c>
      <c r="Y135" s="573">
        <v>1</v>
      </c>
      <c r="AA135" s="574"/>
    </row>
    <row r="136" spans="1:27" hidden="1">
      <c r="A136" s="364">
        <v>3</v>
      </c>
      <c r="B136" s="382" t="s">
        <v>256</v>
      </c>
      <c r="C136" s="552">
        <f ca="1"/>
        <v>0</v>
      </c>
      <c r="D136" s="559">
        <f t="shared" ca="1" si="9"/>
        <v>0</v>
      </c>
      <c r="E136" s="575">
        <f t="shared" ca="1" si="20"/>
        <v>0</v>
      </c>
      <c r="F136" s="576">
        <f t="shared" ca="1" si="20"/>
        <v>0</v>
      </c>
      <c r="G136" s="576">
        <f t="shared" ca="1" si="20"/>
        <v>0</v>
      </c>
      <c r="H136" s="576">
        <f t="shared" ca="1" si="20"/>
        <v>0</v>
      </c>
      <c r="I136" s="576">
        <f t="shared" ca="1" si="20"/>
        <v>0</v>
      </c>
      <c r="J136" s="576">
        <f t="shared" ca="1" si="20"/>
        <v>0</v>
      </c>
      <c r="K136" s="577">
        <f ca="1"/>
        <v>0</v>
      </c>
      <c r="L136" s="578">
        <f ca="1"/>
        <v>0</v>
      </c>
      <c r="M136" s="567">
        <f t="shared" si="11"/>
        <v>10</v>
      </c>
      <c r="N136" s="382" t="s">
        <v>256</v>
      </c>
      <c r="O136" s="579">
        <f t="shared" ca="1" si="18"/>
        <v>0</v>
      </c>
      <c r="P136" s="579">
        <f t="shared" ca="1" si="19"/>
        <v>0</v>
      </c>
      <c r="Q136" s="580">
        <f t="shared" ca="1" si="12"/>
        <v>0</v>
      </c>
      <c r="R136" s="581">
        <f t="shared" ca="1" si="13"/>
        <v>0</v>
      </c>
      <c r="S136" s="581">
        <f t="shared" ca="1" si="14"/>
        <v>0</v>
      </c>
      <c r="T136" s="581">
        <f t="shared" ca="1" si="15"/>
        <v>0</v>
      </c>
      <c r="U136" s="581">
        <f t="shared" ca="1" si="16"/>
        <v>0</v>
      </c>
      <c r="V136" s="582">
        <f t="shared" ca="1" si="17"/>
        <v>0</v>
      </c>
      <c r="W136" s="583">
        <f ca="1"/>
        <v>0</v>
      </c>
      <c r="X136" s="583">
        <f ca="1"/>
        <v>0</v>
      </c>
      <c r="Y136" s="573">
        <v>2</v>
      </c>
      <c r="AA136" s="574"/>
    </row>
    <row r="137" spans="1:27" hidden="1">
      <c r="A137" s="364">
        <v>3</v>
      </c>
      <c r="B137" s="382" t="s">
        <v>347</v>
      </c>
      <c r="C137" s="552">
        <f ca="1"/>
        <v>0</v>
      </c>
      <c r="D137" s="559">
        <f t="shared" ca="1" si="9"/>
        <v>0</v>
      </c>
      <c r="E137" s="575">
        <f t="shared" ca="1" si="20"/>
        <v>0</v>
      </c>
      <c r="F137" s="576">
        <f t="shared" ca="1" si="20"/>
        <v>0</v>
      </c>
      <c r="G137" s="576">
        <f t="shared" ca="1" si="20"/>
        <v>0</v>
      </c>
      <c r="H137" s="576">
        <f t="shared" ca="1" si="20"/>
        <v>0</v>
      </c>
      <c r="I137" s="576">
        <f t="shared" ca="1" si="20"/>
        <v>0</v>
      </c>
      <c r="J137" s="576">
        <f t="shared" ca="1" si="20"/>
        <v>0</v>
      </c>
      <c r="K137" s="577">
        <f ca="1"/>
        <v>0</v>
      </c>
      <c r="L137" s="578">
        <f ca="1"/>
        <v>0</v>
      </c>
      <c r="M137" s="567">
        <f t="shared" si="11"/>
        <v>11</v>
      </c>
      <c r="N137" s="382" t="s">
        <v>347</v>
      </c>
      <c r="O137" s="579">
        <f t="shared" ca="1" si="18"/>
        <v>0</v>
      </c>
      <c r="P137" s="579">
        <f t="shared" ca="1" si="19"/>
        <v>0</v>
      </c>
      <c r="Q137" s="580">
        <f t="shared" ca="1" si="12"/>
        <v>0</v>
      </c>
      <c r="R137" s="581">
        <f t="shared" ca="1" si="13"/>
        <v>0</v>
      </c>
      <c r="S137" s="581">
        <f t="shared" ca="1" si="14"/>
        <v>0</v>
      </c>
      <c r="T137" s="581">
        <f t="shared" ca="1" si="15"/>
        <v>0</v>
      </c>
      <c r="U137" s="581">
        <f t="shared" ca="1" si="16"/>
        <v>0</v>
      </c>
      <c r="V137" s="582">
        <f t="shared" ca="1" si="17"/>
        <v>0</v>
      </c>
      <c r="W137" s="583">
        <f ca="1"/>
        <v>0</v>
      </c>
      <c r="X137" s="583">
        <f ca="1"/>
        <v>0</v>
      </c>
      <c r="Y137" s="573">
        <v>3</v>
      </c>
      <c r="AA137" s="574"/>
    </row>
    <row r="138" spans="1:27" hidden="1">
      <c r="A138" s="364">
        <v>3</v>
      </c>
      <c r="B138" s="382" t="s">
        <v>257</v>
      </c>
      <c r="C138" s="552">
        <f ca="1"/>
        <v>0</v>
      </c>
      <c r="D138" s="559">
        <f t="shared" ca="1" si="9"/>
        <v>0</v>
      </c>
      <c r="E138" s="584">
        <f t="shared" ca="1" si="20"/>
        <v>0</v>
      </c>
      <c r="F138" s="585">
        <f t="shared" ca="1" si="20"/>
        <v>0</v>
      </c>
      <c r="G138" s="585">
        <f t="shared" ca="1" si="20"/>
        <v>0</v>
      </c>
      <c r="H138" s="585">
        <f t="shared" ca="1" si="20"/>
        <v>0</v>
      </c>
      <c r="I138" s="585">
        <f t="shared" ca="1" si="20"/>
        <v>0</v>
      </c>
      <c r="J138" s="585">
        <f t="shared" ca="1" si="20"/>
        <v>0</v>
      </c>
      <c r="K138" s="586">
        <f ca="1"/>
        <v>0</v>
      </c>
      <c r="L138" s="587">
        <f ca="1"/>
        <v>0</v>
      </c>
      <c r="M138" s="567">
        <f t="shared" si="11"/>
        <v>11</v>
      </c>
      <c r="N138" s="382" t="s">
        <v>257</v>
      </c>
      <c r="O138" s="579">
        <f t="shared" ca="1" si="18"/>
        <v>0</v>
      </c>
      <c r="P138" s="579">
        <f t="shared" ca="1" si="19"/>
        <v>0</v>
      </c>
      <c r="Q138" s="588">
        <f t="shared" ca="1" si="12"/>
        <v>0</v>
      </c>
      <c r="R138" s="589">
        <f t="shared" ca="1" si="13"/>
        <v>0</v>
      </c>
      <c r="S138" s="589">
        <f t="shared" ca="1" si="14"/>
        <v>0</v>
      </c>
      <c r="T138" s="589">
        <f t="shared" ca="1" si="15"/>
        <v>0</v>
      </c>
      <c r="U138" s="589">
        <f t="shared" ca="1" si="16"/>
        <v>0</v>
      </c>
      <c r="V138" s="590">
        <f t="shared" ca="1" si="17"/>
        <v>0</v>
      </c>
      <c r="W138" s="583">
        <f ca="1"/>
        <v>0</v>
      </c>
      <c r="X138" s="583">
        <f ca="1"/>
        <v>0</v>
      </c>
      <c r="Y138" s="573">
        <v>3</v>
      </c>
      <c r="AA138" s="574"/>
    </row>
    <row r="139" spans="1:27" hidden="1">
      <c r="A139" s="364">
        <v>4</v>
      </c>
      <c r="B139" s="382" t="s">
        <v>254</v>
      </c>
      <c r="C139" s="550">
        <f t="array" aca="1" ref="C139:C143" ca="1">OFFSET(C$62:C$66,0,$A139)/SCAP</f>
        <v>0</v>
      </c>
      <c r="D139" s="562">
        <f t="shared" ca="1" si="9"/>
        <v>0</v>
      </c>
      <c r="E139" s="563">
        <f t="shared" ca="1" si="20"/>
        <v>0</v>
      </c>
      <c r="F139" s="564">
        <f t="shared" ca="1" si="20"/>
        <v>0</v>
      </c>
      <c r="G139" s="564">
        <f t="shared" ca="1" si="20"/>
        <v>0</v>
      </c>
      <c r="H139" s="564">
        <f t="shared" ca="1" si="20"/>
        <v>0</v>
      </c>
      <c r="I139" s="564">
        <f t="shared" ca="1" si="20"/>
        <v>0</v>
      </c>
      <c r="J139" s="564">
        <f t="shared" ca="1" si="20"/>
        <v>0</v>
      </c>
      <c r="K139" s="565">
        <f t="array" aca="1" ref="K139:K143" ca="1">IEAData2!I$90:I$94*TRANSPOSE(INDEX(C$45:G$48,$A139,0))/IF(C139:C143&gt;0,C139:C143*$C$14,1)*1000/SCAP</f>
        <v>0</v>
      </c>
      <c r="L139" s="566">
        <f t="array" aca="1" ref="L139:L143" ca="1">AuxData2!I$90:I$94*TRANSPOSE(INDEX(C$75:G$78,$A139,0))/IF(D139:D143&gt;0,D139:D143*$C$14,1)*1000/SCAP</f>
        <v>0</v>
      </c>
      <c r="M139" s="567">
        <f t="shared" si="11"/>
        <v>16</v>
      </c>
      <c r="N139" s="382" t="s">
        <v>254</v>
      </c>
      <c r="O139" s="568">
        <f ca="1">MAX(VLOOKUP($N139,$N$62:$S$66,$A139+2,0),IF(OR(OFFSET($N$102,$M139,0)=$N139,$N139="OIL"),OFFSET($P$102,$M139,0)-IF($N139="BIO",O138*SHCAP)))/SHCAP</f>
        <v>0</v>
      </c>
      <c r="P139" s="568">
        <f ca="1">MAX(VLOOKUP($N139,$N$92:$S$96,$A139+2,0),IF(OR(OFFSET($N$102,$M139,0)=$N139,$N139="OIL"),OFFSET($X$102,$M139,0)-IF($N139="BIO",P138*SHCAP)))/SHCAP</f>
        <v>0</v>
      </c>
      <c r="Q139" s="569">
        <f t="shared" ca="1" si="12"/>
        <v>0</v>
      </c>
      <c r="R139" s="570">
        <f t="shared" ca="1" si="13"/>
        <v>0</v>
      </c>
      <c r="S139" s="570">
        <f t="shared" ca="1" si="14"/>
        <v>0</v>
      </c>
      <c r="T139" s="570">
        <f t="shared" ca="1" si="15"/>
        <v>0</v>
      </c>
      <c r="U139" s="570">
        <f t="shared" ca="1" si="16"/>
        <v>0</v>
      </c>
      <c r="V139" s="571">
        <f t="shared" ca="1" si="17"/>
        <v>0</v>
      </c>
      <c r="W139" s="572">
        <f t="array" aca="1" ref="W139:W143" ca="1">IEAData2!$I$101:$I$105*TRANSPOSE(INDEX($O$45:$S$48,$A139,0))/IF(O139:O143&gt;0,O139:O143*$C$14,1)*1000/SHCAP</f>
        <v>0</v>
      </c>
      <c r="X139" s="591">
        <f t="array" aca="1" ref="X139:X143" ca="1">AuxData2!$I$101:$I$105*TRANSPOSE(INDEX($O$75:$S$78,$A139,0))/IF(P139:P143&gt;0,P139:P143*$C$14,1)*1000/SHCAP</f>
        <v>0</v>
      </c>
      <c r="Y139" s="573">
        <v>4</v>
      </c>
      <c r="AA139" s="574"/>
    </row>
    <row r="140" spans="1:27" hidden="1">
      <c r="A140" s="364">
        <v>4</v>
      </c>
      <c r="B140" s="382" t="s">
        <v>255</v>
      </c>
      <c r="C140" s="552">
        <f ca="1"/>
        <v>0</v>
      </c>
      <c r="D140" s="559">
        <f t="shared" ca="1" si="9"/>
        <v>0</v>
      </c>
      <c r="E140" s="575">
        <f t="shared" ca="1" si="20"/>
        <v>0</v>
      </c>
      <c r="F140" s="576">
        <f t="shared" ca="1" si="20"/>
        <v>0</v>
      </c>
      <c r="G140" s="576">
        <f t="shared" ca="1" si="20"/>
        <v>0</v>
      </c>
      <c r="H140" s="576">
        <f t="shared" ca="1" si="20"/>
        <v>0</v>
      </c>
      <c r="I140" s="576">
        <f t="shared" ca="1" si="20"/>
        <v>0</v>
      </c>
      <c r="J140" s="576">
        <f t="shared" ca="1" si="20"/>
        <v>0</v>
      </c>
      <c r="K140" s="577">
        <f ca="1"/>
        <v>0</v>
      </c>
      <c r="L140" s="578">
        <f ca="1"/>
        <v>0</v>
      </c>
      <c r="M140" s="567">
        <f t="shared" si="11"/>
        <v>13</v>
      </c>
      <c r="N140" s="382" t="s">
        <v>255</v>
      </c>
      <c r="O140" s="579">
        <f t="shared" ca="1" si="18"/>
        <v>0</v>
      </c>
      <c r="P140" s="579">
        <f t="shared" ca="1" si="19"/>
        <v>0</v>
      </c>
      <c r="Q140" s="580">
        <f t="shared" ca="1" si="12"/>
        <v>0</v>
      </c>
      <c r="R140" s="581">
        <f t="shared" ca="1" si="13"/>
        <v>0</v>
      </c>
      <c r="S140" s="581">
        <f t="shared" ca="1" si="14"/>
        <v>0</v>
      </c>
      <c r="T140" s="581">
        <f t="shared" ca="1" si="15"/>
        <v>0</v>
      </c>
      <c r="U140" s="581">
        <f t="shared" ca="1" si="16"/>
        <v>0</v>
      </c>
      <c r="V140" s="582">
        <f t="shared" ca="1" si="17"/>
        <v>0</v>
      </c>
      <c r="W140" s="583">
        <f ca="1"/>
        <v>0</v>
      </c>
      <c r="X140" s="592">
        <f ca="1"/>
        <v>0</v>
      </c>
      <c r="Y140" s="573">
        <v>1</v>
      </c>
      <c r="AA140" s="574"/>
    </row>
    <row r="141" spans="1:27" hidden="1">
      <c r="A141" s="364">
        <v>4</v>
      </c>
      <c r="B141" s="382" t="s">
        <v>256</v>
      </c>
      <c r="C141" s="552">
        <f ca="1"/>
        <v>0</v>
      </c>
      <c r="D141" s="559">
        <f t="shared" ca="1" si="9"/>
        <v>0</v>
      </c>
      <c r="E141" s="575">
        <f t="shared" ca="1" si="20"/>
        <v>0</v>
      </c>
      <c r="F141" s="576">
        <f t="shared" ca="1" si="20"/>
        <v>0</v>
      </c>
      <c r="G141" s="576">
        <f t="shared" ca="1" si="20"/>
        <v>0</v>
      </c>
      <c r="H141" s="576">
        <f t="shared" ca="1" si="20"/>
        <v>0</v>
      </c>
      <c r="I141" s="576">
        <f t="shared" ca="1" si="20"/>
        <v>0</v>
      </c>
      <c r="J141" s="576">
        <f t="shared" ca="1" si="20"/>
        <v>0</v>
      </c>
      <c r="K141" s="577">
        <f ca="1"/>
        <v>0</v>
      </c>
      <c r="L141" s="578">
        <f ca="1"/>
        <v>0</v>
      </c>
      <c r="M141" s="567">
        <f t="shared" si="11"/>
        <v>14</v>
      </c>
      <c r="N141" s="382" t="s">
        <v>256</v>
      </c>
      <c r="O141" s="579">
        <f ca="1">MAX(VLOOKUP($N141,$N$62:$S$66,$A141+2,0),IF(OFFSET($N$102,$M141,0)=$N141,OFFSET($P$102,$M141,0)-IF($N141="BIO",O140*SHCAP)))/SHCAP</f>
        <v>0</v>
      </c>
      <c r="P141" s="579">
        <f ca="1">MAX(VLOOKUP($N141,$N$92:$S$96,$A141+2,0),IF(OFFSET($N$102,$M141,0)=$N141,OFFSET($X$102,$M141,0)-IF($N141="BIO",P140*SHCAP)))/SHCAP</f>
        <v>0</v>
      </c>
      <c r="Q141" s="580">
        <f t="shared" ca="1" si="12"/>
        <v>0</v>
      </c>
      <c r="R141" s="581">
        <f t="shared" ca="1" si="13"/>
        <v>0</v>
      </c>
      <c r="S141" s="581">
        <f t="shared" ca="1" si="14"/>
        <v>0</v>
      </c>
      <c r="T141" s="581">
        <f t="shared" ca="1" si="15"/>
        <v>0</v>
      </c>
      <c r="U141" s="581">
        <f t="shared" ca="1" si="16"/>
        <v>0</v>
      </c>
      <c r="V141" s="582">
        <f t="shared" ca="1" si="17"/>
        <v>0</v>
      </c>
      <c r="W141" s="583">
        <f ca="1"/>
        <v>0</v>
      </c>
      <c r="X141" s="592">
        <f ca="1"/>
        <v>0</v>
      </c>
      <c r="Y141" s="573">
        <v>2</v>
      </c>
      <c r="AA141" s="574"/>
    </row>
    <row r="142" spans="1:27" hidden="1">
      <c r="A142" s="364">
        <v>4</v>
      </c>
      <c r="B142" s="382" t="s">
        <v>347</v>
      </c>
      <c r="C142" s="552">
        <f ca="1"/>
        <v>0</v>
      </c>
      <c r="D142" s="559">
        <f t="shared" ca="1" si="9"/>
        <v>0</v>
      </c>
      <c r="E142" s="575">
        <f t="shared" ca="1" si="20"/>
        <v>0</v>
      </c>
      <c r="F142" s="576">
        <f t="shared" ca="1" si="20"/>
        <v>0</v>
      </c>
      <c r="G142" s="576">
        <f t="shared" ca="1" si="20"/>
        <v>0</v>
      </c>
      <c r="H142" s="576">
        <f t="shared" ca="1" si="20"/>
        <v>0</v>
      </c>
      <c r="I142" s="576">
        <f t="shared" ca="1" si="20"/>
        <v>0</v>
      </c>
      <c r="J142" s="576">
        <f t="shared" ca="1" si="20"/>
        <v>0</v>
      </c>
      <c r="K142" s="577">
        <f ca="1"/>
        <v>0</v>
      </c>
      <c r="L142" s="578">
        <f ca="1"/>
        <v>0</v>
      </c>
      <c r="M142" s="567">
        <f t="shared" si="11"/>
        <v>15</v>
      </c>
      <c r="N142" s="382" t="s">
        <v>347</v>
      </c>
      <c r="O142" s="579">
        <f ca="1">MAX(VLOOKUP($N142,$N$62:$S$66,$A142+2,0),IF(OFFSET($N$102,$M142,0)=$N142,OFFSET($P$102,$M142,0)-IF($N142="BIO",O141*SHCAP)))/SHCAP</f>
        <v>0</v>
      </c>
      <c r="P142" s="579">
        <f ca="1">MAX(VLOOKUP($N142,$N$92:$S$96,$A142+2,0),IF(OFFSET($N$102,$M142,0)=$N142,OFFSET($X$102,$M142,0)-IF($N142="BIO",P141*SHCAP)))/SHCAP</f>
        <v>0</v>
      </c>
      <c r="Q142" s="580">
        <f t="shared" ca="1" si="12"/>
        <v>0</v>
      </c>
      <c r="R142" s="581">
        <f t="shared" ca="1" si="13"/>
        <v>0</v>
      </c>
      <c r="S142" s="581">
        <f t="shared" ca="1" si="14"/>
        <v>0</v>
      </c>
      <c r="T142" s="581">
        <f t="shared" ca="1" si="15"/>
        <v>0</v>
      </c>
      <c r="U142" s="581">
        <f t="shared" ca="1" si="16"/>
        <v>0</v>
      </c>
      <c r="V142" s="582">
        <f t="shared" ca="1" si="17"/>
        <v>0</v>
      </c>
      <c r="W142" s="583">
        <f ca="1"/>
        <v>0</v>
      </c>
      <c r="X142" s="592">
        <f ca="1"/>
        <v>0</v>
      </c>
      <c r="Y142" s="573">
        <v>3</v>
      </c>
      <c r="AA142" s="574"/>
    </row>
    <row r="143" spans="1:27" hidden="1">
      <c r="A143" s="364">
        <v>4</v>
      </c>
      <c r="B143" s="382" t="s">
        <v>257</v>
      </c>
      <c r="C143" s="558">
        <f ca="1"/>
        <v>0</v>
      </c>
      <c r="D143" s="433">
        <f t="shared" ca="1" si="9"/>
        <v>0</v>
      </c>
      <c r="E143" s="584">
        <f t="shared" ca="1" si="20"/>
        <v>0</v>
      </c>
      <c r="F143" s="585">
        <f t="shared" ca="1" si="20"/>
        <v>0</v>
      </c>
      <c r="G143" s="585">
        <f t="shared" ca="1" si="20"/>
        <v>0</v>
      </c>
      <c r="H143" s="585">
        <f t="shared" ca="1" si="20"/>
        <v>0</v>
      </c>
      <c r="I143" s="585">
        <f t="shared" ca="1" si="20"/>
        <v>0</v>
      </c>
      <c r="J143" s="585">
        <f t="shared" ca="1" si="20"/>
        <v>0</v>
      </c>
      <c r="K143" s="586">
        <f ca="1"/>
        <v>0</v>
      </c>
      <c r="L143" s="587">
        <f ca="1"/>
        <v>0</v>
      </c>
      <c r="M143" s="567">
        <f t="shared" si="11"/>
        <v>15</v>
      </c>
      <c r="N143" s="382" t="s">
        <v>257</v>
      </c>
      <c r="O143" s="554">
        <f ca="1">MAX(VLOOKUP($N143,$N$62:$S$66,$A143+2,0),IF(OFFSET($N$102,$M143,0)=$N143,OFFSET($P$102,$M143,0)-IF($N143="BIO",O142*SHCAP)))/SHCAP</f>
        <v>0</v>
      </c>
      <c r="P143" s="554">
        <f ca="1">MAX(VLOOKUP($N143,$N$92:$S$96,$A143+2,0),IF(OFFSET($N$102,$M143,0)=$N143,OFFSET($X$102,$M143,0)-IF($N143="BIO",P142*SHCAP)))/SHCAP</f>
        <v>0</v>
      </c>
      <c r="Q143" s="588">
        <f t="shared" ca="1" si="12"/>
        <v>0</v>
      </c>
      <c r="R143" s="589">
        <f t="shared" ca="1" si="13"/>
        <v>0</v>
      </c>
      <c r="S143" s="589">
        <f t="shared" ca="1" si="14"/>
        <v>0</v>
      </c>
      <c r="T143" s="589">
        <f t="shared" ca="1" si="15"/>
        <v>0</v>
      </c>
      <c r="U143" s="589">
        <f t="shared" ca="1" si="16"/>
        <v>0</v>
      </c>
      <c r="V143" s="590">
        <f t="shared" ca="1" si="17"/>
        <v>0</v>
      </c>
      <c r="W143" s="593">
        <f ca="1"/>
        <v>0</v>
      </c>
      <c r="X143" s="594">
        <f ca="1"/>
        <v>0</v>
      </c>
      <c r="Y143" s="573">
        <v>3</v>
      </c>
      <c r="AA143" s="574"/>
    </row>
    <row r="144" spans="1:27" hidden="1">
      <c r="C144" s="386">
        <f ca="1">SUM(C124:C143)</f>
        <v>3866.3892172285432</v>
      </c>
      <c r="D144" s="386">
        <f ca="1">SUM(D124:D143)</f>
        <v>3933.9342899645858</v>
      </c>
      <c r="O144" s="415">
        <f ca="1">SUM(O124:O143)</f>
        <v>4.1165084317654586</v>
      </c>
      <c r="P144" s="415">
        <f ca="1">SUM(P124:P143)</f>
        <v>3.0517255905529361</v>
      </c>
      <c r="Q144" s="415">
        <f ca="1">SUM(Q124:Q143)</f>
        <v>3.2731491379296491</v>
      </c>
    </row>
    <row r="145" spans="1:22" hidden="1">
      <c r="A145" s="364">
        <v>0</v>
      </c>
      <c r="B145" s="382" t="s">
        <v>597</v>
      </c>
      <c r="C145" s="550">
        <f t="array" aca="1" ref="C145:C148" ca="1">E$38*$H$45:$H$48*1000/SCAP</f>
        <v>223.99999999999997</v>
      </c>
      <c r="D145" s="550">
        <f t="array" aca="1" ref="D145:D148" ca="1">F$38*$H$75:$H$78*1000/SCAP</f>
        <v>223.99999999999997</v>
      </c>
      <c r="E145" s="595">
        <f ca="1">OFFSET(E$102,$M145,0)/OFFSET($K$102,$M145,0)*$D145</f>
        <v>224.00000000000003</v>
      </c>
      <c r="F145" s="596">
        <f t="shared" ref="F145:J148" ca="1" si="21">OFFSET(F$102,$M145,0)/OFFSET($K$102,$M145,0)*$D145</f>
        <v>224.00000000000003</v>
      </c>
      <c r="G145" s="596">
        <f t="shared" ca="1" si="21"/>
        <v>224.00000000000003</v>
      </c>
      <c r="H145" s="596">
        <f t="shared" ca="1" si="21"/>
        <v>224.00000000000003</v>
      </c>
      <c r="I145" s="596">
        <f t="shared" ca="1" si="21"/>
        <v>224.00000000000003</v>
      </c>
      <c r="J145" s="597">
        <f t="shared" ca="1" si="21"/>
        <v>224.00000000000003</v>
      </c>
      <c r="M145" s="388">
        <v>17</v>
      </c>
      <c r="N145" s="382" t="s">
        <v>597</v>
      </c>
      <c r="O145" s="568">
        <f t="array" aca="1" ref="O145:O148" ca="1">OFFSET(P$102,$M$145,0)/SHCAP*$T$45:$T$48</f>
        <v>0</v>
      </c>
      <c r="P145" s="598">
        <f t="array" aca="1" ref="P145:P148" ca="1">OFFSET(X$102,$M145,0)/SHCAP*$T$75:$T$78</f>
        <v>5.8337449877406515E-2</v>
      </c>
      <c r="Q145" s="569">
        <f t="shared" ref="Q145:V152" ca="1" si="22">OFFSET(Q$102,$M145,0)/OFFSET($X$102,$M145,0)*$P145</f>
        <v>5.8337449877406515E-2</v>
      </c>
      <c r="R145" s="570">
        <f t="shared" ca="1" si="22"/>
        <v>5.8337449877406515E-2</v>
      </c>
      <c r="S145" s="570">
        <f t="shared" ca="1" si="22"/>
        <v>5.8337449877406515E-2</v>
      </c>
      <c r="T145" s="570">
        <f t="shared" ca="1" si="22"/>
        <v>5.8337449877406515E-2</v>
      </c>
      <c r="U145" s="570">
        <f t="shared" ca="1" si="22"/>
        <v>5.8337449877406515E-2</v>
      </c>
      <c r="V145" s="571">
        <f t="shared" ca="1" si="22"/>
        <v>0</v>
      </c>
    </row>
    <row r="146" spans="1:22" hidden="1">
      <c r="A146" s="364">
        <v>0</v>
      </c>
      <c r="B146" s="382" t="s">
        <v>597</v>
      </c>
      <c r="C146" s="552">
        <f ca="1"/>
        <v>0</v>
      </c>
      <c r="D146" s="552">
        <f ca="1"/>
        <v>0</v>
      </c>
      <c r="E146" s="599">
        <f ca="1">OFFSET(E$102,$M146,0)/OFFSET($K$102,$M146,0)*$D146</f>
        <v>0</v>
      </c>
      <c r="F146" s="600">
        <f t="shared" ca="1" si="21"/>
        <v>0</v>
      </c>
      <c r="G146" s="600">
        <f t="shared" ca="1" si="21"/>
        <v>0</v>
      </c>
      <c r="H146" s="600">
        <f t="shared" ca="1" si="21"/>
        <v>0</v>
      </c>
      <c r="I146" s="600">
        <f t="shared" ca="1" si="21"/>
        <v>0</v>
      </c>
      <c r="J146" s="601">
        <f t="shared" ca="1" si="21"/>
        <v>0</v>
      </c>
      <c r="M146" s="388">
        <v>17</v>
      </c>
      <c r="N146" s="382" t="s">
        <v>597</v>
      </c>
      <c r="O146" s="579">
        <f ca="1"/>
        <v>0</v>
      </c>
      <c r="P146" s="602">
        <f ca="1"/>
        <v>0</v>
      </c>
      <c r="Q146" s="580">
        <f t="shared" ca="1" si="22"/>
        <v>0</v>
      </c>
      <c r="R146" s="581">
        <f t="shared" ca="1" si="22"/>
        <v>0</v>
      </c>
      <c r="S146" s="581">
        <f t="shared" ca="1" si="22"/>
        <v>0</v>
      </c>
      <c r="T146" s="581">
        <f t="shared" ca="1" si="22"/>
        <v>0</v>
      </c>
      <c r="U146" s="581">
        <f t="shared" ca="1" si="22"/>
        <v>0</v>
      </c>
      <c r="V146" s="582">
        <f t="shared" ca="1" si="22"/>
        <v>0</v>
      </c>
    </row>
    <row r="147" spans="1:22" hidden="1">
      <c r="A147" s="364">
        <v>0</v>
      </c>
      <c r="B147" s="382" t="s">
        <v>597</v>
      </c>
      <c r="C147" s="552">
        <f ca="1"/>
        <v>0</v>
      </c>
      <c r="D147" s="552">
        <f ca="1"/>
        <v>0</v>
      </c>
      <c r="E147" s="599">
        <f ca="1">OFFSET(E$102,$M147,0)/OFFSET($K$102,$M147,0)*$D147</f>
        <v>0</v>
      </c>
      <c r="F147" s="600">
        <f t="shared" ca="1" si="21"/>
        <v>0</v>
      </c>
      <c r="G147" s="600">
        <f t="shared" ca="1" si="21"/>
        <v>0</v>
      </c>
      <c r="H147" s="600">
        <f t="shared" ca="1" si="21"/>
        <v>0</v>
      </c>
      <c r="I147" s="600">
        <f t="shared" ca="1" si="21"/>
        <v>0</v>
      </c>
      <c r="J147" s="601">
        <f t="shared" ca="1" si="21"/>
        <v>0</v>
      </c>
      <c r="M147" s="388">
        <v>17</v>
      </c>
      <c r="N147" s="382" t="s">
        <v>597</v>
      </c>
      <c r="O147" s="579">
        <f ca="1"/>
        <v>0</v>
      </c>
      <c r="P147" s="602">
        <f ca="1"/>
        <v>0</v>
      </c>
      <c r="Q147" s="580">
        <f t="shared" ca="1" si="22"/>
        <v>0</v>
      </c>
      <c r="R147" s="581">
        <f t="shared" ca="1" si="22"/>
        <v>0</v>
      </c>
      <c r="S147" s="581">
        <f t="shared" ca="1" si="22"/>
        <v>0</v>
      </c>
      <c r="T147" s="581">
        <f t="shared" ca="1" si="22"/>
        <v>0</v>
      </c>
      <c r="U147" s="581">
        <f t="shared" ca="1" si="22"/>
        <v>0</v>
      </c>
      <c r="V147" s="582">
        <f t="shared" ca="1" si="22"/>
        <v>0</v>
      </c>
    </row>
    <row r="148" spans="1:22" hidden="1">
      <c r="A148" s="364">
        <v>0</v>
      </c>
      <c r="B148" s="382" t="s">
        <v>597</v>
      </c>
      <c r="C148" s="558">
        <f ca="1"/>
        <v>0</v>
      </c>
      <c r="D148" s="558">
        <f ca="1"/>
        <v>0</v>
      </c>
      <c r="E148" s="603">
        <f ca="1">OFFSET(E$102,$M148,0)/OFFSET($K$102,$M148,0)*$D148</f>
        <v>0</v>
      </c>
      <c r="F148" s="604">
        <f t="shared" ca="1" si="21"/>
        <v>0</v>
      </c>
      <c r="G148" s="604">
        <f t="shared" ca="1" si="21"/>
        <v>0</v>
      </c>
      <c r="H148" s="604">
        <f t="shared" ca="1" si="21"/>
        <v>0</v>
      </c>
      <c r="I148" s="604">
        <f t="shared" ca="1" si="21"/>
        <v>0</v>
      </c>
      <c r="J148" s="605">
        <f t="shared" ca="1" si="21"/>
        <v>0</v>
      </c>
      <c r="M148" s="388">
        <v>17</v>
      </c>
      <c r="N148" s="382" t="s">
        <v>597</v>
      </c>
      <c r="O148" s="554">
        <f ca="1"/>
        <v>0</v>
      </c>
      <c r="P148" s="606">
        <f ca="1"/>
        <v>0</v>
      </c>
      <c r="Q148" s="588">
        <f t="shared" ca="1" si="22"/>
        <v>0</v>
      </c>
      <c r="R148" s="589">
        <f t="shared" ca="1" si="22"/>
        <v>0</v>
      </c>
      <c r="S148" s="589">
        <f t="shared" ca="1" si="22"/>
        <v>0</v>
      </c>
      <c r="T148" s="589">
        <f t="shared" ca="1" si="22"/>
        <v>0</v>
      </c>
      <c r="U148" s="589">
        <f t="shared" ca="1" si="22"/>
        <v>0</v>
      </c>
      <c r="V148" s="590">
        <f t="shared" ca="1" si="22"/>
        <v>0</v>
      </c>
    </row>
    <row r="149" spans="1:22" hidden="1">
      <c r="D149" s="607"/>
      <c r="M149" s="388">
        <v>18</v>
      </c>
      <c r="N149" s="382" t="s">
        <v>648</v>
      </c>
      <c r="O149" s="568">
        <f t="array" aca="1" ref="O149:O152" ca="1">OFFSET(P$102,$M$149,0)/SHCAP*$U$45:$U$48</f>
        <v>0.105</v>
      </c>
      <c r="P149" s="598">
        <f t="array" aca="1" ref="P149:P152" ca="1">OFFSET(X$102,$M149,0)/SHCAP*$U$75:$U$78</f>
        <v>0.15380000000000002</v>
      </c>
      <c r="Q149" s="569">
        <f t="shared" ca="1" si="22"/>
        <v>0.14500000000000002</v>
      </c>
      <c r="R149" s="570">
        <f t="shared" ca="1" si="22"/>
        <v>0.16700000000000001</v>
      </c>
      <c r="S149" s="570">
        <f t="shared" ca="1" si="22"/>
        <v>0.19</v>
      </c>
      <c r="T149" s="570">
        <f t="shared" ca="1" si="22"/>
        <v>0.19</v>
      </c>
      <c r="U149" s="570">
        <f t="shared" ca="1" si="22"/>
        <v>8.5000000000000006E-2</v>
      </c>
      <c r="V149" s="571">
        <f t="shared" ca="1" si="22"/>
        <v>2.3E-2</v>
      </c>
    </row>
    <row r="150" spans="1:22" hidden="1">
      <c r="M150" s="388">
        <v>18</v>
      </c>
      <c r="N150" s="382" t="s">
        <v>648</v>
      </c>
      <c r="O150" s="579">
        <f ca="1"/>
        <v>0</v>
      </c>
      <c r="P150" s="602">
        <f ca="1"/>
        <v>0</v>
      </c>
      <c r="Q150" s="580">
        <f t="shared" ca="1" si="22"/>
        <v>0</v>
      </c>
      <c r="R150" s="581">
        <f t="shared" ca="1" si="22"/>
        <v>0</v>
      </c>
      <c r="S150" s="581">
        <f t="shared" ca="1" si="22"/>
        <v>0</v>
      </c>
      <c r="T150" s="581">
        <f t="shared" ca="1" si="22"/>
        <v>0</v>
      </c>
      <c r="U150" s="581">
        <f t="shared" ca="1" si="22"/>
        <v>0</v>
      </c>
      <c r="V150" s="582">
        <f t="shared" ca="1" si="22"/>
        <v>0</v>
      </c>
    </row>
    <row r="151" spans="1:22" hidden="1">
      <c r="M151" s="388">
        <v>18</v>
      </c>
      <c r="N151" s="382" t="s">
        <v>648</v>
      </c>
      <c r="O151" s="579">
        <f ca="1"/>
        <v>0</v>
      </c>
      <c r="P151" s="602">
        <f ca="1"/>
        <v>0</v>
      </c>
      <c r="Q151" s="580">
        <f t="shared" ca="1" si="22"/>
        <v>0</v>
      </c>
      <c r="R151" s="581">
        <f t="shared" ca="1" si="22"/>
        <v>0</v>
      </c>
      <c r="S151" s="581">
        <f t="shared" ca="1" si="22"/>
        <v>0</v>
      </c>
      <c r="T151" s="581">
        <f t="shared" ca="1" si="22"/>
        <v>0</v>
      </c>
      <c r="U151" s="581">
        <f t="shared" ca="1" si="22"/>
        <v>0</v>
      </c>
      <c r="V151" s="582">
        <f t="shared" ca="1" si="22"/>
        <v>0</v>
      </c>
    </row>
    <row r="152" spans="1:22" hidden="1">
      <c r="M152" s="388">
        <v>18</v>
      </c>
      <c r="N152" s="382" t="s">
        <v>648</v>
      </c>
      <c r="O152" s="554">
        <f ca="1"/>
        <v>0</v>
      </c>
      <c r="P152" s="606">
        <f ca="1"/>
        <v>0</v>
      </c>
      <c r="Q152" s="588">
        <f t="shared" ca="1" si="22"/>
        <v>0</v>
      </c>
      <c r="R152" s="589">
        <f t="shared" ca="1" si="22"/>
        <v>0</v>
      </c>
      <c r="S152" s="589">
        <f t="shared" ca="1" si="22"/>
        <v>0</v>
      </c>
      <c r="T152" s="589">
        <f t="shared" ca="1" si="22"/>
        <v>0</v>
      </c>
      <c r="U152" s="589">
        <f t="shared" ca="1" si="22"/>
        <v>0</v>
      </c>
      <c r="V152" s="590">
        <f t="shared" ca="1" si="22"/>
        <v>0</v>
      </c>
    </row>
  </sheetData>
  <sheetProtection password="C14A" sheet="1" objects="1" selectLockedCells="1" selectUnlockedCells="1"/>
  <phoneticPr fontId="27" type="noConversion"/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 codeName="Hoja3"/>
  <dimension ref="B2:N67"/>
  <sheetViews>
    <sheetView topLeftCell="A13" zoomScale="90" workbookViewId="0">
      <selection activeCell="B63" sqref="B63"/>
    </sheetView>
  </sheetViews>
  <sheetFormatPr defaultRowHeight="12.75"/>
  <cols>
    <col min="1" max="2" width="9.140625" customWidth="1"/>
    <col min="3" max="3" width="10.42578125" customWidth="1"/>
    <col min="4" max="4" width="31.140625" customWidth="1"/>
    <col min="5" max="5" width="6.28515625" customWidth="1"/>
    <col min="6" max="11" width="9.140625" customWidth="1"/>
    <col min="12" max="12" width="12.28515625" customWidth="1"/>
  </cols>
  <sheetData>
    <row r="2" spans="2:14">
      <c r="B2" s="105" t="s">
        <v>216</v>
      </c>
    </row>
    <row r="3" spans="2:14">
      <c r="B3" s="307" t="s">
        <v>217</v>
      </c>
      <c r="C3" s="307" t="s">
        <v>218</v>
      </c>
      <c r="D3" s="307" t="s">
        <v>219</v>
      </c>
      <c r="E3" s="307" t="s">
        <v>220</v>
      </c>
      <c r="F3" s="248" t="s">
        <v>65</v>
      </c>
      <c r="G3" s="248" t="s">
        <v>226</v>
      </c>
      <c r="H3" s="248" t="s">
        <v>227</v>
      </c>
      <c r="I3" s="248" t="s">
        <v>228</v>
      </c>
      <c r="L3" s="210" t="s">
        <v>486</v>
      </c>
    </row>
    <row r="4" spans="2:14" ht="21" customHeight="1" thickBot="1">
      <c r="B4" s="306" t="s">
        <v>382</v>
      </c>
      <c r="C4" s="6" t="s">
        <v>198</v>
      </c>
      <c r="D4" s="6" t="s">
        <v>200</v>
      </c>
      <c r="E4" s="162" t="s">
        <v>137</v>
      </c>
      <c r="F4" s="6"/>
      <c r="G4" s="6" t="s">
        <v>229</v>
      </c>
      <c r="H4" s="6"/>
      <c r="I4" s="6" t="s">
        <v>230</v>
      </c>
      <c r="L4" s="116" t="s">
        <v>218</v>
      </c>
      <c r="M4" s="211" t="s">
        <v>199</v>
      </c>
      <c r="N4" s="211" t="s">
        <v>396</v>
      </c>
    </row>
    <row r="5" spans="2:14">
      <c r="B5" s="306" t="s">
        <v>382</v>
      </c>
      <c r="C5" s="6" t="s">
        <v>199</v>
      </c>
      <c r="D5" s="6" t="s">
        <v>201</v>
      </c>
      <c r="E5" s="162" t="s">
        <v>137</v>
      </c>
      <c r="F5" s="6"/>
      <c r="G5" s="6" t="s">
        <v>229</v>
      </c>
      <c r="H5" s="6"/>
      <c r="I5" s="6" t="s">
        <v>230</v>
      </c>
      <c r="L5" s="212" t="s">
        <v>483</v>
      </c>
      <c r="M5" s="214">
        <v>1</v>
      </c>
      <c r="N5" s="213"/>
    </row>
    <row r="6" spans="2:14">
      <c r="B6" s="306" t="s">
        <v>382</v>
      </c>
      <c r="C6" s="6" t="s">
        <v>483</v>
      </c>
      <c r="D6" s="6" t="s">
        <v>484</v>
      </c>
      <c r="E6" s="162" t="s">
        <v>137</v>
      </c>
      <c r="F6" s="162" t="s">
        <v>118</v>
      </c>
      <c r="G6" s="6" t="s">
        <v>229</v>
      </c>
      <c r="H6" s="6"/>
      <c r="I6" s="6" t="s">
        <v>230</v>
      </c>
      <c r="L6" s="213" t="s">
        <v>482</v>
      </c>
      <c r="M6" s="213"/>
      <c r="N6" s="214">
        <v>1</v>
      </c>
    </row>
    <row r="7" spans="2:14">
      <c r="B7" s="306" t="s">
        <v>382</v>
      </c>
      <c r="C7" s="6" t="s">
        <v>396</v>
      </c>
      <c r="D7" s="6" t="s">
        <v>407</v>
      </c>
      <c r="E7" s="162" t="s">
        <v>137</v>
      </c>
      <c r="F7" s="6"/>
      <c r="G7" s="6" t="s">
        <v>229</v>
      </c>
      <c r="H7" s="6"/>
      <c r="I7" s="6" t="s">
        <v>230</v>
      </c>
    </row>
    <row r="8" spans="2:14">
      <c r="B8" s="306" t="s">
        <v>382</v>
      </c>
      <c r="C8" s="6" t="s">
        <v>482</v>
      </c>
      <c r="D8" s="6" t="s">
        <v>485</v>
      </c>
      <c r="E8" s="162" t="s">
        <v>137</v>
      </c>
      <c r="F8" s="162" t="s">
        <v>336</v>
      </c>
      <c r="G8" s="6" t="s">
        <v>229</v>
      </c>
      <c r="H8" s="6"/>
      <c r="I8" s="6" t="s">
        <v>230</v>
      </c>
    </row>
    <row r="9" spans="2:14">
      <c r="B9" s="306" t="s">
        <v>382</v>
      </c>
      <c r="C9" s="6" t="s">
        <v>417</v>
      </c>
      <c r="D9" s="6" t="s">
        <v>105</v>
      </c>
      <c r="E9" s="162" t="s">
        <v>137</v>
      </c>
      <c r="F9" s="6"/>
      <c r="G9" s="6" t="s">
        <v>229</v>
      </c>
      <c r="H9" s="6"/>
      <c r="I9" s="6" t="s">
        <v>230</v>
      </c>
    </row>
    <row r="10" spans="2:14">
      <c r="B10" s="306" t="s">
        <v>382</v>
      </c>
      <c r="C10" s="6" t="s">
        <v>397</v>
      </c>
      <c r="D10" s="6" t="s">
        <v>408</v>
      </c>
      <c r="E10" s="162" t="s">
        <v>137</v>
      </c>
      <c r="F10" s="6"/>
      <c r="G10" s="6" t="s">
        <v>229</v>
      </c>
      <c r="H10" s="6"/>
      <c r="I10" s="6" t="s">
        <v>230</v>
      </c>
    </row>
    <row r="11" spans="2:14">
      <c r="B11" s="306" t="s">
        <v>382</v>
      </c>
      <c r="C11" s="6" t="s">
        <v>684</v>
      </c>
      <c r="D11" s="6" t="s">
        <v>560</v>
      </c>
      <c r="E11" s="162" t="s">
        <v>137</v>
      </c>
      <c r="F11" s="6"/>
      <c r="G11" s="6" t="s">
        <v>423</v>
      </c>
      <c r="H11" s="6"/>
      <c r="I11" s="6" t="s">
        <v>230</v>
      </c>
    </row>
    <row r="12" spans="2:14">
      <c r="B12" s="306" t="s">
        <v>382</v>
      </c>
      <c r="C12" s="6" t="s">
        <v>151</v>
      </c>
      <c r="D12" s="6" t="s">
        <v>87</v>
      </c>
      <c r="E12" s="162" t="s">
        <v>137</v>
      </c>
      <c r="F12" s="6"/>
      <c r="G12" s="6" t="s">
        <v>423</v>
      </c>
      <c r="H12" s="6"/>
      <c r="I12" s="6"/>
    </row>
    <row r="13" spans="2:14">
      <c r="B13" s="306" t="s">
        <v>382</v>
      </c>
      <c r="C13" s="6" t="s">
        <v>354</v>
      </c>
      <c r="D13" s="6" t="s">
        <v>444</v>
      </c>
      <c r="E13" s="162" t="s">
        <v>137</v>
      </c>
      <c r="F13" s="6"/>
      <c r="G13" s="6"/>
      <c r="H13" s="6"/>
      <c r="I13" s="6"/>
    </row>
    <row r="14" spans="2:14">
      <c r="B14" s="306" t="s">
        <v>382</v>
      </c>
      <c r="C14" s="6" t="s">
        <v>132</v>
      </c>
      <c r="D14" s="6" t="s">
        <v>133</v>
      </c>
      <c r="E14" s="162" t="s">
        <v>137</v>
      </c>
      <c r="F14" s="6"/>
      <c r="G14" s="6"/>
      <c r="H14" s="6"/>
      <c r="I14" s="6"/>
    </row>
    <row r="15" spans="2:14">
      <c r="B15" s="306" t="s">
        <v>382</v>
      </c>
      <c r="C15" s="6" t="s">
        <v>134</v>
      </c>
      <c r="D15" s="6" t="s">
        <v>135</v>
      </c>
      <c r="E15" s="162" t="s">
        <v>137</v>
      </c>
      <c r="F15" s="162" t="s">
        <v>336</v>
      </c>
      <c r="G15" s="6"/>
      <c r="H15" s="6"/>
      <c r="I15" s="6"/>
    </row>
    <row r="16" spans="2:14">
      <c r="B16" s="306" t="s">
        <v>382</v>
      </c>
      <c r="C16" s="6" t="s">
        <v>456</v>
      </c>
      <c r="D16" s="6" t="s">
        <v>457</v>
      </c>
      <c r="E16" s="162" t="s">
        <v>137</v>
      </c>
      <c r="F16" s="162" t="s">
        <v>336</v>
      </c>
      <c r="G16" s="6"/>
      <c r="H16" s="6"/>
      <c r="I16" s="6"/>
    </row>
    <row r="17" spans="2:9">
      <c r="B17" s="306" t="s">
        <v>382</v>
      </c>
      <c r="C17" s="6" t="s">
        <v>459</v>
      </c>
      <c r="D17" s="6" t="s">
        <v>685</v>
      </c>
      <c r="E17" s="162" t="s">
        <v>137</v>
      </c>
      <c r="F17" s="6"/>
      <c r="G17" s="6"/>
      <c r="H17" s="6"/>
      <c r="I17" s="6"/>
    </row>
    <row r="18" spans="2:9">
      <c r="B18" s="306" t="s">
        <v>382</v>
      </c>
      <c r="C18" s="6" t="s">
        <v>62</v>
      </c>
      <c r="D18" s="6" t="s">
        <v>454</v>
      </c>
      <c r="E18" s="162" t="s">
        <v>137</v>
      </c>
      <c r="F18" s="6"/>
      <c r="G18" s="6"/>
      <c r="H18" s="6"/>
      <c r="I18" s="6"/>
    </row>
    <row r="19" spans="2:9">
      <c r="B19" s="306" t="s">
        <v>382</v>
      </c>
      <c r="C19" s="6" t="s">
        <v>56</v>
      </c>
      <c r="D19" s="6" t="s">
        <v>473</v>
      </c>
      <c r="E19" s="162" t="s">
        <v>137</v>
      </c>
      <c r="F19" s="6"/>
      <c r="G19" s="6"/>
      <c r="H19" s="6"/>
      <c r="I19" s="6"/>
    </row>
    <row r="20" spans="2:9">
      <c r="B20" s="306" t="s">
        <v>382</v>
      </c>
      <c r="C20" s="6" t="s">
        <v>468</v>
      </c>
      <c r="D20" s="6" t="s">
        <v>469</v>
      </c>
      <c r="E20" s="162" t="s">
        <v>137</v>
      </c>
      <c r="F20" s="6"/>
      <c r="G20" s="6"/>
      <c r="H20" s="6"/>
      <c r="I20" s="6"/>
    </row>
    <row r="21" spans="2:9">
      <c r="B21" s="306" t="s">
        <v>382</v>
      </c>
      <c r="C21" s="6" t="s">
        <v>169</v>
      </c>
      <c r="D21" s="6" t="s">
        <v>89</v>
      </c>
      <c r="E21" s="162" t="s">
        <v>137</v>
      </c>
      <c r="F21" s="6"/>
      <c r="G21" s="6"/>
      <c r="H21" s="6"/>
      <c r="I21" s="6"/>
    </row>
    <row r="22" spans="2:9">
      <c r="B22" s="306" t="s">
        <v>382</v>
      </c>
      <c r="C22" s="6" t="s">
        <v>338</v>
      </c>
      <c r="D22" s="6" t="s">
        <v>93</v>
      </c>
      <c r="E22" s="162" t="s">
        <v>137</v>
      </c>
      <c r="F22" s="6"/>
      <c r="G22" s="6"/>
      <c r="H22" s="6"/>
      <c r="I22" s="6"/>
    </row>
    <row r="23" spans="2:9">
      <c r="B23" s="306" t="s">
        <v>382</v>
      </c>
      <c r="C23" s="6" t="s">
        <v>341</v>
      </c>
      <c r="D23" s="6" t="s">
        <v>342</v>
      </c>
      <c r="E23" s="162" t="s">
        <v>137</v>
      </c>
      <c r="F23" s="6"/>
      <c r="G23" s="6"/>
      <c r="H23" s="6"/>
      <c r="I23" s="6"/>
    </row>
    <row r="24" spans="2:9">
      <c r="B24" s="306" t="s">
        <v>382</v>
      </c>
      <c r="C24" s="6" t="s">
        <v>170</v>
      </c>
      <c r="D24" s="6" t="s">
        <v>95</v>
      </c>
      <c r="E24" s="162" t="s">
        <v>137</v>
      </c>
      <c r="F24" s="162" t="s">
        <v>336</v>
      </c>
      <c r="G24" s="6"/>
      <c r="H24" s="6"/>
      <c r="I24" s="6"/>
    </row>
    <row r="25" spans="2:9">
      <c r="B25" s="306" t="s">
        <v>382</v>
      </c>
      <c r="C25" s="6" t="s">
        <v>57</v>
      </c>
      <c r="D25" s="6" t="s">
        <v>91</v>
      </c>
      <c r="E25" s="162" t="s">
        <v>137</v>
      </c>
      <c r="F25" s="6"/>
      <c r="G25" s="6" t="s">
        <v>229</v>
      </c>
      <c r="H25" s="6"/>
      <c r="I25" s="6"/>
    </row>
    <row r="26" spans="2:9">
      <c r="B26" s="306" t="s">
        <v>382</v>
      </c>
      <c r="C26" s="6" t="s">
        <v>424</v>
      </c>
      <c r="D26" s="6" t="s">
        <v>438</v>
      </c>
      <c r="E26" s="162" t="s">
        <v>137</v>
      </c>
      <c r="F26" s="6"/>
      <c r="G26" s="6" t="s">
        <v>423</v>
      </c>
      <c r="H26" s="6"/>
      <c r="I26" s="6"/>
    </row>
    <row r="27" spans="2:9">
      <c r="B27" s="306" t="s">
        <v>382</v>
      </c>
      <c r="C27" s="6" t="s">
        <v>439</v>
      </c>
      <c r="D27" s="6" t="s">
        <v>440</v>
      </c>
      <c r="E27" s="162" t="s">
        <v>137</v>
      </c>
      <c r="F27" s="6"/>
      <c r="G27" s="6" t="s">
        <v>425</v>
      </c>
      <c r="H27" s="6"/>
      <c r="I27" s="6"/>
    </row>
    <row r="28" spans="2:9">
      <c r="B28" s="306" t="s">
        <v>382</v>
      </c>
      <c r="C28" s="6" t="s">
        <v>681</v>
      </c>
      <c r="D28" s="6" t="s">
        <v>682</v>
      </c>
      <c r="E28" s="162" t="s">
        <v>137</v>
      </c>
      <c r="F28" s="6"/>
      <c r="G28" s="6" t="s">
        <v>423</v>
      </c>
      <c r="H28" s="6"/>
      <c r="I28" s="6"/>
    </row>
    <row r="29" spans="2:9">
      <c r="B29" s="306" t="s">
        <v>382</v>
      </c>
      <c r="C29" s="6" t="s">
        <v>171</v>
      </c>
      <c r="D29" s="6" t="s">
        <v>97</v>
      </c>
      <c r="E29" s="162" t="s">
        <v>137</v>
      </c>
      <c r="F29" s="6"/>
      <c r="G29" s="6"/>
      <c r="H29" s="6"/>
      <c r="I29" s="6"/>
    </row>
    <row r="30" spans="2:9">
      <c r="B30" s="306" t="s">
        <v>382</v>
      </c>
      <c r="C30" s="6" t="s">
        <v>168</v>
      </c>
      <c r="D30" s="6" t="s">
        <v>99</v>
      </c>
      <c r="E30" s="162" t="s">
        <v>137</v>
      </c>
      <c r="F30" s="6"/>
      <c r="G30" s="6"/>
      <c r="H30" s="6"/>
      <c r="I30" s="6"/>
    </row>
    <row r="31" spans="2:9">
      <c r="B31" s="306" t="s">
        <v>382</v>
      </c>
      <c r="C31" s="6" t="s">
        <v>172</v>
      </c>
      <c r="D31" s="6" t="s">
        <v>101</v>
      </c>
      <c r="E31" s="162" t="s">
        <v>137</v>
      </c>
      <c r="F31" s="6"/>
      <c r="G31" s="6"/>
      <c r="H31" s="6"/>
      <c r="I31" s="6"/>
    </row>
    <row r="32" spans="2:9">
      <c r="B32" s="306" t="s">
        <v>382</v>
      </c>
      <c r="C32" s="6" t="s">
        <v>645</v>
      </c>
      <c r="D32" s="6" t="s">
        <v>664</v>
      </c>
      <c r="E32" s="162" t="s">
        <v>137</v>
      </c>
      <c r="F32" s="6"/>
      <c r="G32" s="6"/>
      <c r="H32" s="6"/>
      <c r="I32" s="6"/>
    </row>
    <row r="33" spans="2:9">
      <c r="B33" s="306" t="s">
        <v>382</v>
      </c>
      <c r="C33" s="6" t="s">
        <v>152</v>
      </c>
      <c r="D33" s="6" t="s">
        <v>103</v>
      </c>
      <c r="E33" s="162" t="s">
        <v>137</v>
      </c>
      <c r="F33" s="6"/>
      <c r="G33" s="6"/>
      <c r="H33" s="6"/>
      <c r="I33" s="6"/>
    </row>
    <row r="34" spans="2:9">
      <c r="B34" s="306" t="s">
        <v>382</v>
      </c>
      <c r="C34" s="6" t="s">
        <v>523</v>
      </c>
      <c r="D34" s="6" t="s">
        <v>528</v>
      </c>
      <c r="E34" s="162" t="s">
        <v>137</v>
      </c>
      <c r="F34" s="6"/>
      <c r="G34" s="6"/>
      <c r="H34" s="6"/>
      <c r="I34" s="6"/>
    </row>
    <row r="35" spans="2:9">
      <c r="B35" s="306" t="s">
        <v>382</v>
      </c>
      <c r="C35" s="6" t="s">
        <v>524</v>
      </c>
      <c r="D35" s="6" t="s">
        <v>527</v>
      </c>
      <c r="E35" s="162" t="s">
        <v>137</v>
      </c>
      <c r="F35" s="6"/>
      <c r="G35" s="6"/>
      <c r="H35" s="6"/>
      <c r="I35" s="6"/>
    </row>
    <row r="36" spans="2:9">
      <c r="B36" s="306" t="s">
        <v>382</v>
      </c>
      <c r="C36" s="6" t="s">
        <v>525</v>
      </c>
      <c r="D36" s="6" t="s">
        <v>529</v>
      </c>
      <c r="E36" s="162" t="s">
        <v>137</v>
      </c>
      <c r="F36" s="6"/>
      <c r="G36" s="6"/>
      <c r="H36" s="6"/>
      <c r="I36" s="6"/>
    </row>
    <row r="37" spans="2:9">
      <c r="B37" s="306" t="s">
        <v>382</v>
      </c>
      <c r="C37" s="6" t="s">
        <v>532</v>
      </c>
      <c r="D37" s="6" t="s">
        <v>533</v>
      </c>
      <c r="E37" s="162" t="s">
        <v>137</v>
      </c>
      <c r="F37" s="6"/>
      <c r="G37" s="6"/>
      <c r="H37" s="6"/>
      <c r="I37" s="6"/>
    </row>
    <row r="38" spans="2:9">
      <c r="B38" s="306" t="s">
        <v>382</v>
      </c>
      <c r="C38" s="6" t="s">
        <v>687</v>
      </c>
      <c r="D38" s="6" t="s">
        <v>688</v>
      </c>
      <c r="E38" s="162" t="s">
        <v>137</v>
      </c>
      <c r="F38" s="6"/>
      <c r="G38" s="6" t="s">
        <v>423</v>
      </c>
      <c r="H38" s="6"/>
      <c r="I38" s="6"/>
    </row>
    <row r="39" spans="2:9">
      <c r="B39" s="306" t="s">
        <v>382</v>
      </c>
      <c r="C39" s="6" t="s">
        <v>458</v>
      </c>
      <c r="D39" s="6" t="s">
        <v>470</v>
      </c>
      <c r="E39" s="162" t="s">
        <v>137</v>
      </c>
      <c r="F39" s="6"/>
      <c r="G39" s="6"/>
      <c r="H39" s="6"/>
      <c r="I39" s="6"/>
    </row>
    <row r="40" spans="2:9">
      <c r="B40" s="306" t="s">
        <v>382</v>
      </c>
      <c r="C40" s="6" t="s">
        <v>516</v>
      </c>
      <c r="D40" s="6" t="s">
        <v>517</v>
      </c>
      <c r="E40" s="162" t="s">
        <v>137</v>
      </c>
      <c r="F40" s="6"/>
      <c r="G40" s="6"/>
      <c r="H40" s="6"/>
      <c r="I40" s="6"/>
    </row>
    <row r="41" spans="2:9">
      <c r="B41" s="306" t="s">
        <v>382</v>
      </c>
      <c r="C41" s="6" t="s">
        <v>543</v>
      </c>
      <c r="D41" s="6" t="s">
        <v>544</v>
      </c>
      <c r="E41" s="162" t="s">
        <v>137</v>
      </c>
      <c r="F41" s="6"/>
      <c r="G41" s="6"/>
      <c r="H41" s="6"/>
      <c r="I41" s="6"/>
    </row>
    <row r="42" spans="2:9">
      <c r="B42" s="306" t="s">
        <v>382</v>
      </c>
      <c r="C42" s="6" t="s">
        <v>8</v>
      </c>
      <c r="D42" s="6" t="s">
        <v>519</v>
      </c>
      <c r="E42" s="162" t="s">
        <v>137</v>
      </c>
      <c r="F42" s="162"/>
      <c r="G42" s="6"/>
      <c r="H42" s="6"/>
      <c r="I42" s="6"/>
    </row>
    <row r="43" spans="2:9">
      <c r="B43" s="306" t="s">
        <v>382</v>
      </c>
      <c r="C43" s="6" t="s">
        <v>455</v>
      </c>
      <c r="D43" s="6" t="s">
        <v>475</v>
      </c>
      <c r="E43" s="162" t="s">
        <v>137</v>
      </c>
      <c r="F43" s="162" t="s">
        <v>336</v>
      </c>
      <c r="G43" s="6"/>
      <c r="H43" s="6"/>
      <c r="I43" s="6"/>
    </row>
    <row r="44" spans="2:9">
      <c r="B44" s="306" t="s">
        <v>382</v>
      </c>
      <c r="C44" s="6" t="s">
        <v>340</v>
      </c>
      <c r="D44" s="6" t="s">
        <v>342</v>
      </c>
      <c r="E44" s="162" t="s">
        <v>137</v>
      </c>
      <c r="F44" s="6"/>
      <c r="G44" s="6"/>
      <c r="H44" s="6"/>
      <c r="I44" s="6"/>
    </row>
    <row r="45" spans="2:9">
      <c r="B45" s="306" t="s">
        <v>382</v>
      </c>
      <c r="C45" s="6" t="s">
        <v>409</v>
      </c>
      <c r="D45" s="6" t="s">
        <v>413</v>
      </c>
      <c r="E45" s="162" t="s">
        <v>137</v>
      </c>
      <c r="F45" s="6"/>
      <c r="G45" s="41" t="s">
        <v>229</v>
      </c>
      <c r="H45" s="41"/>
      <c r="I45" s="41" t="s">
        <v>232</v>
      </c>
    </row>
    <row r="46" spans="2:9">
      <c r="B46" s="306" t="s">
        <v>382</v>
      </c>
      <c r="C46" s="6" t="s">
        <v>410</v>
      </c>
      <c r="D46" s="6" t="s">
        <v>414</v>
      </c>
      <c r="E46" s="162" t="s">
        <v>137</v>
      </c>
      <c r="F46" s="6"/>
      <c r="G46" s="41" t="s">
        <v>229</v>
      </c>
      <c r="H46" s="41"/>
      <c r="I46" s="41" t="s">
        <v>232</v>
      </c>
    </row>
    <row r="47" spans="2:9">
      <c r="B47" s="306" t="s">
        <v>382</v>
      </c>
      <c r="C47" s="6" t="s">
        <v>411</v>
      </c>
      <c r="D47" s="6" t="s">
        <v>415</v>
      </c>
      <c r="E47" s="162" t="s">
        <v>137</v>
      </c>
      <c r="F47" s="6"/>
      <c r="G47" s="41" t="s">
        <v>229</v>
      </c>
      <c r="H47" s="41"/>
      <c r="I47" s="41" t="s">
        <v>232</v>
      </c>
    </row>
    <row r="48" spans="2:9">
      <c r="B48" s="306" t="s">
        <v>382</v>
      </c>
      <c r="C48" s="6" t="s">
        <v>412</v>
      </c>
      <c r="D48" s="6" t="s">
        <v>416</v>
      </c>
      <c r="E48" s="162" t="s">
        <v>137</v>
      </c>
      <c r="F48" s="6"/>
      <c r="G48" s="41" t="s">
        <v>229</v>
      </c>
      <c r="H48" s="41"/>
      <c r="I48" s="41" t="s">
        <v>232</v>
      </c>
    </row>
    <row r="49" spans="2:9">
      <c r="B49" s="306" t="s">
        <v>382</v>
      </c>
      <c r="C49" s="6" t="s">
        <v>53</v>
      </c>
      <c r="D49" s="6" t="s">
        <v>205</v>
      </c>
      <c r="E49" s="162" t="s">
        <v>137</v>
      </c>
      <c r="F49" s="6"/>
      <c r="G49" s="41" t="s">
        <v>229</v>
      </c>
      <c r="H49" s="41"/>
      <c r="I49" s="41" t="s">
        <v>232</v>
      </c>
    </row>
    <row r="50" spans="2:9">
      <c r="B50" s="306" t="s">
        <v>382</v>
      </c>
      <c r="C50" s="6" t="s">
        <v>580</v>
      </c>
      <c r="D50" s="6" t="s">
        <v>588</v>
      </c>
      <c r="E50" s="162" t="s">
        <v>137</v>
      </c>
      <c r="F50" s="6"/>
      <c r="G50" s="41" t="s">
        <v>229</v>
      </c>
      <c r="H50" s="41"/>
      <c r="I50" s="41" t="s">
        <v>232</v>
      </c>
    </row>
    <row r="51" spans="2:9">
      <c r="B51" s="306" t="s">
        <v>382</v>
      </c>
      <c r="C51" s="6" t="s">
        <v>581</v>
      </c>
      <c r="D51" s="6" t="s">
        <v>589</v>
      </c>
      <c r="E51" s="162" t="s">
        <v>137</v>
      </c>
      <c r="F51" s="6"/>
      <c r="G51" s="41" t="s">
        <v>229</v>
      </c>
      <c r="H51" s="41"/>
      <c r="I51" s="41" t="s">
        <v>232</v>
      </c>
    </row>
    <row r="52" spans="2:9">
      <c r="B52" s="306" t="s">
        <v>382</v>
      </c>
      <c r="C52" s="6" t="s">
        <v>584</v>
      </c>
      <c r="D52" s="6" t="s">
        <v>587</v>
      </c>
      <c r="E52" s="162" t="s">
        <v>137</v>
      </c>
      <c r="F52" s="6"/>
      <c r="G52" s="41" t="s">
        <v>425</v>
      </c>
      <c r="H52" s="41"/>
      <c r="I52" s="41"/>
    </row>
    <row r="53" spans="2:9">
      <c r="B53" s="318" t="s">
        <v>221</v>
      </c>
      <c r="C53" s="202" t="s">
        <v>591</v>
      </c>
      <c r="D53" s="202" t="s">
        <v>592</v>
      </c>
      <c r="E53" s="319" t="s">
        <v>137</v>
      </c>
      <c r="F53" s="202"/>
      <c r="G53" s="320" t="s">
        <v>229</v>
      </c>
      <c r="H53" s="320"/>
      <c r="I53" s="320"/>
    </row>
    <row r="54" spans="2:9">
      <c r="B54" s="318" t="s">
        <v>221</v>
      </c>
      <c r="C54" s="202" t="s">
        <v>49</v>
      </c>
      <c r="D54" s="202" t="s">
        <v>638</v>
      </c>
      <c r="E54" s="319" t="s">
        <v>60</v>
      </c>
      <c r="F54" s="202"/>
      <c r="G54" s="320"/>
      <c r="H54" s="320"/>
      <c r="I54" s="320"/>
    </row>
    <row r="55" spans="2:9">
      <c r="B55" s="318" t="s">
        <v>221</v>
      </c>
      <c r="C55" s="202" t="s">
        <v>51</v>
      </c>
      <c r="D55" s="202" t="s">
        <v>639</v>
      </c>
      <c r="E55" s="319" t="s">
        <v>60</v>
      </c>
      <c r="F55" s="202"/>
      <c r="G55" s="320"/>
      <c r="H55" s="320"/>
      <c r="I55" s="320"/>
    </row>
    <row r="56" spans="2:9">
      <c r="B56" s="318" t="s">
        <v>221</v>
      </c>
      <c r="C56" s="202" t="s">
        <v>48</v>
      </c>
      <c r="D56" s="202" t="s">
        <v>640</v>
      </c>
      <c r="E56" s="319" t="s">
        <v>222</v>
      </c>
      <c r="F56" s="202"/>
      <c r="G56" s="320"/>
      <c r="H56" s="320"/>
      <c r="I56" s="320"/>
    </row>
    <row r="57" spans="2:9">
      <c r="B57" s="318" t="s">
        <v>221</v>
      </c>
      <c r="C57" s="202" t="s">
        <v>47</v>
      </c>
      <c r="D57" s="202" t="s">
        <v>641</v>
      </c>
      <c r="E57" s="319" t="s">
        <v>222</v>
      </c>
      <c r="F57" s="202"/>
      <c r="G57" s="320"/>
      <c r="H57" s="320"/>
      <c r="I57" s="320"/>
    </row>
    <row r="58" spans="2:9">
      <c r="B58" s="318" t="s">
        <v>221</v>
      </c>
      <c r="C58" s="202" t="s">
        <v>50</v>
      </c>
      <c r="D58" s="202" t="s">
        <v>642</v>
      </c>
      <c r="E58" s="319" t="s">
        <v>60</v>
      </c>
      <c r="F58" s="202"/>
      <c r="G58" s="320"/>
      <c r="H58" s="320"/>
      <c r="I58" s="320"/>
    </row>
    <row r="59" spans="2:9">
      <c r="B59" s="318" t="s">
        <v>221</v>
      </c>
      <c r="C59" s="202" t="s">
        <v>570</v>
      </c>
      <c r="D59" s="202" t="s">
        <v>572</v>
      </c>
      <c r="E59" s="319" t="s">
        <v>137</v>
      </c>
      <c r="F59" s="202"/>
      <c r="G59" s="320"/>
      <c r="H59" s="320"/>
      <c r="I59" s="320"/>
    </row>
    <row r="60" spans="2:9">
      <c r="B60" s="318" t="s">
        <v>221</v>
      </c>
      <c r="C60" s="202" t="s">
        <v>676</v>
      </c>
      <c r="D60" s="202" t="s">
        <v>676</v>
      </c>
      <c r="E60" s="319" t="s">
        <v>137</v>
      </c>
      <c r="F60" s="319" t="s">
        <v>118</v>
      </c>
      <c r="G60" s="202"/>
      <c r="H60" s="202"/>
      <c r="I60" s="202"/>
    </row>
    <row r="61" spans="2:9">
      <c r="B61" s="318" t="s">
        <v>221</v>
      </c>
      <c r="C61" s="202" t="s">
        <v>677</v>
      </c>
      <c r="D61" s="202" t="s">
        <v>677</v>
      </c>
      <c r="E61" s="319" t="s">
        <v>137</v>
      </c>
      <c r="F61" s="319" t="s">
        <v>118</v>
      </c>
      <c r="G61" s="202"/>
      <c r="H61" s="202"/>
      <c r="I61" s="202"/>
    </row>
    <row r="62" spans="2:9">
      <c r="B62" s="318" t="s">
        <v>221</v>
      </c>
      <c r="C62" s="202" t="s">
        <v>678</v>
      </c>
      <c r="D62" s="202" t="s">
        <v>678</v>
      </c>
      <c r="E62" s="319" t="s">
        <v>137</v>
      </c>
      <c r="F62" s="319" t="s">
        <v>118</v>
      </c>
      <c r="G62" s="202"/>
      <c r="H62" s="202"/>
      <c r="I62" s="202"/>
    </row>
    <row r="63" spans="2:9">
      <c r="B63" s="318" t="s">
        <v>221</v>
      </c>
      <c r="C63" s="202" t="s">
        <v>680</v>
      </c>
      <c r="D63" s="202" t="s">
        <v>680</v>
      </c>
      <c r="E63" s="319" t="s">
        <v>137</v>
      </c>
      <c r="F63" s="319" t="s">
        <v>118</v>
      </c>
      <c r="G63" s="202"/>
      <c r="H63" s="202"/>
      <c r="I63" s="202"/>
    </row>
    <row r="64" spans="2:9">
      <c r="B64" s="608" t="s">
        <v>345</v>
      </c>
      <c r="C64" s="6" t="s">
        <v>689</v>
      </c>
      <c r="D64" s="6" t="s">
        <v>690</v>
      </c>
      <c r="E64" s="162" t="s">
        <v>137</v>
      </c>
      <c r="F64" s="162" t="s">
        <v>599</v>
      </c>
      <c r="G64" s="6"/>
      <c r="H64" s="6"/>
      <c r="I64" s="6"/>
    </row>
    <row r="65" spans="2:9">
      <c r="B65" s="608" t="s">
        <v>345</v>
      </c>
      <c r="C65" s="6" t="s">
        <v>691</v>
      </c>
      <c r="D65" s="6" t="s">
        <v>692</v>
      </c>
      <c r="E65" s="162" t="s">
        <v>137</v>
      </c>
      <c r="F65" s="162" t="s">
        <v>599</v>
      </c>
      <c r="G65" s="6"/>
      <c r="H65" s="6"/>
      <c r="I65" s="6"/>
    </row>
    <row r="66" spans="2:9">
      <c r="B66" s="608" t="s">
        <v>345</v>
      </c>
      <c r="C66" s="6" t="s">
        <v>694</v>
      </c>
      <c r="D66" s="6" t="s">
        <v>695</v>
      </c>
      <c r="E66" s="162" t="s">
        <v>137</v>
      </c>
      <c r="F66" s="162" t="s">
        <v>599</v>
      </c>
      <c r="G66" s="6"/>
      <c r="H66" s="6"/>
      <c r="I66" s="6"/>
    </row>
    <row r="67" spans="2:9">
      <c r="B67" s="608" t="s">
        <v>345</v>
      </c>
      <c r="C67" s="6" t="s">
        <v>693</v>
      </c>
      <c r="D67" s="6" t="s">
        <v>696</v>
      </c>
      <c r="E67" s="162" t="s">
        <v>137</v>
      </c>
      <c r="F67" s="162" t="s">
        <v>599</v>
      </c>
      <c r="G67" s="6"/>
      <c r="H67" s="6"/>
      <c r="I67" s="6"/>
    </row>
  </sheetData>
  <phoneticPr fontId="2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 codeName="Hoja4"/>
  <dimension ref="B1:AD123"/>
  <sheetViews>
    <sheetView topLeftCell="A74" zoomScale="80" workbookViewId="0">
      <selection activeCell="D105" sqref="D105"/>
    </sheetView>
  </sheetViews>
  <sheetFormatPr defaultColWidth="9.140625" defaultRowHeight="12.75"/>
  <cols>
    <col min="1" max="1" width="9.140625" customWidth="1"/>
    <col min="2" max="2" width="13.7109375" customWidth="1"/>
    <col min="3" max="3" width="23.5703125" customWidth="1"/>
    <col min="4" max="4" width="9.140625" customWidth="1"/>
    <col min="5" max="5" width="12.140625" customWidth="1"/>
    <col min="6" max="6" width="16.140625" customWidth="1"/>
    <col min="7" max="10" width="9.140625" customWidth="1"/>
    <col min="11" max="11" width="11.42578125" customWidth="1"/>
    <col min="12" max="255" width="9.140625" customWidth="1"/>
  </cols>
  <sheetData>
    <row r="1" spans="2:30">
      <c r="D1" s="11"/>
      <c r="G1" s="4"/>
      <c r="H1" s="4"/>
      <c r="I1" s="4"/>
      <c r="J1" s="4"/>
      <c r="K1" s="4"/>
      <c r="L1" s="4"/>
      <c r="M1" s="99"/>
      <c r="N1" s="4"/>
      <c r="O1" s="4"/>
      <c r="P1" s="4"/>
      <c r="Q1" s="4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>
      <c r="B2" s="4"/>
      <c r="C2" s="16"/>
      <c r="D2" s="3"/>
      <c r="F2" s="98"/>
      <c r="G2" s="164"/>
      <c r="M2" s="4"/>
      <c r="N2" s="4"/>
      <c r="O2" s="4"/>
      <c r="P2" s="4"/>
      <c r="X2" s="3"/>
      <c r="Y2" s="3"/>
      <c r="Z2" s="3"/>
      <c r="AA2" s="3"/>
      <c r="AB2" s="2"/>
      <c r="AC2" s="3"/>
      <c r="AD2" s="3"/>
    </row>
    <row r="3" spans="2:30">
      <c r="F3" s="98"/>
      <c r="I3" s="72"/>
      <c r="J3" s="72"/>
      <c r="M3" s="5"/>
      <c r="N3" s="2"/>
      <c r="O3" s="2"/>
      <c r="P3" s="2"/>
      <c r="X3" s="5"/>
      <c r="Y3" s="5"/>
      <c r="Z3" s="5"/>
      <c r="AA3" s="5"/>
      <c r="AB3" s="5"/>
      <c r="AC3" s="5"/>
      <c r="AD3" s="5"/>
    </row>
    <row r="4" spans="2:30" ht="18">
      <c r="B4" s="32" t="s">
        <v>206</v>
      </c>
      <c r="C4" s="33"/>
      <c r="D4" s="61"/>
      <c r="E4" s="61"/>
      <c r="F4" s="164" t="str">
        <f>"~FI_T: "&amp;Region&amp;"~EUR10"</f>
        <v>~FI_T: FIM~EUR10</v>
      </c>
      <c r="X4" s="8"/>
      <c r="Y4" s="8"/>
      <c r="Z4" s="8"/>
      <c r="AA4" s="8"/>
      <c r="AB4" s="8"/>
    </row>
    <row r="5" spans="2:30" ht="23.25" thickBot="1">
      <c r="B5" s="100" t="s">
        <v>212</v>
      </c>
      <c r="C5" s="100" t="s">
        <v>213</v>
      </c>
      <c r="D5" s="100" t="s">
        <v>214</v>
      </c>
      <c r="E5" s="100" t="s">
        <v>215</v>
      </c>
      <c r="F5" s="100" t="s">
        <v>219</v>
      </c>
      <c r="G5" s="101" t="s">
        <v>462</v>
      </c>
      <c r="H5" s="103" t="str">
        <f ca="1">"Share~UP~"&amp;AuxYear</f>
        <v>Share~UP~2017</v>
      </c>
      <c r="I5" s="103" t="str">
        <f ca="1">"Share~UP~"&amp;BaseYear+25</f>
        <v>Share~UP~2035</v>
      </c>
      <c r="J5" s="101" t="s">
        <v>224</v>
      </c>
      <c r="K5" s="101" t="s">
        <v>33</v>
      </c>
      <c r="L5" s="223" t="s">
        <v>63</v>
      </c>
      <c r="M5" s="102" t="s">
        <v>343</v>
      </c>
      <c r="N5" s="102" t="str">
        <f ca="1">"RESID~"&amp;AuxYear</f>
        <v>RESID~2017</v>
      </c>
      <c r="O5" s="102" t="s">
        <v>460</v>
      </c>
      <c r="P5" s="102" t="s">
        <v>461</v>
      </c>
      <c r="Q5" s="102" t="s">
        <v>547</v>
      </c>
      <c r="R5" s="102" t="str">
        <f ca="1">"ACT_BND~UP~"&amp;AuxYear</f>
        <v>ACT_BND~UP~2017</v>
      </c>
      <c r="S5" s="103" t="s">
        <v>259</v>
      </c>
    </row>
    <row r="6" spans="2:30">
      <c r="B6" s="6" t="str">
        <f>CONCATENATE("FT-",E10,"0")</f>
        <v>FT-ELCNGA0</v>
      </c>
      <c r="C6" s="50" t="s">
        <v>107</v>
      </c>
      <c r="D6" s="23" t="str">
        <f ca="1">IEAData2!A19</f>
        <v>GASGWG</v>
      </c>
      <c r="E6" s="51"/>
      <c r="F6" s="23"/>
      <c r="G6" s="266">
        <f ca="1">IF(IEAData2!$Q$26=0,0,IEAData2!$Q19/IEAData2!$Q$26)</f>
        <v>0</v>
      </c>
      <c r="H6" s="266">
        <f ca="1">IF(IEAData2!$Q$26=0,0,IEAData2!R19/IEAData2!$Q$26)</f>
        <v>0</v>
      </c>
      <c r="I6" s="266"/>
      <c r="J6" s="267"/>
      <c r="K6" s="268">
        <v>1</v>
      </c>
      <c r="L6" s="269"/>
      <c r="M6" s="269"/>
      <c r="N6" s="270">
        <f ca="1">MAX(IEAData2!$M$102,AuxData2!$M$102)/$S6</f>
        <v>123.5368</v>
      </c>
      <c r="O6" s="270">
        <f>N6</f>
        <v>123.5368</v>
      </c>
      <c r="P6" s="270">
        <f>O6*0.5</f>
        <v>61.7684</v>
      </c>
      <c r="Q6" s="270"/>
      <c r="R6" s="270"/>
      <c r="S6" s="265">
        <v>0.45</v>
      </c>
    </row>
    <row r="7" spans="2:30">
      <c r="B7" s="19"/>
      <c r="C7" s="50"/>
      <c r="D7" s="23" t="str">
        <f ca="1">IEAData2!A23</f>
        <v>GASNGA</v>
      </c>
      <c r="E7" s="51"/>
      <c r="F7" s="23"/>
      <c r="G7" s="266">
        <f ca="1">IF(IEAData2!$Q$26=0,1,IEAData2!$Q23/IEAData2!$Q$26)+0.001</f>
        <v>1.0009999999999999</v>
      </c>
      <c r="H7" s="266">
        <f ca="1">IF(IEAData2!$Q$26=0,1,IEAData2!R23/IEAData2!$Q$26)+0.001</f>
        <v>1.0009999999999999</v>
      </c>
      <c r="I7" s="266">
        <v>1</v>
      </c>
      <c r="J7" s="267"/>
      <c r="K7" s="268"/>
      <c r="L7" s="271"/>
      <c r="M7" s="271"/>
      <c r="N7" s="271"/>
      <c r="O7" s="271"/>
      <c r="P7" s="271"/>
      <c r="Q7" s="271"/>
      <c r="R7" s="271"/>
      <c r="S7" s="7"/>
    </row>
    <row r="8" spans="2:30">
      <c r="B8" s="19"/>
      <c r="C8" s="50"/>
      <c r="D8" s="23" t="s">
        <v>532</v>
      </c>
      <c r="E8" s="51"/>
      <c r="F8" s="23"/>
      <c r="G8" s="266">
        <v>0.01</v>
      </c>
      <c r="H8" s="266">
        <v>0.1</v>
      </c>
      <c r="I8" s="266">
        <v>1</v>
      </c>
      <c r="J8" s="267"/>
      <c r="K8" s="268"/>
      <c r="L8" s="271"/>
      <c r="M8" s="271"/>
      <c r="N8" s="271"/>
      <c r="O8" s="271"/>
      <c r="P8" s="271"/>
      <c r="Q8" s="271"/>
      <c r="R8" s="271"/>
      <c r="S8" s="7"/>
    </row>
    <row r="9" spans="2:30">
      <c r="B9" s="19"/>
      <c r="C9" s="50"/>
      <c r="D9" s="23" t="s">
        <v>687</v>
      </c>
      <c r="E9" s="51"/>
      <c r="F9" s="23"/>
      <c r="G9" s="266">
        <v>0.01</v>
      </c>
      <c r="H9" s="266">
        <v>0.02</v>
      </c>
      <c r="I9" s="266">
        <v>0.15</v>
      </c>
      <c r="J9" s="267"/>
      <c r="K9" s="268"/>
      <c r="L9" s="271"/>
      <c r="M9" s="271"/>
      <c r="N9" s="271"/>
      <c r="O9" s="271"/>
      <c r="P9" s="271"/>
      <c r="Q9" s="271"/>
      <c r="R9" s="271"/>
      <c r="S9" s="7"/>
    </row>
    <row r="10" spans="2:30">
      <c r="B10" s="73"/>
      <c r="C10" s="201"/>
      <c r="D10" s="74"/>
      <c r="E10" s="97" t="s">
        <v>151</v>
      </c>
      <c r="F10" s="75" t="s">
        <v>87</v>
      </c>
      <c r="G10" s="272"/>
      <c r="H10" s="272"/>
      <c r="I10" s="272"/>
      <c r="J10" s="273">
        <v>1</v>
      </c>
      <c r="K10" s="274"/>
      <c r="L10" s="275"/>
      <c r="M10" s="275"/>
      <c r="N10" s="275"/>
      <c r="O10" s="275"/>
      <c r="P10" s="275"/>
      <c r="Q10" s="275"/>
      <c r="R10" s="275"/>
      <c r="S10" s="77"/>
    </row>
    <row r="11" spans="2:30">
      <c r="B11" s="6" t="str">
        <f>CONCATENATE("FT-",E21,"0")</f>
        <v>FT-ELCOIL0</v>
      </c>
      <c r="C11" s="50" t="s">
        <v>108</v>
      </c>
      <c r="D11" s="23" t="str">
        <f ca="1">IEAData2!A27</f>
        <v>OILCRD</v>
      </c>
      <c r="E11" s="51"/>
      <c r="F11" s="23"/>
      <c r="G11" s="266">
        <f ca="1">IF(IEAData2!$Q$36=0,0,(IEAData2!$Q27+IEAData2!$Q32)/(+IEAData2!$Q$36))</f>
        <v>0</v>
      </c>
      <c r="H11" s="266">
        <f ca="1">IF(AuxData2!$Q$36=0,0,(AuxData2!$Q27+AuxData2!$Q32)/(+AuxData2!$Q$36))</f>
        <v>0</v>
      </c>
      <c r="I11" s="266"/>
      <c r="J11" s="267"/>
      <c r="K11" s="268">
        <v>1</v>
      </c>
      <c r="L11" s="269"/>
      <c r="M11" s="269"/>
      <c r="N11" s="269"/>
      <c r="O11" s="269"/>
      <c r="P11" s="269"/>
      <c r="Q11" s="269"/>
      <c r="R11" s="269"/>
      <c r="S11" s="18"/>
    </row>
    <row r="12" spans="2:30">
      <c r="B12" s="19"/>
      <c r="C12" s="50"/>
      <c r="D12" s="23" t="str">
        <f ca="1">IEAData2!A28</f>
        <v>OILDST</v>
      </c>
      <c r="E12" s="51"/>
      <c r="F12" s="23"/>
      <c r="G12" s="266">
        <f ca="1">IF(IEAData2!$Q$36=0,0,IEAData2!$Q28/(+IEAData2!$Q$36))</f>
        <v>0</v>
      </c>
      <c r="H12" s="266">
        <f ca="1">IF(AuxData2!$Q$36=0,0,AuxData2!$Q28/(+AuxData2!$Q$36))</f>
        <v>0</v>
      </c>
      <c r="I12" s="266"/>
      <c r="J12" s="267"/>
      <c r="K12" s="268"/>
      <c r="L12" s="271"/>
      <c r="M12" s="271"/>
      <c r="N12" s="271"/>
      <c r="O12" s="271"/>
      <c r="P12" s="271"/>
      <c r="Q12" s="271"/>
      <c r="R12" s="271"/>
      <c r="S12" s="7"/>
    </row>
    <row r="13" spans="2:30">
      <c r="B13" s="19"/>
      <c r="C13" s="50"/>
      <c r="D13" s="23" t="str">
        <f ca="1">IEAData2!A29</f>
        <v>OILGSL</v>
      </c>
      <c r="E13" s="51"/>
      <c r="F13" s="23"/>
      <c r="G13" s="266">
        <f ca="1">IF(IEAData2!$Q$36=0,0,IEAData2!$Q29/(+IEAData2!$Q$36))</f>
        <v>0</v>
      </c>
      <c r="H13" s="266">
        <f ca="1">IF(AuxData2!$Q$36=0,0,AuxData2!$Q29/(+AuxData2!$Q$36))</f>
        <v>0</v>
      </c>
      <c r="I13" s="266"/>
      <c r="J13" s="267"/>
      <c r="K13" s="268"/>
      <c r="L13" s="271"/>
      <c r="M13" s="271"/>
      <c r="N13" s="271"/>
      <c r="O13" s="271"/>
      <c r="P13" s="271"/>
      <c r="Q13" s="271"/>
      <c r="R13" s="271"/>
      <c r="S13" s="7"/>
    </row>
    <row r="14" spans="2:30">
      <c r="B14" s="19"/>
      <c r="C14" s="50"/>
      <c r="D14" s="23" t="str">
        <f ca="1">IEAData2!A30</f>
        <v>OILNAP</v>
      </c>
      <c r="E14" s="51"/>
      <c r="F14" s="23"/>
      <c r="G14" s="266">
        <f ca="1">IF(IEAData2!$Q$36=0,0,IEAData2!$Q30/(+IEAData2!$Q$36))</f>
        <v>0</v>
      </c>
      <c r="H14" s="266">
        <f ca="1">IF(AuxData2!$Q$36=0,0,AuxData2!$Q30/(+AuxData2!$Q$36))</f>
        <v>0</v>
      </c>
      <c r="I14" s="266"/>
      <c r="J14" s="267"/>
      <c r="K14" s="268"/>
      <c r="L14" s="271"/>
      <c r="M14" s="271"/>
      <c r="N14" s="271"/>
      <c r="O14" s="271"/>
      <c r="P14" s="271"/>
      <c r="Q14" s="271"/>
      <c r="R14" s="271"/>
      <c r="S14" s="7"/>
    </row>
    <row r="15" spans="2:30">
      <c r="B15" s="19"/>
      <c r="C15" s="50"/>
      <c r="D15" s="23" t="str">
        <f ca="1">IEAData2!A31</f>
        <v>OILNGL</v>
      </c>
      <c r="E15" s="51"/>
      <c r="F15" s="23"/>
      <c r="G15" s="266">
        <f ca="1">IF(IEAData2!$Q$36=0,0,IEAData2!$Q31/(+IEAData2!$Q$36))</f>
        <v>0</v>
      </c>
      <c r="H15" s="266">
        <f ca="1">IF(AuxData2!$Q$36=0,0,AuxData2!$Q31/(+AuxData2!$Q$36))</f>
        <v>0</v>
      </c>
      <c r="I15" s="266"/>
      <c r="J15" s="267"/>
      <c r="K15" s="268"/>
      <c r="L15" s="271"/>
      <c r="M15" s="271"/>
      <c r="N15" s="271"/>
      <c r="O15" s="271"/>
      <c r="P15" s="271"/>
      <c r="Q15" s="271"/>
      <c r="R15" s="271"/>
      <c r="S15" s="7"/>
    </row>
    <row r="16" spans="2:30">
      <c r="B16" s="19"/>
      <c r="C16" s="50"/>
      <c r="D16" s="23" t="str">
        <f ca="1">IEAData2!A34</f>
        <v>OILKER</v>
      </c>
      <c r="E16" s="51"/>
      <c r="F16" s="23"/>
      <c r="G16" s="266">
        <f ca="1">IF(IEAData2!$Q$36=0,0,IEAData2!$Q34/(+IEAData2!$Q$36))</f>
        <v>0</v>
      </c>
      <c r="H16" s="266">
        <f ca="1">IF(AuxData2!$Q$36=0,0,AuxData2!$Q34/(+AuxData2!$Q$36))</f>
        <v>0</v>
      </c>
      <c r="I16" s="266"/>
      <c r="J16" s="267"/>
      <c r="K16" s="268"/>
      <c r="L16" s="271"/>
      <c r="M16" s="271"/>
      <c r="N16" s="271"/>
      <c r="O16" s="271"/>
      <c r="P16" s="271"/>
      <c r="Q16" s="271"/>
      <c r="R16" s="271"/>
      <c r="S16" s="7"/>
    </row>
    <row r="17" spans="2:29">
      <c r="B17" s="19"/>
      <c r="C17" s="50"/>
      <c r="D17" s="23" t="str">
        <f ca="1">IEAData2!A35</f>
        <v>OILHFO</v>
      </c>
      <c r="E17" s="51"/>
      <c r="F17" s="23"/>
      <c r="G17" s="266">
        <f ca="1">IF(IEAData2!$Q$36=0,0,SUM(IEAData2!$Q35,IEAData2!$Q33)/(+IEAData2!$Q$36))+0.001</f>
        <v>1.0009999999999999</v>
      </c>
      <c r="H17" s="266">
        <f ca="1">IF(AuxData2!$Q$36=0,0,SUM(AuxData2!$Q35,AuxData2!$Q33)/(+AuxData2!$Q$36))+0.001</f>
        <v>1.0009999999999999</v>
      </c>
      <c r="I17" s="266">
        <v>1</v>
      </c>
      <c r="J17" s="267"/>
      <c r="K17" s="268"/>
      <c r="L17" s="271"/>
      <c r="M17" s="271"/>
      <c r="N17" s="271"/>
      <c r="O17" s="271"/>
      <c r="P17" s="271"/>
      <c r="Q17" s="271"/>
      <c r="R17" s="271"/>
      <c r="S17" s="7"/>
    </row>
    <row r="18" spans="2:29">
      <c r="B18" s="19"/>
      <c r="C18" s="50"/>
      <c r="D18" s="23" t="str">
        <f ca="1">IEAData2!A46</f>
        <v>OILPTC</v>
      </c>
      <c r="E18" s="51"/>
      <c r="F18" s="23"/>
      <c r="G18" s="266">
        <f ca="1">IF(IEAData2!$Q$46=0,0,IEAData2!$Q46/(IEAData2!$Q$36))</f>
        <v>0</v>
      </c>
      <c r="H18" s="266">
        <f ca="1">IF(AuxData2!$Q$46=0,0,AuxData2!$Q46/(AuxData2!$Q$36))</f>
        <v>0</v>
      </c>
      <c r="I18" s="266"/>
      <c r="J18" s="267"/>
      <c r="K18" s="268"/>
      <c r="L18" s="271"/>
      <c r="M18" s="271"/>
      <c r="N18" s="271"/>
      <c r="O18" s="271"/>
      <c r="P18" s="271"/>
      <c r="Q18" s="271"/>
      <c r="R18" s="271"/>
      <c r="S18" s="7"/>
    </row>
    <row r="19" spans="2:29">
      <c r="B19" s="19"/>
      <c r="C19" s="50"/>
      <c r="D19" s="23" t="str">
        <f ca="1">IEAData2!A25</f>
        <v>OILLPG</v>
      </c>
      <c r="E19" s="51"/>
      <c r="F19" s="23"/>
      <c r="G19" s="266">
        <f ca="1">IF(IEAData2!$Q$36=0,0,IEAData2!$Q25/(+IEAData2!$Q$36))</f>
        <v>0</v>
      </c>
      <c r="H19" s="266">
        <f ca="1">IF(AuxData2!$Q$36=0,0,AuxData2!$Q25/(+AuxData2!$Q$36))</f>
        <v>0</v>
      </c>
      <c r="I19" s="266"/>
      <c r="J19" s="267"/>
      <c r="K19" s="268"/>
      <c r="L19" s="271"/>
      <c r="M19" s="271"/>
      <c r="N19" s="271"/>
      <c r="O19" s="271"/>
      <c r="P19" s="271"/>
      <c r="Q19" s="271"/>
      <c r="R19" s="271"/>
      <c r="S19" s="7"/>
    </row>
    <row r="20" spans="2:29">
      <c r="B20" s="19"/>
      <c r="C20" s="50"/>
      <c r="D20" s="23" t="str">
        <f ca="1">IEAData2!A24</f>
        <v>GASRFG</v>
      </c>
      <c r="E20" s="51"/>
      <c r="F20" s="23"/>
      <c r="G20" s="266">
        <f ca="1">IF(IEAData2!$Q$36=0,0,IEAData2!$Q24/IEAData2!$Q$36)</f>
        <v>0</v>
      </c>
      <c r="H20" s="266">
        <f ca="1">IF(AuxData2!$Q$36=0,0,AuxData2!$Q24/AuxData2!$Q$36)</f>
        <v>0</v>
      </c>
      <c r="I20" s="266"/>
      <c r="J20" s="267"/>
      <c r="K20" s="268"/>
      <c r="L20" s="271"/>
      <c r="M20" s="271"/>
      <c r="N20" s="271"/>
      <c r="O20" s="271"/>
      <c r="P20" s="271"/>
      <c r="Q20" s="271"/>
      <c r="R20" s="271"/>
      <c r="S20" s="7"/>
    </row>
    <row r="21" spans="2:29">
      <c r="B21" s="93"/>
      <c r="C21" s="201"/>
      <c r="D21" s="74"/>
      <c r="E21" s="97" t="s">
        <v>56</v>
      </c>
      <c r="F21" s="75" t="s">
        <v>88</v>
      </c>
      <c r="G21" s="272"/>
      <c r="H21" s="301"/>
      <c r="I21" s="272"/>
      <c r="J21" s="273">
        <v>1</v>
      </c>
      <c r="K21" s="274"/>
      <c r="L21" s="275"/>
      <c r="M21" s="275"/>
      <c r="N21" s="275"/>
      <c r="O21" s="275"/>
      <c r="P21" s="275"/>
      <c r="Q21" s="275"/>
      <c r="R21" s="275"/>
      <c r="S21" s="77"/>
    </row>
    <row r="22" spans="2:29">
      <c r="B22" s="6" t="str">
        <f>CONCATENATE("FT-",E27,"0")</f>
        <v>FT-ELCCOA0</v>
      </c>
      <c r="C22" s="50" t="s">
        <v>109</v>
      </c>
      <c r="D22" s="23" t="str">
        <f ca="1">IEAData2!A44</f>
        <v>COAHCO</v>
      </c>
      <c r="E22" s="51"/>
      <c r="F22" s="23"/>
      <c r="G22" s="266">
        <f ca="1">IF($Q22=0,1,IEAData2!$Q44/$Q22)+0.0011</f>
        <v>1.0001009990009992</v>
      </c>
      <c r="H22" s="266">
        <f ca="1">IF($R22=0,1,AuxData2!$Q44/$R22)+0.01</f>
        <v>1.0050248756218907</v>
      </c>
      <c r="I22" s="266">
        <v>1</v>
      </c>
      <c r="J22" s="267"/>
      <c r="K22" s="268">
        <v>1</v>
      </c>
      <c r="L22" s="269"/>
      <c r="M22" s="269"/>
      <c r="N22" s="269"/>
      <c r="O22" s="269"/>
      <c r="P22" s="269"/>
      <c r="Q22" s="276">
        <f ca="1">(IEAData2!$Q$47-IEAData2!$Q$43)*1.001</f>
        <v>27.030603599999996</v>
      </c>
      <c r="R22" s="276">
        <f ca="1">(AuxData2!$Q$47-AuxData2!$Q$43)*1.005</f>
        <v>38.734669799999992</v>
      </c>
      <c r="S22" s="31"/>
    </row>
    <row r="23" spans="2:29">
      <c r="B23" s="19"/>
      <c r="C23" s="50"/>
      <c r="D23" s="23" t="str">
        <f ca="1">IEAData2!A45</f>
        <v>COAOVC</v>
      </c>
      <c r="E23" s="51"/>
      <c r="F23" s="23"/>
      <c r="G23" s="266">
        <f ca="1">IF(IEAData2!$Q$47=0,0,IEAData2!$Q45/(IEAData2!$Q$47-IEAData2!$Q$43))</f>
        <v>0</v>
      </c>
      <c r="H23" s="266">
        <f ca="1">IF(AuxData2!$Q$47=0,0,AuxData2!$Q45/(AuxData2!$Q$47-AuxData2!$Q$43))</f>
        <v>0</v>
      </c>
      <c r="I23" s="266"/>
      <c r="J23" s="267"/>
      <c r="K23" s="268"/>
      <c r="L23" s="271"/>
      <c r="M23" s="271"/>
      <c r="N23" s="271"/>
      <c r="O23" s="271"/>
      <c r="P23" s="271"/>
      <c r="Q23" s="271"/>
      <c r="R23" s="271"/>
      <c r="S23" s="7"/>
    </row>
    <row r="24" spans="2:29">
      <c r="B24" s="19"/>
      <c r="C24" s="50"/>
      <c r="D24" s="23" t="str">
        <f ca="1">IEAData2!A20</f>
        <v>GASBFG</v>
      </c>
      <c r="E24" s="51"/>
      <c r="F24" s="23"/>
      <c r="G24" s="266">
        <f ca="1">IF(IEAData2!$Q$47=0,0,IEAData2!$Q20/(IEAData2!$Q$47-IEAData2!$Q$43))</f>
        <v>0</v>
      </c>
      <c r="H24" s="266">
        <f ca="1">IF(AuxData2!$Q$47=0,0,AuxData2!$Q20/(AuxData2!$Q$47-AuxData2!$Q$43))</f>
        <v>0</v>
      </c>
      <c r="I24" s="266"/>
      <c r="J24" s="267"/>
      <c r="K24" s="268"/>
      <c r="L24" s="271"/>
      <c r="M24" s="271"/>
      <c r="N24" s="271"/>
      <c r="O24" s="271"/>
      <c r="P24" s="271"/>
      <c r="Q24" s="271"/>
      <c r="R24" s="271"/>
      <c r="S24" s="7"/>
    </row>
    <row r="25" spans="2:29">
      <c r="B25" s="19"/>
      <c r="C25" s="50"/>
      <c r="D25" s="23" t="str">
        <f ca="1">IEAData2!A21</f>
        <v>GASCOG</v>
      </c>
      <c r="E25" s="51"/>
      <c r="F25" s="23"/>
      <c r="G25" s="266">
        <f ca="1">IF(IEAData2!$Q$47=0,0,IEAData2!$Q21/(IEAData2!$Q$47-IEAData2!$Q$43))</f>
        <v>0</v>
      </c>
      <c r="H25" s="266">
        <f ca="1">IF(AuxData2!$Q$47=0,0,AuxData2!$Q21/(AuxData2!$Q$47-AuxData2!$Q$43))</f>
        <v>0</v>
      </c>
      <c r="I25" s="266"/>
      <c r="J25" s="267"/>
      <c r="K25" s="268"/>
      <c r="L25" s="271"/>
      <c r="M25" s="271"/>
      <c r="N25" s="271"/>
      <c r="O25" s="271"/>
      <c r="P25" s="271"/>
      <c r="Q25" s="271"/>
      <c r="R25" s="271"/>
      <c r="S25" s="7"/>
    </row>
    <row r="26" spans="2:29">
      <c r="B26" s="19"/>
      <c r="C26" s="50"/>
      <c r="D26" s="23" t="str">
        <f ca="1">IEAData2!A22</f>
        <v>GASOXY</v>
      </c>
      <c r="E26" s="51"/>
      <c r="F26" s="23"/>
      <c r="G26" s="266">
        <f ca="1">IF(IEAData2!$Q$47=0,0,IEAData2!$Q22/(IEAData2!$Q$47-IEAData2!$Q$43))</f>
        <v>0</v>
      </c>
      <c r="H26" s="266">
        <f ca="1">IF(AuxData2!$Q$47=0,0,AuxData2!$Q22/(AuxData2!$Q$47-AuxData2!$Q$43))</f>
        <v>0</v>
      </c>
      <c r="I26" s="266"/>
      <c r="J26" s="267"/>
      <c r="K26" s="268"/>
      <c r="L26" s="271"/>
      <c r="M26" s="271"/>
      <c r="N26" s="271"/>
      <c r="O26" s="271"/>
      <c r="P26" s="271"/>
      <c r="Q26" s="271"/>
      <c r="R26" s="271"/>
      <c r="S26" s="7"/>
    </row>
    <row r="27" spans="2:29">
      <c r="B27" s="93"/>
      <c r="C27" s="201"/>
      <c r="D27" s="74"/>
      <c r="E27" s="97" t="s">
        <v>169</v>
      </c>
      <c r="F27" s="75" t="s">
        <v>89</v>
      </c>
      <c r="G27" s="272"/>
      <c r="H27" s="301"/>
      <c r="I27" s="272"/>
      <c r="J27" s="273">
        <v>1</v>
      </c>
      <c r="K27" s="274"/>
      <c r="L27" s="275"/>
      <c r="M27" s="275"/>
      <c r="N27" s="275"/>
      <c r="O27" s="275"/>
      <c r="P27" s="275"/>
      <c r="Q27" s="275"/>
      <c r="R27" s="275"/>
      <c r="S27" s="77"/>
    </row>
    <row r="28" spans="2:29">
      <c r="B28" s="6" t="str">
        <f>CONCATENATE("FT-",E31,"0")</f>
        <v>FT-ELCBIO0</v>
      </c>
      <c r="C28" s="50" t="s">
        <v>110</v>
      </c>
      <c r="D28" s="23" t="str">
        <f ca="1">IEAData2!A37</f>
        <v>BIOGLQ</v>
      </c>
      <c r="E28" s="51"/>
      <c r="F28" s="24"/>
      <c r="G28" s="266">
        <f ca="1">IF(IEAData2!$Q$37&lt;=0,0,1/(1+IEAData2!$Q40/IEAData2!$Q37))</f>
        <v>0</v>
      </c>
      <c r="H28" s="266">
        <f ca="1">IF(AuxData2!$Q$37&lt;=0,0,1/(1+AuxData2!$Q40/AuxData2!$Q37))</f>
        <v>0</v>
      </c>
      <c r="I28" s="267">
        <f>G28^0.4</f>
        <v>0</v>
      </c>
      <c r="J28" s="266"/>
      <c r="K28" s="268">
        <v>1</v>
      </c>
      <c r="L28" s="269"/>
      <c r="M28" s="269"/>
      <c r="N28" s="270"/>
      <c r="O28" s="270"/>
      <c r="P28" s="270"/>
      <c r="Q28" s="270">
        <f ca="1">IEAData2!$M105/0.99+1</f>
        <v>1.749090909090909</v>
      </c>
      <c r="R28" s="270">
        <f ca="1">AuxData2!$M105/0.99+1</f>
        <v>3.9370909090909096</v>
      </c>
      <c r="S28" s="122"/>
    </row>
    <row r="29" spans="2:29">
      <c r="B29" s="19"/>
      <c r="C29" s="50"/>
      <c r="D29" s="23" t="s">
        <v>539</v>
      </c>
      <c r="E29" s="51"/>
      <c r="F29" s="24"/>
      <c r="G29" s="266"/>
      <c r="H29" s="266"/>
      <c r="I29" s="266"/>
      <c r="J29" s="266"/>
      <c r="K29" s="268"/>
      <c r="L29" s="271"/>
      <c r="M29" s="271"/>
      <c r="N29" s="271"/>
      <c r="O29" s="271"/>
      <c r="P29" s="271"/>
      <c r="Q29" s="271"/>
      <c r="R29" s="271"/>
      <c r="S29" s="7"/>
    </row>
    <row r="30" spans="2:29">
      <c r="B30" s="19"/>
      <c r="C30" s="50"/>
      <c r="D30" s="23" t="s">
        <v>538</v>
      </c>
      <c r="E30" s="51"/>
      <c r="F30" s="24"/>
      <c r="G30" s="266"/>
      <c r="H30" s="266"/>
      <c r="I30" s="266"/>
      <c r="J30" s="266"/>
      <c r="K30" s="268"/>
      <c r="L30" s="271"/>
      <c r="M30" s="271"/>
      <c r="N30" s="271"/>
      <c r="O30" s="271"/>
      <c r="P30" s="271"/>
      <c r="Q30" s="271"/>
      <c r="R30" s="271"/>
      <c r="S30" s="7"/>
    </row>
    <row r="31" spans="2:29">
      <c r="B31" s="93"/>
      <c r="C31" s="304"/>
      <c r="D31" s="74"/>
      <c r="E31" s="97" t="s">
        <v>152</v>
      </c>
      <c r="F31" s="74" t="s">
        <v>103</v>
      </c>
      <c r="G31" s="272"/>
      <c r="H31" s="272"/>
      <c r="I31" s="272"/>
      <c r="J31" s="273">
        <v>1</v>
      </c>
      <c r="K31" s="274"/>
      <c r="L31" s="275"/>
      <c r="M31" s="275"/>
      <c r="N31" s="275"/>
      <c r="O31" s="275"/>
      <c r="P31" s="275"/>
      <c r="Q31" s="275"/>
      <c r="R31" s="275"/>
      <c r="S31" s="77"/>
    </row>
    <row r="32" spans="2:29">
      <c r="B32" s="6" t="str">
        <f>CONCATENATE("FT-",E34,"0")</f>
        <v>FT-ELCBMU0</v>
      </c>
      <c r="C32" s="50" t="s">
        <v>554</v>
      </c>
      <c r="D32" s="23" t="str">
        <f ca="1">IEAData2!A38</f>
        <v>BIOBIN</v>
      </c>
      <c r="E32" s="51"/>
      <c r="F32" s="24"/>
      <c r="G32" s="266">
        <f ca="1">IF(IEAData2!$Q$38&lt;=0,0,1/(1+IEAData2!$Q39/IEAData2!$Q38))</f>
        <v>0</v>
      </c>
      <c r="H32" s="266">
        <f ca="1">IF(AuxData2!$Q$38&lt;=0,0,1/(1+AuxData2!$Q39/AuxData2!$Q38))</f>
        <v>0</v>
      </c>
      <c r="I32" s="266">
        <f>MAX(G32:H32)</f>
        <v>0</v>
      </c>
      <c r="J32" s="266"/>
      <c r="K32" s="268"/>
      <c r="L32" s="271"/>
      <c r="M32" s="271"/>
      <c r="N32" s="271"/>
      <c r="O32" s="271"/>
      <c r="P32" s="271"/>
      <c r="Q32" s="271"/>
      <c r="R32" s="271"/>
      <c r="S32" s="7"/>
      <c r="X32" s="8"/>
      <c r="Y32" s="8"/>
      <c r="Z32" s="8"/>
      <c r="AA32" s="8"/>
      <c r="AB32" s="8"/>
      <c r="AC32" s="8"/>
    </row>
    <row r="33" spans="2:29">
      <c r="B33" s="19"/>
      <c r="C33" s="50"/>
      <c r="D33" s="23" t="str">
        <f ca="1">IEAData2!A39</f>
        <v>BIOBMU</v>
      </c>
      <c r="E33" s="51"/>
      <c r="F33" s="24"/>
      <c r="G33" s="266"/>
      <c r="H33" s="266"/>
      <c r="I33" s="266"/>
      <c r="J33" s="266"/>
      <c r="K33" s="268"/>
      <c r="L33" s="271"/>
      <c r="M33" s="271"/>
      <c r="N33" s="271"/>
      <c r="O33" s="271"/>
      <c r="P33" s="271"/>
      <c r="Q33" s="271"/>
      <c r="R33" s="271"/>
      <c r="S33" s="7"/>
      <c r="X33" s="8"/>
      <c r="Y33" s="8"/>
      <c r="Z33" s="8"/>
      <c r="AA33" s="8"/>
      <c r="AB33" s="8"/>
      <c r="AC33" s="8"/>
    </row>
    <row r="34" spans="2:29">
      <c r="B34" s="104"/>
      <c r="C34" s="305"/>
      <c r="D34" s="23"/>
      <c r="E34" s="97" t="s">
        <v>134</v>
      </c>
      <c r="F34" s="30" t="s">
        <v>135</v>
      </c>
      <c r="G34" s="277"/>
      <c r="H34" s="277"/>
      <c r="I34" s="277"/>
      <c r="J34" s="266">
        <v>1</v>
      </c>
      <c r="K34" s="268"/>
      <c r="L34" s="271"/>
      <c r="M34" s="271"/>
      <c r="N34" s="271"/>
      <c r="O34" s="271"/>
      <c r="P34" s="271"/>
      <c r="Q34" s="271"/>
      <c r="R34" s="271"/>
      <c r="S34" s="7"/>
      <c r="X34" s="8"/>
      <c r="Y34" s="8"/>
      <c r="Z34" s="8"/>
      <c r="AA34" s="8"/>
      <c r="AB34" s="8"/>
      <c r="AC34" s="8"/>
    </row>
    <row r="35" spans="2:29">
      <c r="B35" s="6" t="str">
        <f>CONCATENATE("FT-",E36,"0")</f>
        <v>FT-ELCNUC0</v>
      </c>
      <c r="C35" s="50" t="s">
        <v>92</v>
      </c>
      <c r="D35" s="35" t="s">
        <v>334</v>
      </c>
      <c r="E35" s="51"/>
      <c r="F35" s="23"/>
      <c r="G35" s="266"/>
      <c r="H35" s="266"/>
      <c r="I35" s="266"/>
      <c r="J35" s="267"/>
      <c r="K35" s="268">
        <v>1</v>
      </c>
      <c r="L35" s="271"/>
      <c r="M35" s="362">
        <v>0.3</v>
      </c>
      <c r="N35" s="266"/>
      <c r="O35" s="266"/>
      <c r="P35" s="266"/>
      <c r="Q35" s="266"/>
      <c r="R35" s="266"/>
      <c r="S35" s="20"/>
      <c r="X35" s="8"/>
      <c r="Y35" s="8"/>
      <c r="Z35" s="8"/>
      <c r="AA35" s="8"/>
      <c r="AB35" s="8"/>
      <c r="AC35" s="8"/>
    </row>
    <row r="36" spans="2:29">
      <c r="B36" s="93"/>
      <c r="C36" s="201"/>
      <c r="D36" s="74"/>
      <c r="E36" s="97" t="s">
        <v>338</v>
      </c>
      <c r="F36" s="115" t="s">
        <v>93</v>
      </c>
      <c r="G36" s="272"/>
      <c r="H36" s="272"/>
      <c r="I36" s="272"/>
      <c r="J36" s="273">
        <v>1</v>
      </c>
      <c r="K36" s="274"/>
      <c r="L36" s="275"/>
      <c r="M36" s="272"/>
      <c r="N36" s="272"/>
      <c r="O36" s="272"/>
      <c r="P36" s="272"/>
      <c r="Q36" s="272"/>
      <c r="R36" s="272"/>
      <c r="S36" s="76"/>
      <c r="X36" s="8"/>
      <c r="Y36" s="8"/>
      <c r="Z36" s="8"/>
      <c r="AA36" s="8"/>
      <c r="AB36" s="8"/>
      <c r="AC36" s="8"/>
    </row>
    <row r="37" spans="2:29">
      <c r="B37" s="6" t="str">
        <f>CONCATENATE("FT-",E38,"0")</f>
        <v>FT-ELCLIT0</v>
      </c>
      <c r="C37" s="50" t="s">
        <v>339</v>
      </c>
      <c r="D37" s="35" t="s">
        <v>340</v>
      </c>
      <c r="E37" s="51"/>
      <c r="F37" s="23"/>
      <c r="G37" s="266"/>
      <c r="H37" s="266"/>
      <c r="I37" s="266"/>
      <c r="J37" s="267"/>
      <c r="K37" s="268">
        <v>1</v>
      </c>
      <c r="L37" s="271"/>
      <c r="M37" s="266">
        <v>3.0000000000000001E-3</v>
      </c>
      <c r="N37" s="266"/>
      <c r="O37" s="266"/>
      <c r="P37" s="266"/>
      <c r="Q37" s="266"/>
      <c r="R37" s="266"/>
      <c r="S37" s="20"/>
      <c r="X37" s="8"/>
      <c r="Y37" s="8"/>
      <c r="Z37" s="8"/>
      <c r="AA37" s="8"/>
      <c r="AB37" s="8"/>
      <c r="AC37" s="8"/>
    </row>
    <row r="38" spans="2:29">
      <c r="B38" s="93"/>
      <c r="C38" s="201"/>
      <c r="D38" s="74"/>
      <c r="E38" s="97" t="s">
        <v>341</v>
      </c>
      <c r="F38" s="115" t="s">
        <v>342</v>
      </c>
      <c r="G38" s="272"/>
      <c r="H38" s="272"/>
      <c r="I38" s="272"/>
      <c r="J38" s="273">
        <v>1</v>
      </c>
      <c r="K38" s="274"/>
      <c r="L38" s="275"/>
      <c r="M38" s="272"/>
      <c r="N38" s="272"/>
      <c r="O38" s="272"/>
      <c r="P38" s="272"/>
      <c r="Q38" s="272"/>
      <c r="R38" s="272"/>
      <c r="S38" s="76"/>
      <c r="X38" s="8"/>
      <c r="Y38" s="8"/>
      <c r="Z38" s="8"/>
      <c r="AA38" s="8"/>
      <c r="AB38" s="8"/>
      <c r="AC38" s="8"/>
    </row>
    <row r="39" spans="2:29">
      <c r="F39" s="94"/>
      <c r="R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2:29">
      <c r="F40" s="94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2:29">
      <c r="C41" s="15"/>
      <c r="D41" s="9"/>
      <c r="E41" s="9"/>
      <c r="F41" s="164" t="str">
        <f>"~FI_T: "&amp;Region</f>
        <v>~FI_T: FIM</v>
      </c>
      <c r="G41" s="10"/>
      <c r="H41" s="10"/>
      <c r="I41" s="10"/>
      <c r="J41" s="15"/>
      <c r="K41" s="15"/>
      <c r="L41" s="15"/>
      <c r="M41" s="15"/>
      <c r="N41" s="15"/>
      <c r="O41" s="15"/>
      <c r="P41" s="15"/>
      <c r="Q41" s="15"/>
      <c r="R41" s="8"/>
      <c r="S41" s="8"/>
      <c r="T41" s="8"/>
      <c r="U41" s="8"/>
      <c r="V41" s="8"/>
      <c r="W41" s="8"/>
    </row>
    <row r="42" spans="2:29" ht="13.5" thickBot="1">
      <c r="B42" s="263" t="s">
        <v>212</v>
      </c>
      <c r="C42" s="263" t="s">
        <v>213</v>
      </c>
      <c r="D42" s="263" t="s">
        <v>214</v>
      </c>
      <c r="E42" s="263" t="s">
        <v>215</v>
      </c>
      <c r="F42" s="263" t="s">
        <v>219</v>
      </c>
      <c r="G42" s="264" t="s">
        <v>223</v>
      </c>
      <c r="H42" s="264" t="str">
        <f ca="1">"Share~FX~"&amp;AuxYear</f>
        <v>Share~FX~2017</v>
      </c>
      <c r="I42" s="223" t="s">
        <v>157</v>
      </c>
      <c r="J42" s="223" t="s">
        <v>33</v>
      </c>
      <c r="K42" s="223" t="s">
        <v>63</v>
      </c>
      <c r="L42" s="223" t="s">
        <v>43</v>
      </c>
      <c r="M42" s="8"/>
      <c r="N42" s="8"/>
      <c r="O42" s="8"/>
      <c r="P42" s="8"/>
    </row>
    <row r="43" spans="2:29">
      <c r="B43" s="6" t="str">
        <f>CONCATENATE("FT-",E43,"0")</f>
        <v>FT-ELCHYD0</v>
      </c>
      <c r="C43" s="201" t="s">
        <v>90</v>
      </c>
      <c r="D43" s="35" t="s">
        <v>58</v>
      </c>
      <c r="E43" s="97" t="s">
        <v>57</v>
      </c>
      <c r="F43" s="23" t="s">
        <v>91</v>
      </c>
      <c r="G43" s="20"/>
      <c r="H43" s="20"/>
      <c r="I43" s="345">
        <f ca="1">1/OtherData2!C24</f>
        <v>1.0101010101010102</v>
      </c>
      <c r="J43" s="229">
        <v>1</v>
      </c>
      <c r="K43" s="45"/>
      <c r="L43" s="45">
        <v>60</v>
      </c>
      <c r="M43" s="8"/>
      <c r="N43" s="8"/>
      <c r="O43" s="8"/>
      <c r="P43" s="8"/>
    </row>
    <row r="44" spans="2:29">
      <c r="B44" s="200"/>
      <c r="C44" s="21"/>
      <c r="D44" s="23"/>
      <c r="E44" s="97" t="s">
        <v>424</v>
      </c>
      <c r="F44" s="23" t="s">
        <v>438</v>
      </c>
      <c r="G44" s="25">
        <f ca="1">OtherData2!$S$6</f>
        <v>0.2</v>
      </c>
      <c r="H44" s="25">
        <f ca="1">OtherData2!$T$6</f>
        <v>0.2</v>
      </c>
      <c r="I44" s="346"/>
      <c r="J44" s="229"/>
      <c r="K44" s="281"/>
      <c r="L44" s="281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2:29">
      <c r="B45" s="6" t="str">
        <f>CONCATENATE("FT-",E45,"0")</f>
        <v>FT-ELCHYM0</v>
      </c>
      <c r="C45" s="201" t="s">
        <v>636</v>
      </c>
      <c r="D45" s="35" t="s">
        <v>58</v>
      </c>
      <c r="E45" s="97" t="s">
        <v>439</v>
      </c>
      <c r="F45" s="23" t="s">
        <v>440</v>
      </c>
      <c r="G45" s="76"/>
      <c r="H45" s="76"/>
      <c r="I45" s="347">
        <f>I43</f>
        <v>1.0101010101010102</v>
      </c>
      <c r="J45" s="230">
        <v>1</v>
      </c>
      <c r="K45" s="287"/>
      <c r="L45" s="287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2:29">
      <c r="B46" s="6" t="str">
        <f>CONCATENATE("FT-",E46,"0")</f>
        <v>FT-ELCGEO0</v>
      </c>
      <c r="C46" s="21" t="s">
        <v>94</v>
      </c>
      <c r="D46" s="35" t="s">
        <v>194</v>
      </c>
      <c r="E46" s="97" t="s">
        <v>170</v>
      </c>
      <c r="F46" s="75" t="s">
        <v>95</v>
      </c>
      <c r="G46" s="20"/>
      <c r="H46" s="20"/>
      <c r="I46" s="345">
        <v>1</v>
      </c>
      <c r="J46" s="229">
        <v>1</v>
      </c>
      <c r="K46" s="45"/>
      <c r="L46" s="45">
        <v>60</v>
      </c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2:29">
      <c r="B47" s="6" t="str">
        <f>CONCATENATE("FT-",E47,"0")</f>
        <v>FT-ELCSOL0</v>
      </c>
      <c r="C47" s="21" t="s">
        <v>96</v>
      </c>
      <c r="D47" s="35" t="s">
        <v>195</v>
      </c>
      <c r="E47" s="97" t="s">
        <v>171</v>
      </c>
      <c r="F47" s="75" t="s">
        <v>97</v>
      </c>
      <c r="G47" s="20"/>
      <c r="H47" s="20"/>
      <c r="I47" s="345">
        <v>1</v>
      </c>
      <c r="J47" s="229">
        <v>1</v>
      </c>
      <c r="K47" s="45"/>
      <c r="L47" s="45">
        <v>60</v>
      </c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2:29">
      <c r="B48" s="6" t="str">
        <f>CONCATENATE("FT-",E48,"0")</f>
        <v>FT-ELCTDL0</v>
      </c>
      <c r="C48" s="21" t="s">
        <v>98</v>
      </c>
      <c r="D48" s="35" t="s">
        <v>196</v>
      </c>
      <c r="E48" s="97" t="s">
        <v>168</v>
      </c>
      <c r="F48" s="75" t="s">
        <v>99</v>
      </c>
      <c r="G48" s="20"/>
      <c r="H48" s="20"/>
      <c r="I48" s="345">
        <v>1</v>
      </c>
      <c r="J48" s="229">
        <v>1</v>
      </c>
      <c r="K48" s="45"/>
      <c r="L48" s="45">
        <v>60</v>
      </c>
      <c r="M48" s="78"/>
      <c r="N48" s="78"/>
      <c r="O48" s="78"/>
      <c r="P48" s="78"/>
      <c r="Q48" s="78"/>
      <c r="R48" s="78"/>
      <c r="S48" s="78"/>
      <c r="T48" s="78"/>
      <c r="U48" s="78"/>
      <c r="V48" s="78"/>
    </row>
    <row r="49" spans="2:29">
      <c r="B49" s="6" t="str">
        <f>CONCATENATE("FT-",E49,"0")</f>
        <v>FT-ELCWIN0</v>
      </c>
      <c r="C49" s="21" t="s">
        <v>100</v>
      </c>
      <c r="D49" s="35" t="s">
        <v>197</v>
      </c>
      <c r="E49" s="97" t="s">
        <v>172</v>
      </c>
      <c r="F49" s="75" t="s">
        <v>101</v>
      </c>
      <c r="G49" s="20"/>
      <c r="H49" s="20"/>
      <c r="I49" s="345">
        <f ca="1">1/OtherData2!C27</f>
        <v>1.0101010101010102</v>
      </c>
      <c r="J49" s="229">
        <v>1</v>
      </c>
      <c r="K49" s="45"/>
      <c r="L49" s="45">
        <v>60</v>
      </c>
      <c r="M49" s="78"/>
      <c r="N49" s="78"/>
      <c r="O49" s="78"/>
      <c r="P49" s="78"/>
      <c r="Q49" s="78"/>
      <c r="R49" s="78"/>
      <c r="S49" s="78"/>
      <c r="T49" s="78"/>
      <c r="U49" s="78"/>
      <c r="V49" s="78"/>
    </row>
    <row r="50" spans="2:29">
      <c r="B50" s="205" t="s">
        <v>426</v>
      </c>
      <c r="C50" s="310" t="s">
        <v>427</v>
      </c>
      <c r="D50" s="311" t="str">
        <f>E$43</f>
        <v>ELCHYD</v>
      </c>
      <c r="E50" s="311" t="str">
        <f>D50</f>
        <v>ELCHYD</v>
      </c>
      <c r="F50" s="311" t="s">
        <v>91</v>
      </c>
      <c r="G50" s="312"/>
      <c r="H50" s="312"/>
      <c r="I50" s="296"/>
      <c r="J50" s="313">
        <v>1</v>
      </c>
      <c r="K50" s="314"/>
      <c r="L50" s="314"/>
      <c r="M50" s="78"/>
      <c r="N50" s="78"/>
      <c r="O50" s="78"/>
      <c r="P50" s="78"/>
      <c r="Q50" s="78"/>
      <c r="R50" s="78"/>
      <c r="S50" s="78"/>
      <c r="T50" s="78"/>
      <c r="U50" s="78"/>
      <c r="V50" s="78"/>
    </row>
    <row r="51" spans="2:29">
      <c r="B51" s="205" t="s">
        <v>428</v>
      </c>
      <c r="C51" s="310" t="s">
        <v>429</v>
      </c>
      <c r="D51" s="311" t="str">
        <f>E$43</f>
        <v>ELCHYD</v>
      </c>
      <c r="E51" s="315" t="str">
        <f>D51</f>
        <v>ELCHYD</v>
      </c>
      <c r="F51" s="311" t="s">
        <v>91</v>
      </c>
      <c r="G51" s="312"/>
      <c r="H51" s="312"/>
      <c r="I51" s="296"/>
      <c r="J51" s="313">
        <v>1</v>
      </c>
      <c r="K51" s="314"/>
      <c r="L51" s="314"/>
      <c r="M51" s="8"/>
      <c r="N51" s="8"/>
      <c r="O51" s="8"/>
      <c r="P51" s="8"/>
    </row>
    <row r="52" spans="2:29">
      <c r="B52" s="309" t="s">
        <v>431</v>
      </c>
      <c r="C52" s="316" t="s">
        <v>430</v>
      </c>
      <c r="D52" s="316" t="str">
        <f>E$43</f>
        <v>ELCHYD</v>
      </c>
      <c r="E52" s="316" t="str">
        <f>D52</f>
        <v>ELCHYD</v>
      </c>
      <c r="F52" s="316" t="s">
        <v>91</v>
      </c>
      <c r="G52" s="316"/>
      <c r="H52" s="316"/>
      <c r="I52" s="317"/>
      <c r="J52" s="317">
        <v>1</v>
      </c>
      <c r="K52" s="316"/>
      <c r="L52" s="316"/>
      <c r="M52" s="78"/>
      <c r="N52" s="78"/>
      <c r="O52" s="78"/>
      <c r="P52" s="78"/>
      <c r="Q52" s="78"/>
      <c r="R52" s="78"/>
      <c r="S52" s="78"/>
      <c r="T52" s="78"/>
      <c r="U52" s="78"/>
      <c r="V52" s="78"/>
    </row>
    <row r="53" spans="2:29">
      <c r="B53" s="205" t="str">
        <f>CONCATENATE("",E53,"000")</f>
        <v>ELCWOF000</v>
      </c>
      <c r="C53" s="343" t="s">
        <v>646</v>
      </c>
      <c r="D53" s="343" t="s">
        <v>172</v>
      </c>
      <c r="E53" s="343" t="s">
        <v>645</v>
      </c>
      <c r="F53" s="343" t="s">
        <v>647</v>
      </c>
      <c r="G53" s="343"/>
      <c r="H53" s="343"/>
      <c r="I53" s="344">
        <v>1</v>
      </c>
      <c r="J53" s="344">
        <v>1</v>
      </c>
      <c r="K53" s="343"/>
      <c r="L53" s="343"/>
      <c r="M53" s="8"/>
      <c r="N53" s="8"/>
      <c r="O53" s="8"/>
      <c r="P53" s="8"/>
    </row>
    <row r="54" spans="2:29">
      <c r="M54" s="8"/>
      <c r="N54" s="8"/>
      <c r="O54" s="8"/>
      <c r="P54" s="8"/>
    </row>
    <row r="55" spans="2:29">
      <c r="M55" s="8"/>
      <c r="N55" s="8"/>
      <c r="O55" s="8"/>
      <c r="P55" s="8"/>
    </row>
    <row r="56" spans="2:29">
      <c r="F56" s="95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2:29">
      <c r="D57" s="9"/>
      <c r="E57" s="9"/>
      <c r="F57" s="164" t="str">
        <f>"~FI_T: "&amp;Region</f>
        <v>~FI_T: FIM</v>
      </c>
      <c r="G57" s="10"/>
      <c r="H57" s="10"/>
      <c r="I57" s="10"/>
      <c r="J57" s="15"/>
      <c r="K57" s="15"/>
      <c r="L57" s="15"/>
      <c r="M57" s="15"/>
      <c r="N57" s="15"/>
      <c r="O57" s="15"/>
      <c r="P57" s="15"/>
      <c r="Q57" s="15"/>
      <c r="R57" s="8"/>
      <c r="S57" s="8"/>
      <c r="T57" s="8"/>
      <c r="U57" s="8"/>
      <c r="V57" s="8"/>
      <c r="W57" s="8"/>
    </row>
    <row r="58" spans="2:29" ht="24.75" thickBot="1">
      <c r="B58" s="288" t="s">
        <v>212</v>
      </c>
      <c r="C58" s="288" t="s">
        <v>213</v>
      </c>
      <c r="D58" s="288" t="s">
        <v>214</v>
      </c>
      <c r="E58" s="288" t="s">
        <v>215</v>
      </c>
      <c r="F58" s="288" t="s">
        <v>219</v>
      </c>
      <c r="G58" s="278" t="s">
        <v>157</v>
      </c>
      <c r="H58" s="278" t="str">
        <f ca="1">"Input~"&amp;AuxYear</f>
        <v>Input~2017</v>
      </c>
      <c r="I58" s="231" t="s">
        <v>224</v>
      </c>
      <c r="J58" s="231" t="s">
        <v>590</v>
      </c>
      <c r="K58" s="278" t="s">
        <v>33</v>
      </c>
      <c r="L58" s="289" t="s">
        <v>61</v>
      </c>
      <c r="M58" s="289" t="s">
        <v>63</v>
      </c>
      <c r="N58" s="278" t="str">
        <f ca="1">"Share~UP~"&amp;AuxYear</f>
        <v>Share~UP~2017</v>
      </c>
      <c r="O58" s="278" t="s">
        <v>491</v>
      </c>
      <c r="P58" s="278" t="s">
        <v>492</v>
      </c>
      <c r="Q58" s="231" t="s">
        <v>566</v>
      </c>
      <c r="R58" s="231" t="s">
        <v>567</v>
      </c>
      <c r="S58" s="232" t="s">
        <v>43</v>
      </c>
    </row>
    <row r="59" spans="2:29">
      <c r="B59" s="6" t="str">
        <f>CONCATENATE("ELCELC","000")</f>
        <v>ELCELC000</v>
      </c>
      <c r="C59" s="235" t="s">
        <v>609</v>
      </c>
      <c r="D59" s="236" t="s">
        <v>198</v>
      </c>
      <c r="E59" s="237"/>
      <c r="F59" s="238"/>
      <c r="G59" s="266"/>
      <c r="H59" s="266">
        <v>1</v>
      </c>
      <c r="I59" s="267"/>
      <c r="J59" s="267"/>
      <c r="K59" s="290">
        <v>1</v>
      </c>
      <c r="L59" s="290"/>
      <c r="M59" s="269"/>
      <c r="N59" s="291"/>
      <c r="O59" s="291"/>
      <c r="P59" s="291"/>
      <c r="Q59" s="291"/>
      <c r="R59" s="291"/>
      <c r="S59" s="269">
        <v>60</v>
      </c>
    </row>
    <row r="60" spans="2:29">
      <c r="B60" s="6"/>
      <c r="C60" s="235"/>
      <c r="D60" s="236"/>
      <c r="E60" s="239" t="s">
        <v>396</v>
      </c>
      <c r="F60" s="240" t="s">
        <v>407</v>
      </c>
      <c r="G60" s="266"/>
      <c r="H60" s="266"/>
      <c r="I60" s="267"/>
      <c r="J60" s="267"/>
      <c r="K60" s="290"/>
      <c r="L60" s="290"/>
      <c r="M60" s="292"/>
      <c r="N60" s="291"/>
      <c r="O60" s="291"/>
      <c r="P60" s="291"/>
      <c r="Q60" s="291"/>
      <c r="R60" s="291"/>
      <c r="S60" s="269"/>
    </row>
    <row r="61" spans="2:29">
      <c r="B61" s="93"/>
      <c r="C61" s="241"/>
      <c r="D61" s="240"/>
      <c r="E61" s="239" t="s">
        <v>417</v>
      </c>
      <c r="F61" s="240" t="s">
        <v>105</v>
      </c>
      <c r="G61" s="272"/>
      <c r="H61" s="272"/>
      <c r="I61" s="293"/>
      <c r="J61" s="293"/>
      <c r="K61" s="294"/>
      <c r="L61" s="294"/>
      <c r="M61" s="269"/>
      <c r="N61" s="291"/>
      <c r="O61" s="291"/>
      <c r="P61" s="291"/>
      <c r="Q61" s="291"/>
      <c r="R61" s="291"/>
      <c r="S61" s="269"/>
      <c r="T61" s="78"/>
    </row>
    <row r="62" spans="2:29">
      <c r="B62" s="6" t="str">
        <f>CONCATENATE("ELCELC","100")</f>
        <v>ELCELC100</v>
      </c>
      <c r="C62" s="235" t="s">
        <v>609</v>
      </c>
      <c r="D62" s="236" t="s">
        <v>396</v>
      </c>
      <c r="E62" s="237"/>
      <c r="F62" s="238"/>
      <c r="G62" s="266"/>
      <c r="H62" s="266">
        <v>1</v>
      </c>
      <c r="I62" s="267"/>
      <c r="J62" s="267"/>
      <c r="K62" s="290">
        <v>1</v>
      </c>
      <c r="L62" s="290"/>
      <c r="M62" s="269"/>
      <c r="N62" s="291"/>
      <c r="O62" s="291"/>
      <c r="P62" s="291"/>
      <c r="Q62" s="291"/>
      <c r="R62" s="291"/>
      <c r="S62" s="269">
        <v>60</v>
      </c>
      <c r="T62" s="8"/>
      <c r="X62" s="8"/>
      <c r="Y62" s="8"/>
      <c r="Z62" s="8"/>
      <c r="AA62" s="8"/>
      <c r="AB62" s="8"/>
    </row>
    <row r="63" spans="2:29">
      <c r="B63" s="6"/>
      <c r="C63" s="235"/>
      <c r="D63" s="236"/>
      <c r="E63" s="239" t="s">
        <v>199</v>
      </c>
      <c r="F63" s="240" t="s">
        <v>201</v>
      </c>
      <c r="G63" s="266"/>
      <c r="H63" s="266"/>
      <c r="I63" s="267"/>
      <c r="J63" s="267"/>
      <c r="K63" s="290"/>
      <c r="L63" s="290"/>
      <c r="M63" s="292"/>
      <c r="N63" s="291"/>
      <c r="O63" s="291"/>
      <c r="P63" s="291"/>
      <c r="Q63" s="291"/>
      <c r="R63" s="291"/>
      <c r="S63" s="269"/>
      <c r="T63" s="8"/>
      <c r="U63" s="234" t="s">
        <v>573</v>
      </c>
      <c r="V63" s="234" t="s">
        <v>573</v>
      </c>
      <c r="W63" s="8"/>
      <c r="X63" s="8"/>
      <c r="Y63" s="8"/>
      <c r="Z63" s="8"/>
      <c r="AA63" s="8"/>
      <c r="AB63" s="8"/>
    </row>
    <row r="64" spans="2:29" ht="17.25" customHeight="1">
      <c r="B64" s="6" t="str">
        <f>CONCATENATE("ELCHET","000")</f>
        <v>ELCHET000</v>
      </c>
      <c r="C64" s="262" t="s">
        <v>569</v>
      </c>
      <c r="D64" s="236" t="s">
        <v>409</v>
      </c>
      <c r="E64" s="237"/>
      <c r="F64" s="238"/>
      <c r="G64" s="267">
        <f ca="1">(U64+0)/SUM(U64,U66)</f>
        <v>1</v>
      </c>
      <c r="H64" s="267">
        <f ca="1">(V64+0)/SUM(V64,V66)</f>
        <v>1</v>
      </c>
      <c r="I64" s="267"/>
      <c r="J64" s="267"/>
      <c r="K64" s="290"/>
      <c r="L64" s="290"/>
      <c r="M64" s="269"/>
      <c r="N64" s="295"/>
      <c r="O64" s="295"/>
      <c r="P64" s="295"/>
      <c r="Q64" s="295">
        <f ca="1">($V64+0.015)/SUM($V64,$V66,0.01)</f>
        <v>1.004950495049505</v>
      </c>
      <c r="R64" s="295">
        <f ca="1">($V64+0.025)/SUM($V64,$V66,0.015)</f>
        <v>1.0098522167487685</v>
      </c>
      <c r="S64" s="269">
        <v>60</v>
      </c>
      <c r="T64" s="8"/>
      <c r="U64" s="233">
        <f t="array" aca="1" ref="U64:U66" ca="1">TRANSPOSE(OtherData2!$P70:$S70)/OtherData2!$T70</f>
        <v>1</v>
      </c>
      <c r="V64" s="233">
        <f t="array" aca="1" ref="V64:V66" ca="1">TRANSPOSE(OtherData2!$P100:$S100)/OtherData2!$T100</f>
        <v>1</v>
      </c>
      <c r="W64" s="8"/>
      <c r="X64" s="8"/>
      <c r="Y64" s="8"/>
      <c r="Z64" s="8"/>
      <c r="AA64" s="8"/>
      <c r="AB64" s="8"/>
    </row>
    <row r="65" spans="2:28">
      <c r="B65" s="6"/>
      <c r="C65" s="262"/>
      <c r="D65" s="236" t="s">
        <v>411</v>
      </c>
      <c r="E65" s="237"/>
      <c r="F65" s="238"/>
      <c r="G65" s="267">
        <f ca="1">MAX(0,1-G64)</f>
        <v>0</v>
      </c>
      <c r="H65" s="267">
        <f ca="1">MAX(0,1-H64)</f>
        <v>0</v>
      </c>
      <c r="I65" s="267"/>
      <c r="J65" s="267"/>
      <c r="K65" s="290"/>
      <c r="L65" s="290"/>
      <c r="M65" s="269"/>
      <c r="N65" s="295"/>
      <c r="O65" s="295"/>
      <c r="P65" s="295"/>
      <c r="Q65" s="295">
        <f ca="1">MAX(0,1-Q64)</f>
        <v>0</v>
      </c>
      <c r="R65" s="295">
        <f ca="1">MAX(0,1-R64)</f>
        <v>0</v>
      </c>
      <c r="S65" s="269"/>
      <c r="T65" s="8"/>
      <c r="U65" s="233">
        <f ca="1"/>
        <v>0</v>
      </c>
      <c r="V65" s="233">
        <f ca="1"/>
        <v>0</v>
      </c>
      <c r="W65" s="8"/>
      <c r="X65" s="8"/>
      <c r="Y65" s="8"/>
      <c r="Z65" s="8"/>
      <c r="AA65" s="8"/>
      <c r="AB65" s="8"/>
    </row>
    <row r="66" spans="2:28">
      <c r="B66" s="6"/>
      <c r="C66" s="262"/>
      <c r="D66" s="236" t="s">
        <v>570</v>
      </c>
      <c r="E66" s="242" t="s">
        <v>53</v>
      </c>
      <c r="F66" s="238" t="s">
        <v>575</v>
      </c>
      <c r="G66" s="357">
        <f ca="1">IF(SUM(U64,U66)&lt;0.99,1,0)</f>
        <v>0</v>
      </c>
      <c r="H66" s="357">
        <f ca="1">IF(SUM(V64,V66)&lt;0.99,1,0)</f>
        <v>0</v>
      </c>
      <c r="I66" s="267"/>
      <c r="J66" s="267"/>
      <c r="K66" s="290">
        <v>1</v>
      </c>
      <c r="L66" s="290"/>
      <c r="M66" s="297"/>
      <c r="N66" s="291"/>
      <c r="O66" s="291"/>
      <c r="P66" s="291"/>
      <c r="Q66" s="291"/>
      <c r="R66" s="291"/>
      <c r="S66" s="269"/>
      <c r="T66" s="8"/>
      <c r="U66" s="233">
        <f ca="1"/>
        <v>0</v>
      </c>
      <c r="V66" s="233">
        <f ca="1"/>
        <v>0</v>
      </c>
      <c r="W66" s="8"/>
      <c r="X66" s="8"/>
      <c r="Y66" s="8"/>
      <c r="Z66" s="8"/>
      <c r="AA66" s="8"/>
      <c r="AB66" s="8"/>
    </row>
    <row r="67" spans="2:28" ht="17.25" customHeight="1">
      <c r="B67" s="6" t="str">
        <f>CONCATENATE("ELCHET","100")</f>
        <v>ELCHET100</v>
      </c>
      <c r="C67" s="262" t="s">
        <v>568</v>
      </c>
      <c r="D67" s="236" t="s">
        <v>410</v>
      </c>
      <c r="E67" s="242"/>
      <c r="F67" s="238"/>
      <c r="G67" s="266"/>
      <c r="H67" s="266"/>
      <c r="I67" s="298">
        <v>1</v>
      </c>
      <c r="J67" s="298"/>
      <c r="K67" s="290"/>
      <c r="L67" s="290">
        <v>2010</v>
      </c>
      <c r="M67" s="297"/>
      <c r="N67" s="295">
        <f ca="1">IF(V65&gt;0,V65/(1-SUM(V64,V66)),0)</f>
        <v>0</v>
      </c>
      <c r="O67" s="299"/>
      <c r="P67" s="299"/>
      <c r="Q67" s="291"/>
      <c r="R67" s="291"/>
      <c r="S67" s="269">
        <v>60</v>
      </c>
      <c r="T67" s="8"/>
      <c r="U67" s="8"/>
      <c r="V67" s="8"/>
      <c r="W67" s="8"/>
      <c r="X67" s="8"/>
      <c r="Y67" s="8"/>
      <c r="Z67" s="8"/>
      <c r="AA67" s="8"/>
      <c r="AB67" s="8"/>
    </row>
    <row r="68" spans="2:28">
      <c r="B68" s="6"/>
      <c r="C68" s="235"/>
      <c r="D68" s="236" t="s">
        <v>412</v>
      </c>
      <c r="E68" s="242"/>
      <c r="F68" s="238"/>
      <c r="G68" s="266"/>
      <c r="H68" s="266"/>
      <c r="I68" s="267"/>
      <c r="J68" s="267"/>
      <c r="K68" s="290"/>
      <c r="L68" s="290"/>
      <c r="M68" s="297"/>
      <c r="N68" s="295">
        <f ca="1">1-N67+0.01</f>
        <v>1.01</v>
      </c>
      <c r="O68" s="295">
        <f ca="1">N68+0.06</f>
        <v>1.07</v>
      </c>
      <c r="P68" s="295">
        <f ca="1">O68+0.08</f>
        <v>1.1500000000000001</v>
      </c>
      <c r="Q68" s="291"/>
      <c r="R68" s="291"/>
      <c r="S68" s="269"/>
      <c r="T68" s="8"/>
      <c r="U68" s="8"/>
      <c r="V68" s="8"/>
      <c r="W68" s="8"/>
      <c r="X68" s="8"/>
      <c r="Y68" s="8"/>
      <c r="Z68" s="8"/>
      <c r="AA68" s="8"/>
      <c r="AB68" s="8"/>
    </row>
    <row r="69" spans="2:28">
      <c r="B69" s="6"/>
      <c r="C69" s="235"/>
      <c r="D69" s="236"/>
      <c r="E69" s="242" t="s">
        <v>53</v>
      </c>
      <c r="F69" s="238" t="s">
        <v>575</v>
      </c>
      <c r="G69" s="266"/>
      <c r="H69" s="266"/>
      <c r="I69" s="267"/>
      <c r="J69" s="267"/>
      <c r="K69" s="290"/>
      <c r="L69" s="290"/>
      <c r="M69" s="297"/>
      <c r="N69" s="291"/>
      <c r="O69" s="291"/>
      <c r="P69" s="291"/>
      <c r="Q69" s="291"/>
      <c r="R69" s="291"/>
      <c r="S69" s="269"/>
      <c r="T69" s="8"/>
      <c r="U69" s="8"/>
      <c r="V69" s="8"/>
      <c r="W69" s="8"/>
      <c r="X69" s="8"/>
      <c r="Y69" s="8"/>
      <c r="Z69" s="8"/>
      <c r="AA69" s="8"/>
      <c r="AB69" s="8"/>
    </row>
    <row r="70" spans="2:28">
      <c r="B70" s="6" t="s">
        <v>577</v>
      </c>
      <c r="C70" s="235" t="s">
        <v>576</v>
      </c>
      <c r="D70" s="236" t="s">
        <v>580</v>
      </c>
      <c r="E70" s="236" t="s">
        <v>409</v>
      </c>
      <c r="F70" s="238" t="s">
        <v>575</v>
      </c>
      <c r="G70" s="266"/>
      <c r="H70" s="266">
        <v>1</v>
      </c>
      <c r="I70" s="267"/>
      <c r="J70" s="267"/>
      <c r="K70" s="290"/>
      <c r="L70" s="290"/>
      <c r="M70" s="297"/>
      <c r="N70" s="291"/>
      <c r="O70" s="291"/>
      <c r="P70" s="291"/>
      <c r="Q70" s="291"/>
      <c r="R70" s="291"/>
      <c r="S70" s="269"/>
      <c r="T70" s="8"/>
      <c r="U70" s="8"/>
      <c r="V70" s="8"/>
      <c r="W70" s="8"/>
      <c r="X70" s="8"/>
      <c r="Y70" s="8"/>
      <c r="Z70" s="8"/>
      <c r="AA70" s="8"/>
      <c r="AB70" s="8"/>
    </row>
    <row r="71" spans="2:28">
      <c r="B71" s="6" t="s">
        <v>578</v>
      </c>
      <c r="C71" s="235" t="s">
        <v>579</v>
      </c>
      <c r="D71" s="236" t="s">
        <v>581</v>
      </c>
      <c r="E71" s="236" t="s">
        <v>411</v>
      </c>
      <c r="F71" s="238" t="s">
        <v>575</v>
      </c>
      <c r="G71" s="266"/>
      <c r="H71" s="266">
        <v>1</v>
      </c>
      <c r="I71" s="267"/>
      <c r="J71" s="267"/>
      <c r="K71" s="290"/>
      <c r="L71" s="290">
        <v>2010</v>
      </c>
      <c r="M71" s="297"/>
      <c r="N71" s="291"/>
      <c r="O71" s="291"/>
      <c r="P71" s="291"/>
      <c r="Q71" s="291"/>
      <c r="R71" s="291"/>
      <c r="S71" s="269"/>
      <c r="T71" s="8"/>
      <c r="U71" s="8"/>
      <c r="V71" s="8"/>
      <c r="W71" s="8"/>
      <c r="X71" s="8"/>
      <c r="Y71" s="8"/>
      <c r="Z71" s="8"/>
      <c r="AA71" s="8"/>
      <c r="AB71" s="8"/>
    </row>
    <row r="72" spans="2:28">
      <c r="B72" s="6" t="s">
        <v>583</v>
      </c>
      <c r="C72" s="235" t="s">
        <v>582</v>
      </c>
      <c r="D72" s="236" t="s">
        <v>580</v>
      </c>
      <c r="E72" s="236" t="s">
        <v>584</v>
      </c>
      <c r="F72" s="238" t="s">
        <v>586</v>
      </c>
      <c r="G72" s="266"/>
      <c r="H72" s="266"/>
      <c r="I72" s="298">
        <v>1</v>
      </c>
      <c r="J72" s="267"/>
      <c r="K72" s="290"/>
      <c r="L72" s="290"/>
      <c r="M72" s="297"/>
      <c r="N72" s="291"/>
      <c r="O72" s="291"/>
      <c r="P72" s="291"/>
      <c r="Q72" s="291"/>
      <c r="R72" s="291"/>
      <c r="S72" s="269"/>
      <c r="T72" s="8"/>
      <c r="U72" s="8"/>
      <c r="V72" s="8"/>
      <c r="W72" s="8"/>
      <c r="X72" s="8"/>
      <c r="Y72" s="8"/>
      <c r="Z72" s="8"/>
      <c r="AA72" s="8"/>
      <c r="AB72" s="8"/>
    </row>
    <row r="73" spans="2:28">
      <c r="B73" s="6"/>
      <c r="C73" s="235"/>
      <c r="D73" s="236" t="s">
        <v>409</v>
      </c>
      <c r="E73" s="236"/>
      <c r="F73" s="238"/>
      <c r="G73" s="266"/>
      <c r="H73" s="266"/>
      <c r="I73" s="298"/>
      <c r="J73" s="300">
        <v>0.84</v>
      </c>
      <c r="K73" s="290"/>
      <c r="L73" s="290"/>
      <c r="M73" s="297"/>
      <c r="N73" s="291"/>
      <c r="O73" s="291"/>
      <c r="P73" s="291"/>
      <c r="Q73" s="291"/>
      <c r="R73" s="291"/>
      <c r="S73" s="269"/>
      <c r="T73" s="8"/>
      <c r="U73" s="8"/>
      <c r="V73" s="8"/>
      <c r="W73" s="8"/>
      <c r="X73" s="8"/>
      <c r="Y73" s="8"/>
      <c r="Z73" s="8"/>
      <c r="AA73" s="8"/>
      <c r="AB73" s="8"/>
    </row>
    <row r="74" spans="2:28">
      <c r="B74" s="6" t="s">
        <v>585</v>
      </c>
      <c r="C74" s="235" t="s">
        <v>582</v>
      </c>
      <c r="D74" s="236" t="s">
        <v>581</v>
      </c>
      <c r="E74" s="236" t="s">
        <v>584</v>
      </c>
      <c r="F74" s="238" t="s">
        <v>586</v>
      </c>
      <c r="G74" s="266"/>
      <c r="H74" s="266"/>
      <c r="I74" s="298">
        <v>1</v>
      </c>
      <c r="J74" s="300"/>
      <c r="K74" s="290"/>
      <c r="L74" s="290">
        <v>2010</v>
      </c>
      <c r="M74" s="297"/>
      <c r="N74" s="291"/>
      <c r="O74" s="291"/>
      <c r="P74" s="291"/>
      <c r="Q74" s="291"/>
      <c r="R74" s="291"/>
      <c r="S74" s="269"/>
      <c r="T74" s="8"/>
      <c r="U74" s="8"/>
      <c r="V74" s="8"/>
      <c r="W74" s="8"/>
      <c r="X74" s="8"/>
      <c r="Y74" s="8"/>
      <c r="Z74" s="8"/>
      <c r="AA74" s="8"/>
      <c r="AB74" s="8"/>
    </row>
    <row r="75" spans="2:28">
      <c r="B75" s="6"/>
      <c r="C75" s="235"/>
      <c r="D75" s="236" t="s">
        <v>411</v>
      </c>
      <c r="E75" s="236"/>
      <c r="F75" s="238"/>
      <c r="G75" s="266"/>
      <c r="H75" s="266"/>
      <c r="I75" s="267"/>
      <c r="J75" s="300">
        <v>0.84</v>
      </c>
      <c r="K75" s="290"/>
      <c r="L75" s="290"/>
      <c r="M75" s="297"/>
      <c r="N75" s="291"/>
      <c r="O75" s="291"/>
      <c r="P75" s="291"/>
      <c r="Q75" s="291"/>
      <c r="R75" s="291"/>
      <c r="S75" s="269"/>
      <c r="T75" s="8"/>
      <c r="U75" s="8"/>
      <c r="V75" s="8"/>
      <c r="W75" s="8"/>
      <c r="X75" s="8"/>
      <c r="Y75" s="8"/>
      <c r="Z75" s="8"/>
      <c r="AA75" s="8"/>
      <c r="AB75" s="8"/>
    </row>
    <row r="76" spans="2:28"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2:28">
      <c r="D77" s="8"/>
      <c r="E77" s="8"/>
      <c r="F77" s="94"/>
      <c r="G77" s="8"/>
      <c r="H77" s="8"/>
      <c r="I77" s="79"/>
      <c r="J77" s="80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2:28">
      <c r="D78" s="22"/>
      <c r="E78" s="15"/>
      <c r="F78" s="94"/>
      <c r="G78" s="22"/>
      <c r="H78" s="22"/>
      <c r="I78" s="81"/>
      <c r="J78" s="22"/>
      <c r="K78" s="22"/>
      <c r="L78" s="22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2:28" ht="18">
      <c r="B79" s="32" t="s">
        <v>207</v>
      </c>
      <c r="C79" s="33"/>
      <c r="D79" s="61"/>
      <c r="E79" s="61"/>
      <c r="G79" s="164" t="str">
        <f>"~FI_T: "&amp;Region&amp;"~EUR10"</f>
        <v>~FI_T: FIM~EUR10</v>
      </c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2:28" ht="13.5" thickBot="1">
      <c r="B80" s="100" t="s">
        <v>212</v>
      </c>
      <c r="C80" s="100" t="s">
        <v>213</v>
      </c>
      <c r="D80" s="100" t="s">
        <v>214</v>
      </c>
      <c r="E80" s="100" t="s">
        <v>215</v>
      </c>
      <c r="F80" s="103" t="s">
        <v>219</v>
      </c>
      <c r="G80" s="103" t="s">
        <v>312</v>
      </c>
      <c r="H80" s="101" t="s">
        <v>157</v>
      </c>
      <c r="I80" s="101" t="s">
        <v>699</v>
      </c>
      <c r="J80" s="101" t="s">
        <v>462</v>
      </c>
      <c r="K80" s="103" t="s">
        <v>33</v>
      </c>
      <c r="L80" s="103" t="s">
        <v>61</v>
      </c>
      <c r="M80" s="223" t="s">
        <v>63</v>
      </c>
      <c r="N80" s="223" t="s">
        <v>43</v>
      </c>
      <c r="O80" s="223" t="s">
        <v>463</v>
      </c>
      <c r="P80" s="223" t="s">
        <v>343</v>
      </c>
    </row>
    <row r="81" spans="2:16">
      <c r="B81" s="92" t="s">
        <v>610</v>
      </c>
      <c r="C81" s="50" t="s">
        <v>466</v>
      </c>
      <c r="D81" s="23" t="s">
        <v>25</v>
      </c>
      <c r="E81" s="19"/>
      <c r="F81" s="19"/>
      <c r="G81" s="345" t="s">
        <v>382</v>
      </c>
      <c r="H81" s="83"/>
      <c r="I81" s="83">
        <v>1</v>
      </c>
      <c r="J81" s="83"/>
      <c r="K81" s="229">
        <v>1</v>
      </c>
      <c r="L81" s="281">
        <f>L$91</f>
        <v>2010</v>
      </c>
      <c r="M81" s="45"/>
      <c r="N81" s="45">
        <v>10</v>
      </c>
      <c r="O81" s="45"/>
      <c r="P81" s="45"/>
    </row>
    <row r="82" spans="2:16">
      <c r="B82" s="92"/>
      <c r="C82" s="50"/>
      <c r="D82" s="23" t="s">
        <v>464</v>
      </c>
      <c r="E82" s="19"/>
      <c r="F82" s="19"/>
      <c r="G82" s="345"/>
      <c r="H82" s="83"/>
      <c r="I82" s="83"/>
      <c r="J82" s="83"/>
      <c r="K82" s="229"/>
      <c r="L82" s="284"/>
      <c r="M82" s="45"/>
      <c r="N82" s="45"/>
      <c r="O82" s="45"/>
      <c r="P82" s="45"/>
    </row>
    <row r="83" spans="2:16">
      <c r="B83" s="92"/>
      <c r="C83" s="50"/>
      <c r="D83" s="23" t="str">
        <f ca="1">IEAData2!$A$35</f>
        <v>OILHFO</v>
      </c>
      <c r="E83" s="19"/>
      <c r="F83" s="19"/>
      <c r="G83" s="345"/>
      <c r="H83" s="83"/>
      <c r="I83" s="83"/>
      <c r="J83" s="83">
        <v>0.9</v>
      </c>
      <c r="K83" s="229"/>
      <c r="L83" s="284"/>
      <c r="M83" s="45"/>
      <c r="N83" s="45"/>
      <c r="O83" s="45"/>
      <c r="P83" s="45"/>
    </row>
    <row r="84" spans="2:16">
      <c r="B84" s="30"/>
      <c r="C84" s="30"/>
      <c r="D84" s="23"/>
      <c r="E84" s="96" t="s">
        <v>62</v>
      </c>
      <c r="F84" s="30" t="s">
        <v>454</v>
      </c>
      <c r="G84" s="609"/>
      <c r="H84" s="85"/>
      <c r="I84" s="85"/>
      <c r="J84" s="85"/>
      <c r="K84" s="279"/>
      <c r="L84" s="285"/>
      <c r="M84" s="279"/>
      <c r="N84" s="279"/>
      <c r="O84" s="279"/>
      <c r="P84" s="279"/>
    </row>
    <row r="85" spans="2:16">
      <c r="B85" s="92" t="s">
        <v>611</v>
      </c>
      <c r="C85" s="50" t="s">
        <v>467</v>
      </c>
      <c r="D85" s="23" t="s">
        <v>481</v>
      </c>
      <c r="E85" s="36"/>
      <c r="F85" s="82"/>
      <c r="G85" s="345" t="s">
        <v>382</v>
      </c>
      <c r="H85" s="83"/>
      <c r="I85" s="83">
        <v>1</v>
      </c>
      <c r="J85" s="83"/>
      <c r="K85" s="229"/>
      <c r="L85" s="281">
        <f>L$91</f>
        <v>2010</v>
      </c>
      <c r="M85" s="280"/>
      <c r="N85" s="45">
        <v>10</v>
      </c>
      <c r="O85" s="45"/>
      <c r="P85" s="45"/>
    </row>
    <row r="86" spans="2:16">
      <c r="B86" s="92"/>
      <c r="C86" s="50"/>
      <c r="D86" s="23" t="s">
        <v>464</v>
      </c>
      <c r="E86" s="36"/>
      <c r="F86" s="82"/>
      <c r="G86" s="345"/>
      <c r="H86" s="83"/>
      <c r="I86" s="83"/>
      <c r="J86" s="83"/>
      <c r="K86" s="229"/>
      <c r="L86" s="284"/>
      <c r="M86" s="281"/>
      <c r="N86" s="281"/>
      <c r="O86" s="281"/>
      <c r="P86" s="281"/>
    </row>
    <row r="87" spans="2:16">
      <c r="B87" s="30"/>
      <c r="C87" s="30"/>
      <c r="D87" s="23"/>
      <c r="E87" s="96" t="s">
        <v>458</v>
      </c>
      <c r="F87" s="30" t="s">
        <v>470</v>
      </c>
      <c r="G87" s="609"/>
      <c r="H87" s="85"/>
      <c r="I87" s="85"/>
      <c r="J87" s="85"/>
      <c r="K87" s="279"/>
      <c r="L87" s="285"/>
      <c r="M87" s="279"/>
      <c r="N87" s="279"/>
      <c r="O87" s="279"/>
      <c r="P87" s="279"/>
    </row>
    <row r="88" spans="2:16">
      <c r="B88" s="91" t="s">
        <v>612</v>
      </c>
      <c r="C88" s="26" t="s">
        <v>465</v>
      </c>
      <c r="D88" s="23" t="s">
        <v>464</v>
      </c>
      <c r="E88" s="26"/>
      <c r="F88" s="26"/>
      <c r="G88" s="345" t="s">
        <v>382</v>
      </c>
      <c r="H88" s="28"/>
      <c r="I88" s="28">
        <v>1</v>
      </c>
      <c r="J88" s="28"/>
      <c r="K88" s="286">
        <v>1</v>
      </c>
      <c r="L88" s="281">
        <f>L$91</f>
        <v>2010</v>
      </c>
      <c r="M88" s="280"/>
      <c r="N88" s="45">
        <v>10</v>
      </c>
      <c r="O88" s="45"/>
      <c r="P88" s="45"/>
    </row>
    <row r="89" spans="2:16">
      <c r="B89" s="92"/>
      <c r="C89" s="50"/>
      <c r="D89" s="23" t="s">
        <v>25</v>
      </c>
      <c r="E89" s="19"/>
      <c r="F89" s="19"/>
      <c r="G89" s="345"/>
      <c r="H89" s="83"/>
      <c r="I89" s="83"/>
      <c r="J89" s="83"/>
      <c r="K89" s="229"/>
      <c r="L89" s="284"/>
      <c r="M89" s="45"/>
      <c r="N89" s="45"/>
      <c r="O89" s="45"/>
      <c r="P89" s="45"/>
    </row>
    <row r="90" spans="2:16">
      <c r="B90" s="30"/>
      <c r="C90" s="30"/>
      <c r="D90" s="23"/>
      <c r="E90" s="96" t="s">
        <v>468</v>
      </c>
      <c r="F90" s="30" t="s">
        <v>469</v>
      </c>
      <c r="G90" s="609"/>
      <c r="H90" s="85"/>
      <c r="I90" s="85"/>
      <c r="J90" s="85"/>
      <c r="K90" s="279"/>
      <c r="L90" s="285"/>
      <c r="M90" s="279"/>
      <c r="N90" s="279"/>
      <c r="O90" s="279"/>
      <c r="P90" s="279"/>
    </row>
    <row r="91" spans="2:16">
      <c r="B91" s="91" t="s">
        <v>613</v>
      </c>
      <c r="C91" s="26" t="s">
        <v>86</v>
      </c>
      <c r="D91" s="23" t="str">
        <f ca="1">IEAData2!$A$23</f>
        <v>GASNGA</v>
      </c>
      <c r="E91" s="26"/>
      <c r="F91" s="26"/>
      <c r="G91" s="345" t="s">
        <v>382</v>
      </c>
      <c r="H91" s="28"/>
      <c r="I91" s="28">
        <v>1</v>
      </c>
      <c r="J91" s="28"/>
      <c r="K91" s="286">
        <v>1</v>
      </c>
      <c r="L91" s="281">
        <f ca="1">BaseYear</f>
        <v>2010</v>
      </c>
      <c r="M91" s="280"/>
      <c r="N91" s="45">
        <v>60</v>
      </c>
      <c r="O91" s="363">
        <v>13.5</v>
      </c>
      <c r="P91" s="45"/>
    </row>
    <row r="92" spans="2:16">
      <c r="B92" s="91"/>
      <c r="C92" s="26"/>
      <c r="D92" s="90" t="s">
        <v>532</v>
      </c>
      <c r="E92" s="26"/>
      <c r="F92" s="26"/>
      <c r="G92" s="610"/>
      <c r="H92" s="28"/>
      <c r="I92" s="28"/>
      <c r="J92" s="28"/>
      <c r="K92" s="286"/>
      <c r="L92" s="281"/>
      <c r="M92" s="280"/>
      <c r="N92" s="45"/>
      <c r="O92" s="45"/>
      <c r="P92" s="45"/>
    </row>
    <row r="93" spans="2:16">
      <c r="B93" s="91"/>
      <c r="C93" s="26"/>
      <c r="D93" s="90" t="s">
        <v>687</v>
      </c>
      <c r="E93" s="26"/>
      <c r="F93" s="26"/>
      <c r="G93" s="28"/>
      <c r="H93" s="28"/>
      <c r="I93" s="28"/>
      <c r="J93" s="28">
        <v>0.15</v>
      </c>
      <c r="K93" s="286"/>
      <c r="L93" s="281"/>
      <c r="M93" s="280"/>
      <c r="N93" s="45"/>
      <c r="O93" s="45"/>
      <c r="P93" s="45"/>
    </row>
    <row r="94" spans="2:16">
      <c r="B94" s="84"/>
      <c r="C94" s="30"/>
      <c r="D94" s="30"/>
      <c r="E94" s="30" t="str">
        <f>E10</f>
        <v>ELCNGA</v>
      </c>
      <c r="F94" s="30" t="s">
        <v>697</v>
      </c>
      <c r="G94" s="85"/>
      <c r="H94" s="85"/>
      <c r="I94" s="85"/>
      <c r="J94" s="85"/>
      <c r="K94" s="279"/>
      <c r="L94" s="285"/>
      <c r="M94" s="279"/>
      <c r="N94" s="279"/>
      <c r="O94" s="279"/>
      <c r="P94" s="279"/>
    </row>
    <row r="95" spans="2:16">
      <c r="B95" s="91" t="s">
        <v>614</v>
      </c>
      <c r="C95" s="26" t="s">
        <v>114</v>
      </c>
      <c r="D95" s="23" t="str">
        <f ca="1">IEAData2!$A$35</f>
        <v>OILHFO</v>
      </c>
      <c r="E95" s="26"/>
      <c r="F95" s="26"/>
      <c r="G95" s="28"/>
      <c r="H95" s="28">
        <v>1</v>
      </c>
      <c r="I95" s="28"/>
      <c r="J95" s="28"/>
      <c r="K95" s="286"/>
      <c r="L95" s="281">
        <f>L$91</f>
        <v>2010</v>
      </c>
      <c r="M95" s="280"/>
      <c r="N95" s="45">
        <v>10</v>
      </c>
      <c r="O95" s="45"/>
      <c r="P95" s="45"/>
    </row>
    <row r="96" spans="2:16">
      <c r="B96" s="84"/>
      <c r="C96" s="30"/>
      <c r="D96" s="30"/>
      <c r="E96" s="30" t="str">
        <f>E21</f>
        <v>ELCOIL</v>
      </c>
      <c r="F96" s="30"/>
      <c r="G96" s="85"/>
      <c r="H96" s="85"/>
      <c r="I96" s="85"/>
      <c r="J96" s="85"/>
      <c r="K96" s="279"/>
      <c r="L96" s="285"/>
      <c r="M96" s="279"/>
      <c r="N96" s="279"/>
      <c r="O96" s="279"/>
      <c r="P96" s="279"/>
    </row>
    <row r="97" spans="2:16">
      <c r="B97" s="91" t="s">
        <v>619</v>
      </c>
      <c r="C97" s="26" t="s">
        <v>472</v>
      </c>
      <c r="D97" s="90" t="s">
        <v>455</v>
      </c>
      <c r="E97" s="26"/>
      <c r="F97" s="26"/>
      <c r="G97" s="28"/>
      <c r="H97" s="28">
        <v>1</v>
      </c>
      <c r="I97" s="28"/>
      <c r="J97" s="28"/>
      <c r="K97" s="286"/>
      <c r="L97" s="281">
        <f>L$91</f>
        <v>2010</v>
      </c>
      <c r="M97" s="280"/>
      <c r="N97" s="45">
        <v>10</v>
      </c>
      <c r="O97" s="45"/>
      <c r="P97" s="45"/>
    </row>
    <row r="98" spans="2:16">
      <c r="B98" s="30"/>
      <c r="C98" s="30"/>
      <c r="D98" s="30"/>
      <c r="E98" s="96" t="s">
        <v>456</v>
      </c>
      <c r="F98" s="30" t="s">
        <v>457</v>
      </c>
      <c r="G98" s="85"/>
      <c r="H98" s="85"/>
      <c r="I98" s="85"/>
      <c r="J98" s="85"/>
      <c r="K98" s="279"/>
      <c r="L98" s="285"/>
      <c r="M98" s="279"/>
      <c r="N98" s="279"/>
      <c r="O98" s="279"/>
      <c r="P98" s="279"/>
    </row>
    <row r="99" spans="2:16">
      <c r="B99" s="91" t="s">
        <v>620</v>
      </c>
      <c r="C99" s="303" t="s">
        <v>115</v>
      </c>
      <c r="D99" s="23" t="str">
        <f ca="1">IEAData2!$A$44</f>
        <v>COAHCO</v>
      </c>
      <c r="E99" s="26"/>
      <c r="F99" s="26"/>
      <c r="G99" s="28"/>
      <c r="H99" s="28">
        <v>1</v>
      </c>
      <c r="I99" s="28"/>
      <c r="J99" s="28"/>
      <c r="K99" s="286"/>
      <c r="L99" s="281">
        <f>L$91</f>
        <v>2010</v>
      </c>
      <c r="M99" s="282">
        <f>1.5/3.6</f>
        <v>0.41666666666666663</v>
      </c>
      <c r="N99" s="45">
        <v>10</v>
      </c>
      <c r="O99" s="45"/>
      <c r="P99" s="45"/>
    </row>
    <row r="100" spans="2:16">
      <c r="B100" s="30"/>
      <c r="C100" s="30"/>
      <c r="D100" s="30"/>
      <c r="E100" s="30" t="str">
        <f>E27</f>
        <v>ELCCOA</v>
      </c>
      <c r="F100" s="75" t="s">
        <v>89</v>
      </c>
      <c r="G100" s="85"/>
      <c r="H100" s="85"/>
      <c r="I100" s="85"/>
      <c r="J100" s="85"/>
      <c r="K100" s="279"/>
      <c r="L100" s="285"/>
      <c r="M100" s="279"/>
      <c r="N100" s="279"/>
      <c r="O100" s="279"/>
      <c r="P100" s="279"/>
    </row>
    <row r="101" spans="2:16">
      <c r="B101" s="91" t="s">
        <v>621</v>
      </c>
      <c r="C101" s="303" t="s">
        <v>116</v>
      </c>
      <c r="D101" s="23" t="str">
        <f ca="1">IEAData2!$A$43</f>
        <v>COABCO</v>
      </c>
      <c r="E101" s="26"/>
      <c r="F101" s="26"/>
      <c r="G101" s="28"/>
      <c r="H101" s="28">
        <v>1</v>
      </c>
      <c r="I101" s="28"/>
      <c r="J101" s="28"/>
      <c r="K101" s="286"/>
      <c r="L101" s="281">
        <f ca="1">BaseYear</f>
        <v>2010</v>
      </c>
      <c r="M101" s="280"/>
      <c r="N101" s="45">
        <v>10</v>
      </c>
      <c r="O101" s="45"/>
      <c r="P101" s="45"/>
    </row>
    <row r="102" spans="2:16">
      <c r="B102" s="30"/>
      <c r="C102" s="30"/>
      <c r="D102" s="30"/>
      <c r="E102" s="30" t="s">
        <v>354</v>
      </c>
      <c r="F102" s="30" t="s">
        <v>698</v>
      </c>
      <c r="G102" s="85"/>
      <c r="H102" s="85"/>
      <c r="I102" s="85"/>
      <c r="J102" s="85"/>
      <c r="K102" s="279"/>
      <c r="L102" s="285"/>
      <c r="M102" s="279"/>
      <c r="N102" s="279"/>
      <c r="O102" s="279"/>
      <c r="P102" s="279"/>
    </row>
    <row r="103" spans="2:16">
      <c r="B103" s="91" t="s">
        <v>618</v>
      </c>
      <c r="C103" s="26" t="s">
        <v>131</v>
      </c>
      <c r="D103" s="90" t="s">
        <v>129</v>
      </c>
      <c r="E103" s="26"/>
      <c r="F103" s="26"/>
      <c r="G103" s="28"/>
      <c r="H103" s="28">
        <v>1</v>
      </c>
      <c r="I103" s="28"/>
      <c r="J103" s="28"/>
      <c r="K103" s="286"/>
      <c r="L103" s="281">
        <f>L$91</f>
        <v>2010</v>
      </c>
      <c r="M103" s="280"/>
      <c r="N103" s="45">
        <v>10</v>
      </c>
      <c r="O103" s="45"/>
      <c r="P103" s="45"/>
    </row>
    <row r="104" spans="2:16">
      <c r="B104" s="30"/>
      <c r="C104" s="30"/>
      <c r="D104" s="30"/>
      <c r="E104" s="96" t="s">
        <v>132</v>
      </c>
      <c r="F104" s="30" t="s">
        <v>133</v>
      </c>
      <c r="G104" s="85"/>
      <c r="H104" s="85"/>
      <c r="I104" s="85"/>
      <c r="J104" s="85"/>
      <c r="K104" s="279"/>
      <c r="L104" s="285"/>
      <c r="M104" s="279"/>
      <c r="N104" s="279"/>
      <c r="O104" s="279"/>
      <c r="P104" s="279"/>
    </row>
    <row r="105" spans="2:16">
      <c r="B105" s="91" t="s">
        <v>617</v>
      </c>
      <c r="C105" s="303" t="s">
        <v>102</v>
      </c>
      <c r="D105" s="23" t="s">
        <v>8</v>
      </c>
      <c r="E105" s="26"/>
      <c r="F105" s="26"/>
      <c r="G105" s="28"/>
      <c r="H105" s="28">
        <v>1</v>
      </c>
      <c r="I105" s="28"/>
      <c r="J105" s="28"/>
      <c r="K105" s="286"/>
      <c r="L105" s="281">
        <v>2015</v>
      </c>
      <c r="M105" s="282">
        <f>1.18</f>
        <v>1.18</v>
      </c>
      <c r="N105" s="45"/>
      <c r="O105" s="45"/>
      <c r="P105" s="45"/>
    </row>
    <row r="106" spans="2:16">
      <c r="B106" s="30"/>
      <c r="C106" s="30"/>
      <c r="D106" s="30"/>
      <c r="E106" s="30" t="s">
        <v>516</v>
      </c>
      <c r="F106" s="30"/>
      <c r="G106" s="85"/>
      <c r="H106" s="85"/>
      <c r="I106" s="85"/>
      <c r="J106" s="85"/>
      <c r="K106" s="279"/>
      <c r="L106" s="285"/>
      <c r="M106" s="279"/>
      <c r="N106" s="279"/>
      <c r="O106" s="279"/>
      <c r="P106" s="279"/>
    </row>
    <row r="107" spans="2:16">
      <c r="B107" s="91" t="s">
        <v>615</v>
      </c>
      <c r="C107" s="26" t="s">
        <v>541</v>
      </c>
      <c r="D107" s="29" t="s">
        <v>538</v>
      </c>
      <c r="E107" s="26"/>
      <c r="F107" s="26"/>
      <c r="G107" s="28"/>
      <c r="H107" s="28">
        <v>1</v>
      </c>
      <c r="I107" s="28"/>
      <c r="J107" s="28"/>
      <c r="K107" s="286"/>
      <c r="L107" s="281">
        <f>L$91+1</f>
        <v>2011</v>
      </c>
      <c r="M107" s="280"/>
      <c r="N107" s="45">
        <v>10</v>
      </c>
      <c r="O107" s="45"/>
      <c r="P107" s="199">
        <v>0.24</v>
      </c>
    </row>
    <row r="108" spans="2:16">
      <c r="B108" s="30"/>
      <c r="C108" s="30"/>
      <c r="D108" s="84"/>
      <c r="E108" s="30" t="str">
        <f>E31</f>
        <v>ELCBIO</v>
      </c>
      <c r="F108" s="30" t="s">
        <v>136</v>
      </c>
      <c r="G108" s="85"/>
      <c r="H108" s="85"/>
      <c r="I108" s="85"/>
      <c r="J108" s="85"/>
      <c r="K108" s="279"/>
      <c r="L108" s="285"/>
      <c r="M108" s="279"/>
      <c r="N108" s="279"/>
      <c r="O108" s="279"/>
      <c r="P108" s="279"/>
    </row>
    <row r="109" spans="2:16">
      <c r="B109" s="91" t="s">
        <v>616</v>
      </c>
      <c r="C109" s="26" t="s">
        <v>542</v>
      </c>
      <c r="D109" s="29" t="s">
        <v>543</v>
      </c>
      <c r="E109" s="26"/>
      <c r="F109" s="26"/>
      <c r="G109" s="28"/>
      <c r="H109" s="28">
        <v>1</v>
      </c>
      <c r="I109" s="28"/>
      <c r="J109" s="28"/>
      <c r="K109" s="286"/>
      <c r="L109" s="281">
        <f>L$91+1</f>
        <v>2011</v>
      </c>
      <c r="M109" s="280"/>
      <c r="N109" s="45">
        <v>10</v>
      </c>
      <c r="O109" s="45"/>
      <c r="P109" s="199">
        <v>0.24</v>
      </c>
    </row>
    <row r="110" spans="2:16">
      <c r="B110" s="30"/>
      <c r="C110" s="30"/>
      <c r="D110" s="30"/>
      <c r="E110" s="30" t="str">
        <f>E$108</f>
        <v>ELCBIO</v>
      </c>
      <c r="F110" s="30" t="s">
        <v>136</v>
      </c>
      <c r="G110" s="85"/>
      <c r="H110" s="85"/>
      <c r="I110" s="85"/>
      <c r="J110" s="85"/>
      <c r="K110" s="279"/>
      <c r="L110" s="285"/>
      <c r="M110" s="279"/>
      <c r="N110" s="279"/>
      <c r="O110" s="279"/>
      <c r="P110" s="279"/>
    </row>
    <row r="111" spans="2:16">
      <c r="B111" s="91" t="s">
        <v>622</v>
      </c>
      <c r="C111" s="303" t="s">
        <v>530</v>
      </c>
      <c r="D111" s="29" t="s">
        <v>531</v>
      </c>
      <c r="E111" s="26"/>
      <c r="F111" s="26"/>
      <c r="G111" s="28"/>
      <c r="H111" s="28">
        <v>1</v>
      </c>
      <c r="I111" s="28"/>
      <c r="J111" s="28"/>
      <c r="K111" s="286"/>
      <c r="L111" s="281">
        <v>2015</v>
      </c>
      <c r="M111" s="282"/>
      <c r="N111" s="45"/>
      <c r="O111" s="45"/>
      <c r="P111" s="282">
        <v>0.35</v>
      </c>
    </row>
    <row r="112" spans="2:16">
      <c r="B112" s="30"/>
      <c r="C112" s="30"/>
      <c r="D112" s="30"/>
      <c r="E112" s="30" t="s">
        <v>523</v>
      </c>
      <c r="F112" s="30" t="s">
        <v>136</v>
      </c>
      <c r="G112" s="85"/>
      <c r="H112" s="85"/>
      <c r="I112" s="85"/>
      <c r="J112" s="85"/>
      <c r="K112" s="279"/>
      <c r="L112" s="285"/>
      <c r="M112" s="279"/>
      <c r="N112" s="279"/>
      <c r="O112" s="279"/>
      <c r="P112" s="279"/>
    </row>
    <row r="113" spans="2:18">
      <c r="B113" s="91" t="s">
        <v>520</v>
      </c>
      <c r="C113" s="303" t="s">
        <v>535</v>
      </c>
      <c r="D113" s="29" t="str">
        <f>$E$108</f>
        <v>ELCBIO</v>
      </c>
      <c r="E113" s="26"/>
      <c r="F113" s="26"/>
      <c r="G113" s="28"/>
      <c r="H113" s="28">
        <v>1</v>
      </c>
      <c r="I113" s="28"/>
      <c r="J113" s="28"/>
      <c r="K113" s="286"/>
      <c r="L113" s="281">
        <v>2010</v>
      </c>
      <c r="M113" s="282"/>
      <c r="N113" s="45"/>
      <c r="O113" s="45"/>
      <c r="P113" s="283">
        <f>R113-P$107</f>
        <v>0.45999999999999996</v>
      </c>
      <c r="R113" s="224">
        <v>0.7</v>
      </c>
    </row>
    <row r="114" spans="2:18">
      <c r="B114" s="30"/>
      <c r="C114" s="30"/>
      <c r="D114" s="30"/>
      <c r="E114" s="30" t="s">
        <v>523</v>
      </c>
      <c r="F114" s="30" t="s">
        <v>136</v>
      </c>
      <c r="G114" s="85"/>
      <c r="H114" s="85"/>
      <c r="I114" s="85"/>
      <c r="J114" s="85"/>
      <c r="K114" s="279"/>
      <c r="L114" s="285"/>
      <c r="M114" s="279"/>
      <c r="N114" s="279"/>
      <c r="O114" s="279"/>
      <c r="P114" s="279"/>
      <c r="R114" s="30"/>
    </row>
    <row r="115" spans="2:18">
      <c r="B115" s="91" t="s">
        <v>521</v>
      </c>
      <c r="C115" s="303" t="s">
        <v>536</v>
      </c>
      <c r="D115" s="29" t="str">
        <f>$E$108</f>
        <v>ELCBIO</v>
      </c>
      <c r="E115" s="26"/>
      <c r="F115" s="26"/>
      <c r="G115" s="28"/>
      <c r="H115" s="28">
        <v>1</v>
      </c>
      <c r="I115" s="28"/>
      <c r="J115" s="28"/>
      <c r="K115" s="286"/>
      <c r="L115" s="281">
        <v>2010</v>
      </c>
      <c r="M115" s="282"/>
      <c r="N115" s="45"/>
      <c r="O115" s="45"/>
      <c r="P115" s="283">
        <f>R115-P$107</f>
        <v>0.10999999999999999</v>
      </c>
      <c r="R115" s="224">
        <v>0.35</v>
      </c>
    </row>
    <row r="116" spans="2:18">
      <c r="B116" s="30"/>
      <c r="C116" s="30"/>
      <c r="D116" s="30"/>
      <c r="E116" s="30" t="s">
        <v>524</v>
      </c>
      <c r="F116" s="30" t="s">
        <v>136</v>
      </c>
      <c r="G116" s="85"/>
      <c r="H116" s="85"/>
      <c r="I116" s="85"/>
      <c r="J116" s="85"/>
      <c r="K116" s="279"/>
      <c r="L116" s="285"/>
      <c r="M116" s="279"/>
      <c r="N116" s="279"/>
      <c r="O116" s="279"/>
      <c r="P116" s="279"/>
      <c r="R116" s="30"/>
    </row>
    <row r="117" spans="2:18">
      <c r="B117" s="91" t="s">
        <v>522</v>
      </c>
      <c r="C117" s="303" t="s">
        <v>537</v>
      </c>
      <c r="D117" s="29" t="str">
        <f>$E$108</f>
        <v>ELCBIO</v>
      </c>
      <c r="E117" s="26"/>
      <c r="F117" s="26"/>
      <c r="G117" s="28"/>
      <c r="H117" s="28">
        <v>1</v>
      </c>
      <c r="I117" s="28"/>
      <c r="J117" s="28"/>
      <c r="K117" s="286"/>
      <c r="L117" s="281">
        <v>2010</v>
      </c>
      <c r="M117" s="282"/>
      <c r="N117" s="45"/>
      <c r="O117" s="45"/>
      <c r="P117" s="283">
        <f>R117-P$107</f>
        <v>0.18</v>
      </c>
      <c r="R117" s="224">
        <v>0.42</v>
      </c>
    </row>
    <row r="118" spans="2:18">
      <c r="B118" s="30"/>
      <c r="C118" s="30"/>
      <c r="D118" s="30"/>
      <c r="E118" s="30" t="s">
        <v>525</v>
      </c>
      <c r="F118" s="30" t="s">
        <v>136</v>
      </c>
      <c r="G118" s="85"/>
      <c r="H118" s="85"/>
      <c r="I118" s="85"/>
      <c r="J118" s="85"/>
      <c r="K118" s="279"/>
      <c r="L118" s="285"/>
      <c r="M118" s="279"/>
      <c r="N118" s="279"/>
      <c r="O118" s="279"/>
      <c r="P118" s="279"/>
    </row>
    <row r="119" spans="2:18">
      <c r="B119" s="91" t="s">
        <v>700</v>
      </c>
      <c r="C119" s="303" t="s">
        <v>701</v>
      </c>
      <c r="D119" s="29" t="str">
        <f>$E$108</f>
        <v>ELCBIO</v>
      </c>
      <c r="E119" s="30"/>
      <c r="F119" s="30"/>
      <c r="G119" s="610"/>
      <c r="H119" s="28">
        <v>1</v>
      </c>
      <c r="I119" s="28"/>
      <c r="J119" s="28"/>
      <c r="K119" s="286"/>
      <c r="L119" s="281">
        <v>2150</v>
      </c>
      <c r="M119" s="282"/>
      <c r="N119" s="45"/>
      <c r="O119" s="45"/>
      <c r="P119" s="283">
        <v>0.1</v>
      </c>
    </row>
    <row r="120" spans="2:18">
      <c r="B120" s="30"/>
      <c r="C120" s="30"/>
      <c r="D120" s="30" t="s">
        <v>689</v>
      </c>
      <c r="E120" s="30" t="s">
        <v>523</v>
      </c>
      <c r="F120" s="30" t="s">
        <v>136</v>
      </c>
      <c r="G120" s="610" t="s">
        <v>345</v>
      </c>
      <c r="H120" s="28"/>
      <c r="I120" s="28">
        <v>1</v>
      </c>
      <c r="J120" s="85"/>
      <c r="K120" s="279"/>
      <c r="L120" s="285"/>
      <c r="M120" s="611">
        <v>0</v>
      </c>
      <c r="N120" s="279"/>
      <c r="O120" s="279"/>
      <c r="P120" s="279"/>
    </row>
    <row r="121" spans="2:18">
      <c r="B121" s="26"/>
      <c r="C121" s="26"/>
      <c r="D121" s="30" t="s">
        <v>691</v>
      </c>
      <c r="E121" s="30"/>
      <c r="F121" s="26"/>
      <c r="G121" s="28"/>
      <c r="H121" s="28"/>
      <c r="I121" s="28"/>
      <c r="J121" s="28"/>
      <c r="K121" s="286"/>
      <c r="L121" s="284"/>
      <c r="M121" s="611">
        <v>0.59195608067788452</v>
      </c>
      <c r="N121" s="286"/>
      <c r="O121" s="286"/>
      <c r="P121" s="286"/>
    </row>
    <row r="122" spans="2:18">
      <c r="B122" s="26"/>
      <c r="C122" s="26"/>
      <c r="D122" s="30" t="s">
        <v>694</v>
      </c>
      <c r="E122" s="30"/>
      <c r="F122" s="26"/>
      <c r="G122" s="28"/>
      <c r="H122" s="28"/>
      <c r="I122" s="28"/>
      <c r="J122" s="28"/>
      <c r="K122" s="286"/>
      <c r="L122" s="284"/>
      <c r="M122" s="611">
        <v>0.90437734548010273</v>
      </c>
      <c r="N122" s="286"/>
      <c r="O122" s="286"/>
      <c r="P122" s="286"/>
    </row>
    <row r="123" spans="2:18">
      <c r="B123" s="26"/>
      <c r="C123" s="26"/>
      <c r="D123" s="30" t="s">
        <v>693</v>
      </c>
      <c r="E123" s="30"/>
      <c r="F123" s="26"/>
      <c r="G123" s="28"/>
      <c r="H123" s="28"/>
      <c r="I123" s="28"/>
      <c r="J123" s="28"/>
      <c r="K123" s="286"/>
      <c r="L123" s="284"/>
      <c r="M123" s="611">
        <v>1.3730092426834275</v>
      </c>
      <c r="N123" s="286"/>
      <c r="O123" s="286"/>
      <c r="P123" s="286"/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>
  <sheetPr codeName="Hoja6"/>
  <dimension ref="B1:AI157"/>
  <sheetViews>
    <sheetView zoomScale="85" workbookViewId="0">
      <pane xSplit="5" ySplit="4" topLeftCell="F101" activePane="bottomRight" state="frozen"/>
      <selection pane="topRight" activeCell="F1" sqref="F1"/>
      <selection pane="bottomLeft" activeCell="A4" sqref="A4"/>
      <selection pane="bottomRight" activeCell="I133" sqref="I133"/>
    </sheetView>
  </sheetViews>
  <sheetFormatPr defaultColWidth="9.140625" defaultRowHeight="12.75"/>
  <cols>
    <col min="1" max="1" width="6.140625" customWidth="1"/>
    <col min="2" max="2" width="11.85546875" customWidth="1"/>
    <col min="3" max="3" width="30" customWidth="1"/>
    <col min="4" max="4" width="9.140625" customWidth="1"/>
    <col min="5" max="5" width="10.42578125" customWidth="1"/>
    <col min="6" max="24" width="9.140625" customWidth="1"/>
    <col min="28" max="248" width="9.140625" customWidth="1"/>
  </cols>
  <sheetData>
    <row r="1" spans="2:35">
      <c r="C1" s="105"/>
      <c r="K1" s="8"/>
      <c r="L1" s="342">
        <f ca="1">OtherData2!N18</f>
        <v>2010</v>
      </c>
      <c r="M1" s="342">
        <v>2017</v>
      </c>
      <c r="N1" s="342">
        <f ca="1">OtherData2!O18</f>
        <v>2015</v>
      </c>
      <c r="O1" s="342">
        <f ca="1">OtherData2!P18</f>
        <v>2020</v>
      </c>
      <c r="P1" s="342">
        <f ca="1">OtherData2!Q18</f>
        <v>2025</v>
      </c>
      <c r="Q1" s="342">
        <f ca="1">OtherData2!R18</f>
        <v>2030</v>
      </c>
      <c r="R1" s="342">
        <f ca="1">OtherData2!S18</f>
        <v>2040</v>
      </c>
      <c r="S1" s="342">
        <f ca="1">OtherData2!T18</f>
        <v>2050</v>
      </c>
      <c r="T1" s="342">
        <f ca="1">OtherData2!U18</f>
        <v>2070</v>
      </c>
      <c r="U1" s="342">
        <f ca="1">OtherData2!V18</f>
        <v>2100</v>
      </c>
      <c r="V1" s="342">
        <f>10^-3</f>
        <v>1E-3</v>
      </c>
      <c r="W1" s="8"/>
      <c r="AC1" s="338" t="s">
        <v>643</v>
      </c>
      <c r="AD1" s="338">
        <v>1</v>
      </c>
      <c r="AG1" s="206">
        <v>0.1</v>
      </c>
      <c r="AI1" s="8"/>
    </row>
    <row r="2" spans="2:35">
      <c r="C2" s="105"/>
      <c r="K2" s="8"/>
      <c r="L2" s="8"/>
      <c r="N2" s="8"/>
      <c r="O2" s="8"/>
      <c r="P2" s="8"/>
      <c r="Q2" s="8"/>
      <c r="R2" s="8"/>
      <c r="S2" s="8"/>
      <c r="T2" s="8"/>
      <c r="U2" s="8"/>
      <c r="V2" s="8"/>
      <c r="W2" s="8"/>
      <c r="AG2" s="206"/>
      <c r="AI2" s="8"/>
    </row>
    <row r="3" spans="2:35" ht="15">
      <c r="C3" s="105"/>
      <c r="E3" s="308" t="str">
        <f>"~FI_T: "&amp;Region</f>
        <v>~FI_T: FIM</v>
      </c>
    </row>
    <row r="4" spans="2:35" ht="36.75" thickBot="1">
      <c r="B4" s="174" t="s">
        <v>212</v>
      </c>
      <c r="C4" s="174" t="s">
        <v>213</v>
      </c>
      <c r="D4" s="174" t="s">
        <v>214</v>
      </c>
      <c r="E4" s="174" t="s">
        <v>215</v>
      </c>
      <c r="F4" s="183" t="s">
        <v>33</v>
      </c>
      <c r="G4" s="183" t="s">
        <v>224</v>
      </c>
      <c r="H4" s="183" t="str">
        <f ca="1">"EFF~"&amp;AuxYear</f>
        <v>EFF~2017</v>
      </c>
      <c r="I4" s="183" t="s">
        <v>259</v>
      </c>
      <c r="J4" s="174" t="str">
        <f ca="1">"AFA~"&amp;CEILING(AuxYear,1)</f>
        <v>AFA~2017</v>
      </c>
      <c r="K4" s="174" t="str">
        <f ca="1">"AFA~"&amp;CEILING(AuxYear+2,5)</f>
        <v>AFA~2020</v>
      </c>
      <c r="L4" s="174" t="str">
        <f t="shared" ref="L4:U4" si="0">"RESID~"&amp;L1</f>
        <v>RESID~2010</v>
      </c>
      <c r="M4" s="174" t="str">
        <f t="shared" si="0"/>
        <v>RESID~2017</v>
      </c>
      <c r="N4" s="174" t="str">
        <f>"\I: RESID~"&amp;N1</f>
        <v>\I: RESID~2015</v>
      </c>
      <c r="O4" s="174" t="str">
        <f t="shared" si="0"/>
        <v>RESID~2020</v>
      </c>
      <c r="P4" s="174" t="str">
        <f t="shared" si="0"/>
        <v>RESID~2025</v>
      </c>
      <c r="Q4" s="174" t="str">
        <f t="shared" si="0"/>
        <v>RESID~2030</v>
      </c>
      <c r="R4" s="174" t="str">
        <f t="shared" si="0"/>
        <v>RESID~2040</v>
      </c>
      <c r="S4" s="174" t="str">
        <f t="shared" si="0"/>
        <v>RESID~2050</v>
      </c>
      <c r="T4" s="174" t="str">
        <f t="shared" si="0"/>
        <v>RESID~2070</v>
      </c>
      <c r="U4" s="174" t="str">
        <f t="shared" si="0"/>
        <v>RESID~2100</v>
      </c>
      <c r="V4" s="174" t="s">
        <v>267</v>
      </c>
      <c r="W4" s="174" t="s">
        <v>443</v>
      </c>
      <c r="X4" s="174" t="str">
        <f>"CEH"</f>
        <v>CEH</v>
      </c>
      <c r="Y4" s="174" t="str">
        <f ca="1">"CEH~"&amp;AuxYear</f>
        <v>CEH~2017</v>
      </c>
      <c r="Z4" s="183" t="str">
        <f ca="1">"AFAC~"&amp;CEILING(AuxYear+2,5)</f>
        <v>AFAC~2020</v>
      </c>
      <c r="AA4" s="183" t="str">
        <f>"AFAC~0"</f>
        <v>AFAC~0</v>
      </c>
      <c r="AC4" s="174" t="s">
        <v>602</v>
      </c>
      <c r="AD4" s="174" t="s">
        <v>448</v>
      </c>
      <c r="AE4" s="174" t="s">
        <v>448</v>
      </c>
      <c r="AF4" s="174" t="s">
        <v>449</v>
      </c>
      <c r="AG4" s="174" t="s">
        <v>449</v>
      </c>
      <c r="AH4" s="174" t="s">
        <v>450</v>
      </c>
      <c r="AI4" s="174" t="s">
        <v>451</v>
      </c>
    </row>
    <row r="5" spans="2:35" ht="12.95" customHeight="1">
      <c r="B5" s="6" t="s">
        <v>260</v>
      </c>
      <c r="C5" s="6" t="str">
        <f>"EPLT: Existing " &amp;MID(B5,2,3)&amp; "-based capacity"</f>
        <v>EPLT: Existing OIL-based capacity</v>
      </c>
      <c r="D5" s="6" t="s">
        <v>56</v>
      </c>
      <c r="E5" s="6" t="s">
        <v>198</v>
      </c>
      <c r="F5" s="260">
        <v>0.95</v>
      </c>
      <c r="G5" s="216">
        <f ca="1">OtherData2!C19</f>
        <v>0.4</v>
      </c>
      <c r="H5" s="216">
        <f ca="1">OtherData2!D19</f>
        <v>0.4</v>
      </c>
      <c r="I5" s="254">
        <f ca="1">OtherData2!G19*1.02</f>
        <v>0.20400000000000001</v>
      </c>
      <c r="J5" s="254">
        <f ca="1">OtherData2!H19*1.02</f>
        <v>0.20400000000000001</v>
      </c>
      <c r="K5" s="254">
        <f ca="1">OtherData2!I19</f>
        <v>0.2</v>
      </c>
      <c r="L5" s="189">
        <f ca="1">OtherData2!E19*1000/SCAP</f>
        <v>0</v>
      </c>
      <c r="M5" s="189">
        <f ca="1">OtherData2!F19*1000/SCAP</f>
        <v>0</v>
      </c>
      <c r="N5" s="188" t="str">
        <f ca="1">IF(OtherData2!O19&lt;&gt;"",IF(OR(OtherData2!O19&gt;0,SUM(L5)&gt;0),OtherData2!O19/SCAP,""),"")</f>
        <v/>
      </c>
      <c r="O5" s="189" t="str">
        <f ca="1">IF(OtherData2!P19&lt;&gt;"",IF(OR(OtherData2!P19&gt;0,SUM(M5)&gt;0),OtherData2!P19/SCAP,""),"")</f>
        <v/>
      </c>
      <c r="P5" s="189" t="str">
        <f ca="1">IF(OtherData2!Q19&lt;&gt;"",IF(OR(OtherData2!Q19&gt;0,SUM(O5)&gt;0),OtherData2!Q19/SCAP,""),"")</f>
        <v/>
      </c>
      <c r="Q5" s="189" t="str">
        <f ca="1">IF(OtherData2!R19&lt;&gt;"",IF(OR(OtherData2!R19&gt;0,SUM(P5)&gt;0),OtherData2!R19/SCAP,""),"")</f>
        <v/>
      </c>
      <c r="R5" s="189" t="str">
        <f ca="1">IF(OtherData2!S19&lt;&gt;"",IF(OR(OtherData2!S19&gt;0,SUM(Q5)&gt;0),OtherData2!S19/SCAP,""),"")</f>
        <v/>
      </c>
      <c r="S5" s="189" t="str">
        <f ca="1">IF(OtherData2!T19&lt;&gt;"",IF(OR(OtherData2!T19&gt;0,SUM(R5)&gt;0),OtherData2!T19/SCAP,""),"")</f>
        <v/>
      </c>
      <c r="T5" s="189" t="str">
        <f ca="1">IF(OtherData2!U19&lt;&gt;"",IF(OR(OtherData2!U19&gt;0,SUM(S5)&gt;0),OtherData2!U19/SCAP,""),"")</f>
        <v/>
      </c>
      <c r="U5" s="189" t="str">
        <f ca="1">IF(OtherData2!V19&lt;&gt;"",IF(OR(OtherData2!V19&gt;0,SUM(T5)&gt;0),OtherData2!V19/SCAP,""),"")</f>
        <v/>
      </c>
      <c r="V5" s="335">
        <f>3.6*8.76*V$1</f>
        <v>3.1536000000000002E-2</v>
      </c>
      <c r="W5" s="162">
        <v>1</v>
      </c>
      <c r="X5" s="6"/>
      <c r="Y5" s="6"/>
      <c r="Z5" s="6"/>
      <c r="AA5" s="6"/>
      <c r="AC5" s="257"/>
      <c r="AD5" s="257"/>
      <c r="AE5" s="257"/>
      <c r="AF5" s="257"/>
      <c r="AG5" s="257"/>
      <c r="AH5" s="257"/>
      <c r="AI5" s="257"/>
    </row>
    <row r="6" spans="2:35" ht="12.95" customHeight="1">
      <c r="B6" s="6" t="s">
        <v>261</v>
      </c>
      <c r="C6" s="6" t="str">
        <f t="shared" ref="C6:C16" si="1">"EPLT: Existing " &amp;MID(B6,2,3)&amp; "-based capacity"</f>
        <v>EPLT: Existing GAS-based capacity</v>
      </c>
      <c r="D6" s="6" t="s">
        <v>151</v>
      </c>
      <c r="E6" s="6" t="s">
        <v>198</v>
      </c>
      <c r="F6" s="260">
        <v>0.95</v>
      </c>
      <c r="G6" s="216">
        <f ca="1">OtherData2!C20</f>
        <v>0.54</v>
      </c>
      <c r="H6" s="216">
        <f ca="1">OtherData2!D20</f>
        <v>0.54</v>
      </c>
      <c r="I6" s="254">
        <f ca="1">OtherData2!G20*1.02</f>
        <v>0.71399999999999997</v>
      </c>
      <c r="J6" s="254">
        <f ca="1">OtherData2!H20*1.02</f>
        <v>0.71399999999999997</v>
      </c>
      <c r="K6" s="254">
        <f ca="1">OtherData2!I20</f>
        <v>0.7</v>
      </c>
      <c r="L6" s="189">
        <f ca="1">OtherData2!E20*1000/SCAP</f>
        <v>0</v>
      </c>
      <c r="M6" s="189">
        <f ca="1">OtherData2!F20*1000/SCAP</f>
        <v>0</v>
      </c>
      <c r="N6" s="188" t="str">
        <f ca="1">IF(OtherData2!O20&lt;&gt;"",IF(OR(OtherData2!O20&gt;0,SUM(L6)&gt;0),OtherData2!O20/SCAP,""),"")</f>
        <v/>
      </c>
      <c r="O6" s="189" t="str">
        <f ca="1">IF(OtherData2!P20&lt;&gt;"",IF(OR(OtherData2!P20&gt;0,SUM(M6)&gt;0),OtherData2!P20/SCAP,""),"")</f>
        <v/>
      </c>
      <c r="P6" s="189" t="str">
        <f ca="1">IF(OtherData2!Q20&lt;&gt;"",IF(OR(OtherData2!Q20&gt;0,SUM(O6)&gt;0),OtherData2!Q20/SCAP,""),"")</f>
        <v/>
      </c>
      <c r="Q6" s="189" t="str">
        <f ca="1">IF(OtherData2!R20&lt;&gt;"",IF(OR(OtherData2!R20&gt;0,SUM(P6)&gt;0),OtherData2!R20/SCAP,""),"")</f>
        <v/>
      </c>
      <c r="R6" s="189" t="str">
        <f ca="1">IF(OtherData2!S20&lt;&gt;"",IF(OR(OtherData2!S20&gt;0,SUM(Q6)&gt;0),OtherData2!S20/SCAP,""),"")</f>
        <v/>
      </c>
      <c r="S6" s="189" t="str">
        <f ca="1">IF(OtherData2!T20&lt;&gt;"",IF(OR(OtherData2!T20&gt;0,SUM(R6)&gt;0),OtherData2!T20/SCAP,""),"")</f>
        <v/>
      </c>
      <c r="T6" s="189" t="str">
        <f ca="1">IF(OtherData2!U20&lt;&gt;"",IF(OR(OtherData2!U20&gt;0,SUM(S6)&gt;0),OtherData2!U20/SCAP,""),"")</f>
        <v/>
      </c>
      <c r="U6" s="189" t="str">
        <f ca="1">IF(OtherData2!V20&lt;&gt;"",IF(OR(OtherData2!V20&gt;0,SUM(T6)&gt;0),OtherData2!V20/SCAP,""),"")</f>
        <v/>
      </c>
      <c r="V6" s="335">
        <f t="shared" ref="V6:V17" si="2">3.6*8.76*V$1</f>
        <v>3.1536000000000002E-2</v>
      </c>
      <c r="W6" s="162">
        <v>1</v>
      </c>
      <c r="X6" s="6"/>
      <c r="Y6" s="6"/>
      <c r="Z6" s="6"/>
      <c r="AA6" s="6"/>
      <c r="AC6" s="257"/>
      <c r="AD6" s="257"/>
      <c r="AE6" s="257"/>
      <c r="AF6" s="257"/>
      <c r="AG6" s="257"/>
      <c r="AH6" s="257"/>
      <c r="AI6" s="257"/>
    </row>
    <row r="7" spans="2:35" ht="12.95" customHeight="1">
      <c r="B7" s="6" t="s">
        <v>262</v>
      </c>
      <c r="C7" s="6" t="str">
        <f t="shared" si="1"/>
        <v>EPLT: Existing COA-based capacity</v>
      </c>
      <c r="D7" s="6" t="s">
        <v>169</v>
      </c>
      <c r="E7" s="6" t="s">
        <v>198</v>
      </c>
      <c r="F7" s="260">
        <v>0.95</v>
      </c>
      <c r="G7" s="216">
        <f ca="1">OtherData2!C21</f>
        <v>0.44</v>
      </c>
      <c r="H7" s="216">
        <f ca="1">OtherData2!D21</f>
        <v>0.44</v>
      </c>
      <c r="I7" s="254">
        <f ca="1">OtherData2!G21*1.01</f>
        <v>0.75750000000000006</v>
      </c>
      <c r="J7" s="254">
        <f ca="1">OtherData2!H21*1.01</f>
        <v>0.75750000000000006</v>
      </c>
      <c r="K7" s="254">
        <f ca="1">OtherData2!I21</f>
        <v>0.75</v>
      </c>
      <c r="L7" s="189">
        <f ca="1">OtherData2!E21*1000/SCAP</f>
        <v>0</v>
      </c>
      <c r="M7" s="189">
        <f ca="1">OtherData2!F21*1000/SCAP</f>
        <v>0</v>
      </c>
      <c r="N7" s="188" t="str">
        <f ca="1">IF(OtherData2!O21&lt;&gt;"",IF(OR(OtherData2!O21&gt;0,SUM(L7)&gt;0),OtherData2!O21/SCAP,""),"")</f>
        <v/>
      </c>
      <c r="O7" s="189" t="str">
        <f ca="1">IF(OtherData2!P21&lt;&gt;"",IF(OR(OtherData2!P21&gt;0,SUM(M7)&gt;0),OtherData2!P21/SCAP,""),"")</f>
        <v/>
      </c>
      <c r="P7" s="189" t="str">
        <f ca="1">IF(OtherData2!Q21&lt;&gt;"",IF(OR(OtherData2!Q21&gt;0,SUM(O7)&gt;0),OtherData2!Q21/SCAP,""),"")</f>
        <v/>
      </c>
      <c r="Q7" s="189" t="str">
        <f ca="1">IF(OtherData2!R21&lt;&gt;"",IF(OR(OtherData2!R21&gt;0,SUM(P7)&gt;0),OtherData2!R21/SCAP,""),"")</f>
        <v/>
      </c>
      <c r="R7" s="189" t="str">
        <f ca="1">IF(OtherData2!S21&lt;&gt;"",IF(OR(OtherData2!S21&gt;0,SUM(Q7)&gt;0),OtherData2!S21/SCAP,""),"")</f>
        <v/>
      </c>
      <c r="S7" s="189" t="str">
        <f ca="1">IF(OtherData2!T21&lt;&gt;"",IF(OR(OtherData2!T21&gt;0,SUM(R7)&gt;0),OtherData2!T21/SCAP,""),"")</f>
        <v/>
      </c>
      <c r="T7" s="189" t="str">
        <f ca="1">IF(OtherData2!U21&lt;&gt;"",IF(OR(OtherData2!U21&gt;0,SUM(S7)&gt;0),OtherData2!U21/SCAP,""),"")</f>
        <v/>
      </c>
      <c r="U7" s="189" t="str">
        <f ca="1">IF(OtherData2!V21&lt;&gt;"",IF(OR(OtherData2!V21&gt;0,SUM(T7)&gt;0),OtherData2!V21/SCAP,""),"")</f>
        <v/>
      </c>
      <c r="V7" s="335">
        <f t="shared" si="2"/>
        <v>3.1536000000000002E-2</v>
      </c>
      <c r="W7" s="162">
        <v>1</v>
      </c>
      <c r="X7" s="6"/>
      <c r="Y7" s="6"/>
      <c r="Z7" s="6"/>
      <c r="AA7" s="6"/>
      <c r="AC7" s="257"/>
      <c r="AD7" s="257"/>
      <c r="AE7" s="257"/>
      <c r="AF7" s="257"/>
      <c r="AG7" s="257"/>
      <c r="AH7" s="257"/>
      <c r="AI7" s="257"/>
    </row>
    <row r="8" spans="2:35" ht="12.95" customHeight="1">
      <c r="B8" s="6" t="s">
        <v>390</v>
      </c>
      <c r="C8" s="6" t="str">
        <f t="shared" si="1"/>
        <v>EPLT: Existing BCO-based capacity</v>
      </c>
      <c r="D8" s="6" t="s">
        <v>354</v>
      </c>
      <c r="E8" s="6" t="s">
        <v>198</v>
      </c>
      <c r="F8" s="260">
        <v>0.95</v>
      </c>
      <c r="G8" s="216">
        <f ca="1">OtherData2!C22</f>
        <v>0.42</v>
      </c>
      <c r="H8" s="216">
        <f ca="1">OtherData2!D22</f>
        <v>0.42</v>
      </c>
      <c r="I8" s="254">
        <f ca="1">OtherData2!G22*1.02</f>
        <v>0.71399999999999997</v>
      </c>
      <c r="J8" s="254">
        <f ca="1">OtherData2!H22*1.02</f>
        <v>0.71399999999999997</v>
      </c>
      <c r="K8" s="254">
        <f ca="1">OtherData2!I22</f>
        <v>0.7</v>
      </c>
      <c r="L8" s="189">
        <f ca="1">OtherData2!E22*1000/SCAP</f>
        <v>0</v>
      </c>
      <c r="M8" s="189">
        <f ca="1">OtherData2!F22*1000/SCAP</f>
        <v>0</v>
      </c>
      <c r="N8" s="188" t="str">
        <f ca="1">IF(OtherData2!O22&lt;&gt;"",IF(OR(OtherData2!O22&gt;0,SUM(L8)&gt;0),OtherData2!O22/SCAP,""),"")</f>
        <v/>
      </c>
      <c r="O8" s="189" t="str">
        <f ca="1">IF(OtherData2!P22&lt;&gt;"",IF(OR(OtherData2!P22&gt;0,SUM(M8)&gt;0),OtherData2!P22/SCAP,""),"")</f>
        <v/>
      </c>
      <c r="P8" s="189" t="str">
        <f ca="1">IF(OtherData2!Q22&lt;&gt;"",IF(OR(OtherData2!Q22&gt;0,SUM(O8)&gt;0),OtherData2!Q22/SCAP,""),"")</f>
        <v/>
      </c>
      <c r="Q8" s="189" t="str">
        <f ca="1">IF(OtherData2!R22&lt;&gt;"",IF(OR(OtherData2!R22&gt;0,SUM(P8)&gt;0),OtherData2!R22/SCAP,""),"")</f>
        <v/>
      </c>
      <c r="R8" s="189" t="str">
        <f ca="1">IF(OtherData2!S22&lt;&gt;"",IF(OR(OtherData2!S22&gt;0,SUM(Q8)&gt;0),OtherData2!S22/SCAP,""),"")</f>
        <v/>
      </c>
      <c r="S8" s="189" t="str">
        <f ca="1">IF(OtherData2!T22&lt;&gt;"",IF(OR(OtherData2!T22&gt;0,SUM(R8)&gt;0),OtherData2!T22/SCAP,""),"")</f>
        <v/>
      </c>
      <c r="T8" s="189" t="str">
        <f ca="1">IF(OtherData2!U22&lt;&gt;"",IF(OR(OtherData2!U22&gt;0,SUM(S8)&gt;0),OtherData2!U22/SCAP,""),"")</f>
        <v/>
      </c>
      <c r="U8" s="189" t="str">
        <f ca="1">IF(OtherData2!V22&lt;&gt;"",IF(OR(OtherData2!V22&gt;0,SUM(T8)&gt;0),OtherData2!V22/SCAP,""),"")</f>
        <v/>
      </c>
      <c r="V8" s="335">
        <f t="shared" si="2"/>
        <v>3.1536000000000002E-2</v>
      </c>
      <c r="W8" s="162">
        <v>1</v>
      </c>
      <c r="X8" s="6"/>
      <c r="Y8" s="6"/>
      <c r="Z8" s="6"/>
      <c r="AA8" s="6"/>
      <c r="AC8" s="257"/>
      <c r="AD8" s="257"/>
      <c r="AE8" s="257"/>
      <c r="AF8" s="257"/>
      <c r="AG8" s="257"/>
      <c r="AH8" s="257"/>
      <c r="AI8" s="257"/>
    </row>
    <row r="9" spans="2:35" ht="12.95" customHeight="1">
      <c r="B9" s="6" t="s">
        <v>263</v>
      </c>
      <c r="C9" s="6" t="str">
        <f t="shared" si="1"/>
        <v>EPLT: Existing BIO-based capacity</v>
      </c>
      <c r="D9" s="6" t="s">
        <v>152</v>
      </c>
      <c r="E9" s="6" t="s">
        <v>198</v>
      </c>
      <c r="F9" s="260">
        <v>0.95</v>
      </c>
      <c r="G9" s="216">
        <f ca="1">OtherData2!C23</f>
        <v>0.4</v>
      </c>
      <c r="H9" s="216">
        <f ca="1">OtherData2!D23</f>
        <v>0.4</v>
      </c>
      <c r="I9" s="254">
        <f ca="1">OtherData2!G23*1.02</f>
        <v>0.71399999999999997</v>
      </c>
      <c r="J9" s="254">
        <f ca="1">OtherData2!H23*1.02</f>
        <v>0.71399999999999997</v>
      </c>
      <c r="K9" s="254">
        <f ca="1">OtherData2!I23</f>
        <v>0.7</v>
      </c>
      <c r="L9" s="189">
        <f ca="1">OtherData2!E23*1000/SCAP</f>
        <v>0</v>
      </c>
      <c r="M9" s="189">
        <f ca="1">OtherData2!F23*1000/SCAP</f>
        <v>0</v>
      </c>
      <c r="N9" s="188" t="str">
        <f ca="1">IF(OtherData2!O23&lt;&gt;"",IF(OR(OtherData2!O23&gt;0,SUM(L9)&gt;0),OtherData2!O23/SCAP,""),"")</f>
        <v/>
      </c>
      <c r="O9" s="189" t="str">
        <f ca="1">IF(OtherData2!P23&lt;&gt;"",IF(OR(OtherData2!P23&gt;0,SUM(M9)&gt;0),OtherData2!P23/SCAP,""),"")</f>
        <v/>
      </c>
      <c r="P9" s="189" t="str">
        <f ca="1">IF(OtherData2!Q23&lt;&gt;"",IF(OR(OtherData2!Q23&gt;0,SUM(O9)&gt;0),OtherData2!Q23/SCAP,""),"")</f>
        <v/>
      </c>
      <c r="Q9" s="189" t="str">
        <f ca="1">IF(OtherData2!R23&lt;&gt;"",IF(OR(OtherData2!R23&gt;0,SUM(P9)&gt;0),OtherData2!R23/SCAP,""),"")</f>
        <v/>
      </c>
      <c r="R9" s="189" t="str">
        <f ca="1">IF(OtherData2!S23&lt;&gt;"",IF(OR(OtherData2!S23&gt;0,SUM(Q9)&gt;0),OtherData2!S23/SCAP,""),"")</f>
        <v/>
      </c>
      <c r="S9" s="189" t="str">
        <f ca="1">IF(OtherData2!T23&lt;&gt;"",IF(OR(OtherData2!T23&gt;0,SUM(R9)&gt;0),OtherData2!T23/SCAP,""),"")</f>
        <v/>
      </c>
      <c r="T9" s="189" t="str">
        <f ca="1">IF(OtherData2!U23&lt;&gt;"",IF(OR(OtherData2!U23&gt;0,SUM(S9)&gt;0),OtherData2!U23/SCAP,""),"")</f>
        <v/>
      </c>
      <c r="U9" s="189" t="str">
        <f ca="1">IF(OtherData2!V23&lt;&gt;"",IF(OR(OtherData2!V23&gt;0,SUM(T9)&gt;0),OtherData2!V23/SCAP,""),"")</f>
        <v/>
      </c>
      <c r="V9" s="335">
        <f t="shared" si="2"/>
        <v>3.1536000000000002E-2</v>
      </c>
      <c r="W9" s="162">
        <v>1</v>
      </c>
      <c r="X9" s="6"/>
      <c r="Y9" s="6"/>
      <c r="Z9" s="6"/>
      <c r="AA9" s="6"/>
      <c r="AC9" s="257"/>
      <c r="AD9" s="257"/>
      <c r="AE9" s="257"/>
      <c r="AF9" s="257"/>
      <c r="AG9" s="257"/>
      <c r="AH9" s="257"/>
      <c r="AI9" s="257"/>
    </row>
    <row r="10" spans="2:35" ht="12.95" customHeight="1">
      <c r="B10" s="202" t="s">
        <v>437</v>
      </c>
      <c r="C10" s="202" t="str">
        <f t="shared" si="1"/>
        <v>EPLT: Existing HYD-based capacity</v>
      </c>
      <c r="D10" s="202" t="s">
        <v>424</v>
      </c>
      <c r="E10" s="202" t="s">
        <v>198</v>
      </c>
      <c r="F10" s="203">
        <v>0.9</v>
      </c>
      <c r="G10" s="204">
        <v>1</v>
      </c>
      <c r="H10" s="204">
        <v>1</v>
      </c>
      <c r="I10" s="197">
        <f ca="1">OtherData2!U9</f>
        <v>1</v>
      </c>
      <c r="J10" s="197">
        <f ca="1">OtherData2!V9</f>
        <v>1</v>
      </c>
      <c r="K10" s="197"/>
      <c r="L10" s="198">
        <f ca="1">OtherData2!S9*1000/SCAP</f>
        <v>0</v>
      </c>
      <c r="M10" s="198">
        <f ca="1">OtherData2!T9*1000/SCAP</f>
        <v>0</v>
      </c>
      <c r="N10" s="198" t="str">
        <f ca="1">IF(OtherData2!O24&lt;&gt;"",IF(OR(OtherData2!O24&gt;0,SUM(L10)&gt;0),$M10*OtherData2!O24/OtherData2!$N24,""),"")</f>
        <v/>
      </c>
      <c r="O10" s="198" t="str">
        <f ca="1">IF(OtherData2!P24&lt;&gt;"",IF(OR(OtherData2!P24&gt;0,SUM(M10)&gt;0),$M10*OtherData2!P24/OtherData2!$N24,""),"")</f>
        <v/>
      </c>
      <c r="P10" s="198" t="str">
        <f ca="1">IF(OtherData2!Q24&lt;&gt;"",IF(OR(OtherData2!Q24&gt;0,SUM(O10)&gt;0),$L10*OtherData2!Q24/OtherData2!$N24,""),"")</f>
        <v/>
      </c>
      <c r="Q10" s="198" t="str">
        <f ca="1">IF(OtherData2!R24&lt;&gt;"",IF(OR(OtherData2!R24&gt;0,SUM(P10)&gt;0),$L10*OtherData2!R24/OtherData2!$N24,""),"")</f>
        <v/>
      </c>
      <c r="R10" s="198" t="str">
        <f ca="1">IF(OtherData2!S24&lt;&gt;"",IF(OR(OtherData2!S24&gt;0,SUM(Q10)&gt;0),$L10*OtherData2!S24/OtherData2!$N24,""),"")</f>
        <v/>
      </c>
      <c r="S10" s="198" t="str">
        <f ca="1">IF(OtherData2!T24&lt;&gt;"",IF(OR(OtherData2!T24&gt;0,SUM(R10)&gt;0),$L10*OtherData2!T24/OtherData2!$N24,""),"")</f>
        <v/>
      </c>
      <c r="T10" s="198" t="str">
        <f ca="1">IF(OtherData2!U24&lt;&gt;"",IF(OR(OtherData2!U24&gt;0,SUM(S10)&gt;0),$L10*OtherData2!U24/OtherData2!$N24,""),"")</f>
        <v/>
      </c>
      <c r="U10" s="198" t="str">
        <f ca="1">IF(OtherData2!V24&lt;&gt;"",IF(OR(OtherData2!V24&gt;0,SUM(T10)&gt;0),$L10*OtherData2!V24/OtherData2!$N24,""),"")</f>
        <v/>
      </c>
      <c r="V10" s="356">
        <f t="shared" si="2"/>
        <v>3.1536000000000002E-2</v>
      </c>
      <c r="W10" s="319">
        <v>0.75</v>
      </c>
      <c r="X10" s="202"/>
      <c r="Y10" s="202"/>
      <c r="Z10" s="202"/>
      <c r="AA10" s="202"/>
      <c r="AC10" s="257"/>
      <c r="AD10" s="257"/>
      <c r="AE10" s="257"/>
      <c r="AF10" s="257"/>
      <c r="AG10" s="257"/>
      <c r="AH10" s="257"/>
      <c r="AI10" s="257"/>
    </row>
    <row r="11" spans="2:35" ht="12.95" customHeight="1">
      <c r="B11" s="202" t="s">
        <v>436</v>
      </c>
      <c r="C11" s="202" t="str">
        <f t="shared" si="1"/>
        <v>EPLT: Existing HYD-based capacity</v>
      </c>
      <c r="D11" s="202" t="s">
        <v>57</v>
      </c>
      <c r="E11" s="202" t="s">
        <v>198</v>
      </c>
      <c r="F11" s="203">
        <v>0.9</v>
      </c>
      <c r="G11" s="204">
        <v>1</v>
      </c>
      <c r="H11" s="204">
        <v>1</v>
      </c>
      <c r="I11" s="197">
        <f ca="1">OtherData2!U10</f>
        <v>1</v>
      </c>
      <c r="J11" s="197">
        <f ca="1">OtherData2!V10</f>
        <v>1</v>
      </c>
      <c r="K11" s="197"/>
      <c r="L11" s="198">
        <f ca="1">OtherData2!S10*1000/SCAP</f>
        <v>0</v>
      </c>
      <c r="M11" s="198">
        <f ca="1">OtherData2!T10*1000/SCAP</f>
        <v>0</v>
      </c>
      <c r="N11" s="198" t="str">
        <f ca="1">IF(OtherData2!O24&lt;&gt;"",IF(OR(OtherData2!O24&gt;0,SUM(L11)&gt;0),$M11*OtherData2!O24/OtherData2!$N24,""),"")</f>
        <v/>
      </c>
      <c r="O11" s="198" t="str">
        <f ca="1">IF(OtherData2!P24&lt;&gt;"",IF(OR(OtherData2!P24&gt;0,SUM(M11)&gt;0),$M11*OtherData2!P24/OtherData2!$N24,""),"")</f>
        <v/>
      </c>
      <c r="P11" s="198" t="str">
        <f ca="1">IF(OtherData2!Q24&lt;&gt;"",IF(OR(OtherData2!Q24&gt;0,SUM(O10)&gt;0),$L11*OtherData2!Q24/OtherData2!$N24,""),"")</f>
        <v/>
      </c>
      <c r="Q11" s="198" t="str">
        <f ca="1">IF(OtherData2!R24&lt;&gt;"",IF(OR(OtherData2!R24&gt;0,SUM(P10)&gt;0),$L11*OtherData2!R24/OtherData2!$N24,""),"")</f>
        <v/>
      </c>
      <c r="R11" s="198" t="str">
        <f ca="1">IF(OtherData2!S24&lt;&gt;"",IF(OR(OtherData2!S24&gt;0,SUM(Q10)&gt;0),$L11*OtherData2!S24/OtherData2!$N24,""),"")</f>
        <v/>
      </c>
      <c r="S11" s="198" t="str">
        <f ca="1">IF(OtherData2!T24&lt;&gt;"",IF(OR(OtherData2!T24&gt;0,SUM(R10)&gt;0),$L11*OtherData2!T24/OtherData2!$N24,""),"")</f>
        <v/>
      </c>
      <c r="T11" s="198" t="str">
        <f ca="1">IF(OtherData2!U24&lt;&gt;"",IF(OR(OtherData2!U24&gt;0,SUM(S10)&gt;0),$L11*OtherData2!U24/OtherData2!$N24,""),"")</f>
        <v/>
      </c>
      <c r="U11" s="198" t="str">
        <f ca="1">IF(OtherData2!V24&lt;&gt;"",IF(OR(OtherData2!V24&gt;0,SUM(T10)&gt;0),$L11*OtherData2!V24/OtherData2!$N24,""),"")</f>
        <v/>
      </c>
      <c r="V11" s="356">
        <f t="shared" si="2"/>
        <v>3.1536000000000002E-2</v>
      </c>
      <c r="W11" s="319">
        <v>0.75</v>
      </c>
      <c r="X11" s="202"/>
      <c r="Y11" s="202"/>
      <c r="Z11" s="202"/>
      <c r="AA11" s="202"/>
      <c r="AC11" s="257"/>
      <c r="AD11" s="257"/>
      <c r="AE11" s="257"/>
      <c r="AF11" s="257"/>
      <c r="AG11" s="257"/>
      <c r="AH11" s="257"/>
      <c r="AI11" s="257"/>
    </row>
    <row r="12" spans="2:35" ht="12.95" customHeight="1">
      <c r="B12" s="6" t="s">
        <v>659</v>
      </c>
      <c r="C12" s="6" t="str">
        <f t="shared" si="1"/>
        <v>EPLT: Existing NUC-based capacity</v>
      </c>
      <c r="D12" s="6" t="s">
        <v>338</v>
      </c>
      <c r="E12" s="6" t="s">
        <v>198</v>
      </c>
      <c r="F12" s="260">
        <v>1</v>
      </c>
      <c r="G12" s="216">
        <f ca="1">OtherData2!C25</f>
        <v>0.35</v>
      </c>
      <c r="H12" s="216">
        <f ca="1">OtherData2!D25</f>
        <v>0.35</v>
      </c>
      <c r="I12" s="254">
        <f ca="1">OtherData2!G25</f>
        <v>0.92</v>
      </c>
      <c r="J12" s="254">
        <f ca="1">OtherData2!H25</f>
        <v>0.92</v>
      </c>
      <c r="K12" s="254">
        <f ca="1">OtherData2!I25</f>
        <v>0.92</v>
      </c>
      <c r="L12" s="189">
        <f ca="1">OtherData2!E25*1000/SCAP-SUM(L13:L14)</f>
        <v>0</v>
      </c>
      <c r="M12" s="189">
        <f ca="1">OtherData2!F25*1000/SCAP-SUM(M13:M14)</f>
        <v>0</v>
      </c>
      <c r="N12" s="188" t="str">
        <f ca="1">IF(OtherData2!O25&lt;&gt;"",IF(OR(OtherData2!O25&gt;0,SUM(L12)&gt;0),OtherData2!O25/SCAP,""),"")</f>
        <v/>
      </c>
      <c r="O12" s="189">
        <f t="array" aca="1" ref="O12:T12" ca="1">OFFSET(CalibData2!$E46:$K46,0,(CalIndex-1)*10)</f>
        <v>0</v>
      </c>
      <c r="P12" s="189">
        <f ca="1"/>
        <v>0</v>
      </c>
      <c r="Q12" s="189">
        <f ca="1"/>
        <v>0</v>
      </c>
      <c r="R12" s="189">
        <f ca="1"/>
        <v>0</v>
      </c>
      <c r="S12" s="189">
        <f ca="1"/>
        <v>0</v>
      </c>
      <c r="T12" s="189">
        <f ca="1"/>
        <v>0</v>
      </c>
      <c r="U12" s="189" t="str">
        <f ca="1">IF(OtherData2!V25&lt;&gt;"",IF(OR(OtherData2!V25&gt;0,SUM(T12)&gt;0),OtherData2!V25/SCAP,""),"")</f>
        <v/>
      </c>
      <c r="V12" s="335">
        <f t="shared" si="2"/>
        <v>3.1536000000000002E-2</v>
      </c>
      <c r="W12" s="162">
        <v>1</v>
      </c>
      <c r="X12" s="6"/>
      <c r="Y12" s="6"/>
      <c r="Z12" s="6"/>
      <c r="AA12" s="6"/>
      <c r="AC12" s="257"/>
      <c r="AD12" s="257"/>
      <c r="AE12" s="257"/>
      <c r="AF12" s="257"/>
      <c r="AG12" s="257"/>
      <c r="AH12" s="257"/>
      <c r="AI12" s="257"/>
    </row>
    <row r="13" spans="2:35" ht="12.95" customHeight="1">
      <c r="B13" s="6" t="s">
        <v>661</v>
      </c>
      <c r="C13" s="6" t="str">
        <f t="shared" si="1"/>
        <v>EPLT: Existing NUC-based capacity</v>
      </c>
      <c r="D13" s="6" t="s">
        <v>338</v>
      </c>
      <c r="E13" s="6" t="s">
        <v>198</v>
      </c>
      <c r="F13" s="260">
        <v>1</v>
      </c>
      <c r="G13" s="216">
        <f ca="1">G$12</f>
        <v>0.35</v>
      </c>
      <c r="H13" s="216">
        <f ca="1">H$12</f>
        <v>0.35</v>
      </c>
      <c r="I13" s="254">
        <f ca="1">I$12</f>
        <v>0.92</v>
      </c>
      <c r="J13" s="254">
        <f ca="1">J$12</f>
        <v>0.92</v>
      </c>
      <c r="K13" s="254">
        <f ca="1">K$12</f>
        <v>0.92</v>
      </c>
      <c r="L13" s="189">
        <f ca="1">OtherData2!E26*1000/SCAP</f>
        <v>0</v>
      </c>
      <c r="M13" s="189">
        <f ca="1">OtherData2!F26*1000/SCAP</f>
        <v>0</v>
      </c>
      <c r="N13" s="188">
        <v>0</v>
      </c>
      <c r="O13" s="189">
        <f t="array" aca="1" ref="O13:T13" ca="1">OFFSET(CalibData2!$E47:$K47,0,(CalIndex-1)*10)</f>
        <v>0</v>
      </c>
      <c r="P13" s="189">
        <f ca="1"/>
        <v>0</v>
      </c>
      <c r="Q13" s="189">
        <f ca="1"/>
        <v>0</v>
      </c>
      <c r="R13" s="189">
        <f ca="1"/>
        <v>0</v>
      </c>
      <c r="S13" s="189">
        <f ca="1"/>
        <v>0</v>
      </c>
      <c r="T13" s="189">
        <f ca="1"/>
        <v>0</v>
      </c>
      <c r="U13" s="189"/>
      <c r="V13" s="335">
        <f t="shared" si="2"/>
        <v>3.1536000000000002E-2</v>
      </c>
      <c r="W13" s="162">
        <v>1</v>
      </c>
      <c r="X13" s="6"/>
      <c r="Y13" s="6"/>
      <c r="Z13" s="6"/>
      <c r="AA13" s="6"/>
      <c r="AC13" s="257"/>
      <c r="AD13" s="257"/>
      <c r="AE13" s="257"/>
      <c r="AF13" s="257"/>
      <c r="AG13" s="257"/>
      <c r="AH13" s="257"/>
      <c r="AI13" s="257"/>
    </row>
    <row r="14" spans="2:35" ht="12.95" customHeight="1">
      <c r="B14" s="6" t="s">
        <v>660</v>
      </c>
      <c r="C14" s="6" t="str">
        <f t="shared" si="1"/>
        <v>EPLT: Existing NUC-based capacity</v>
      </c>
      <c r="D14" s="6" t="s">
        <v>338</v>
      </c>
      <c r="E14" s="6" t="s">
        <v>198</v>
      </c>
      <c r="F14" s="260">
        <v>1</v>
      </c>
      <c r="G14" s="352">
        <v>0.36499999999999999</v>
      </c>
      <c r="H14" s="352">
        <v>0.36499999999999999</v>
      </c>
      <c r="I14" s="142">
        <v>0</v>
      </c>
      <c r="J14" s="142">
        <v>0</v>
      </c>
      <c r="K14" s="254">
        <f ca="1">K$12</f>
        <v>0.92</v>
      </c>
      <c r="L14" s="188">
        <v>0</v>
      </c>
      <c r="M14" s="188">
        <v>0</v>
      </c>
      <c r="N14" s="188">
        <v>0</v>
      </c>
      <c r="O14" s="189">
        <f t="array" aca="1" ref="O14:T14" ca="1">OFFSET(CalibData2!$E41:$K41,0,(CalIndex-1)*10)-O12:T12-O13:T13</f>
        <v>0</v>
      </c>
      <c r="P14" s="189">
        <f ca="1"/>
        <v>0</v>
      </c>
      <c r="Q14" s="189">
        <f ca="1"/>
        <v>0</v>
      </c>
      <c r="R14" s="189">
        <f ca="1"/>
        <v>0</v>
      </c>
      <c r="S14" s="189">
        <f ca="1"/>
        <v>0</v>
      </c>
      <c r="T14" s="189">
        <f ca="1"/>
        <v>0</v>
      </c>
      <c r="U14" s="189"/>
      <c r="V14" s="335">
        <f t="shared" si="2"/>
        <v>3.1536000000000002E-2</v>
      </c>
      <c r="W14" s="162">
        <v>1</v>
      </c>
      <c r="X14" s="6"/>
      <c r="Y14" s="6"/>
      <c r="Z14" s="6"/>
      <c r="AA14" s="6"/>
      <c r="AC14" s="257"/>
      <c r="AD14" s="257"/>
      <c r="AE14" s="257"/>
      <c r="AF14" s="257"/>
      <c r="AG14" s="257"/>
      <c r="AH14" s="257"/>
      <c r="AI14" s="257"/>
    </row>
    <row r="15" spans="2:35" ht="12.95" customHeight="1">
      <c r="B15" s="6" t="s">
        <v>264</v>
      </c>
      <c r="C15" s="6" t="str">
        <f t="shared" si="1"/>
        <v>EPLT: Existing GEO-based capacity</v>
      </c>
      <c r="D15" s="6" t="s">
        <v>170</v>
      </c>
      <c r="E15" s="6" t="s">
        <v>198</v>
      </c>
      <c r="F15" s="260">
        <v>0.9</v>
      </c>
      <c r="G15" s="216">
        <f ca="1">OtherData2!C26</f>
        <v>0.1</v>
      </c>
      <c r="H15" s="216">
        <f ca="1">OtherData2!D26</f>
        <v>0.1</v>
      </c>
      <c r="I15" s="254">
        <f ca="1">OtherData2!G26</f>
        <v>0.75</v>
      </c>
      <c r="J15" s="254">
        <f ca="1">OtherData2!H26</f>
        <v>0.75</v>
      </c>
      <c r="K15" s="254">
        <f ca="1">OtherData2!I26</f>
        <v>0.75</v>
      </c>
      <c r="L15" s="189">
        <f ca="1">OtherData2!E26*1000/SCAP</f>
        <v>0</v>
      </c>
      <c r="M15" s="189">
        <f ca="1">OtherData2!F26*1000/SCAP</f>
        <v>0</v>
      </c>
      <c r="N15" s="188" t="str">
        <f ca="1">IF(OtherData2!O26&lt;&gt;"",IF(OR(OtherData2!O26&gt;0,SUM(L15)&gt;0),OtherData2!O26/SCAP,""),"")</f>
        <v/>
      </c>
      <c r="O15" s="189" t="str">
        <f ca="1">IF(OtherData2!P26&lt;&gt;"",IF(OR(OtherData2!P26&gt;0,SUM(M15)&gt;0),OtherData2!P26/SCAP,""),"")</f>
        <v/>
      </c>
      <c r="P15" s="189" t="str">
        <f ca="1">IF(OtherData2!Q26&lt;&gt;"",IF(OR(OtherData2!Q26&gt;0,SUM(O15)&gt;0),OtherData2!Q26/SCAP,""),"")</f>
        <v/>
      </c>
      <c r="Q15" s="189" t="str">
        <f ca="1">IF(OtherData2!R26&lt;&gt;"",IF(OR(OtherData2!R26&gt;0,SUM(P15)&gt;0),OtherData2!R26/SCAP,""),"")</f>
        <v/>
      </c>
      <c r="R15" s="189" t="str">
        <f ca="1">IF(OtherData2!S26&lt;&gt;"",IF(OR(OtherData2!S26&gt;0,SUM(Q15)&gt;0),OtherData2!S26/SCAP,""),"")</f>
        <v/>
      </c>
      <c r="S15" s="189" t="str">
        <f ca="1">IF(OtherData2!T26&lt;&gt;"",IF(OR(OtherData2!T26&gt;0,SUM(R15)&gt;0),OtherData2!T26/SCAP,""),"")</f>
        <v/>
      </c>
      <c r="T15" s="189" t="str">
        <f ca="1">IF(OtherData2!U26&lt;&gt;"",IF(OR(OtherData2!U26&gt;0,SUM(S15)&gt;0),OtherData2!U26/SCAP,""),"")</f>
        <v/>
      </c>
      <c r="U15" s="189" t="str">
        <f ca="1">IF(OtherData2!V26&lt;&gt;"",IF(OR(OtherData2!V26&gt;0,SUM(T15)&gt;0),OtherData2!V26/SCAP,""),"")</f>
        <v/>
      </c>
      <c r="V15" s="335">
        <f t="shared" si="2"/>
        <v>3.1536000000000002E-2</v>
      </c>
      <c r="W15" s="162">
        <v>1</v>
      </c>
      <c r="X15" s="6"/>
      <c r="Y15" s="6"/>
      <c r="Z15" s="6"/>
      <c r="AA15" s="6"/>
      <c r="AC15" s="257"/>
      <c r="AD15" s="257"/>
      <c r="AE15" s="257"/>
      <c r="AF15" s="257"/>
      <c r="AG15" s="257"/>
      <c r="AH15" s="257"/>
      <c r="AI15" s="257"/>
    </row>
    <row r="16" spans="2:35" ht="12.95" customHeight="1">
      <c r="B16" s="6" t="s">
        <v>265</v>
      </c>
      <c r="C16" s="6" t="str">
        <f t="shared" si="1"/>
        <v>EPLT: Existing WIN-based capacity</v>
      </c>
      <c r="D16" s="6" t="s">
        <v>172</v>
      </c>
      <c r="E16" s="6" t="s">
        <v>198</v>
      </c>
      <c r="F16" s="142"/>
      <c r="G16" s="142"/>
      <c r="H16" s="142"/>
      <c r="I16" s="142"/>
      <c r="J16" s="142"/>
      <c r="K16" s="142"/>
      <c r="L16" s="189">
        <f ca="1">OtherData2!E27*1000/SCAP</f>
        <v>10</v>
      </c>
      <c r="M16" s="189">
        <f ca="1">OtherData2!F27*1000/SCAP</f>
        <v>52</v>
      </c>
      <c r="N16" s="188">
        <f ca="1">IF(OtherData2!O27&lt;&gt;"",IF(OR(OtherData2!O27&gt;0,SUM(L16)&gt;0),OtherData2!O27/SCAP,""),"")</f>
        <v>20</v>
      </c>
      <c r="O16" s="189">
        <f ca="1">IF(OtherData2!P27&lt;&gt;"",IF(OR(OtherData2!P27&gt;0,SUM(M16)&gt;0),OtherData2!P27/SCAP,""),"")</f>
        <v>100</v>
      </c>
      <c r="P16" s="189">
        <f ca="1">IF(OtherData2!Q27&lt;&gt;"",IF(OR(OtherData2!Q27&gt;0,SUM(O16)&gt;0),OtherData2!Q27/SCAP,""),"")</f>
        <v>100</v>
      </c>
      <c r="Q16" s="189">
        <f ca="1">IF(OtherData2!R27&lt;&gt;"",IF(OR(OtherData2!R27&gt;0,SUM(P16)&gt;0),OtherData2!R27/SCAP,""),"")</f>
        <v>100</v>
      </c>
      <c r="R16" s="189">
        <f ca="1">IF(OtherData2!S27&lt;&gt;"",IF(OR(OtherData2!S27&gt;0,SUM(Q16)&gt;0),OtherData2!S27/SCAP,""),"")</f>
        <v>70</v>
      </c>
      <c r="S16" s="189">
        <f ca="1">IF(OtherData2!T27&lt;&gt;"",IF(OR(OtherData2!T27&gt;0,SUM(R16)&gt;0),OtherData2!T27/SCAP,""),"")</f>
        <v>50</v>
      </c>
      <c r="T16" s="189">
        <f ca="1">IF(OtherData2!U27&lt;&gt;"",IF(OR(OtherData2!U27&gt;0,SUM(S16)&gt;0),OtherData2!U27/SCAP,""),"")</f>
        <v>0</v>
      </c>
      <c r="U16" s="189" t="str">
        <f ca="1">IF(OtherData2!V27&lt;&gt;"",IF(OR(OtherData2!V27&gt;0,SUM(T16)&gt;0),OtherData2!V27/SCAP,""),"")</f>
        <v/>
      </c>
      <c r="V16" s="335">
        <f t="shared" si="2"/>
        <v>3.1536000000000002E-2</v>
      </c>
      <c r="W16" s="162">
        <v>0.1</v>
      </c>
      <c r="X16" s="6"/>
      <c r="Y16" s="6"/>
      <c r="Z16" s="6"/>
      <c r="AA16" s="6"/>
      <c r="AC16" s="257"/>
      <c r="AD16" s="257"/>
      <c r="AE16" s="257"/>
      <c r="AF16" s="257"/>
      <c r="AG16" s="257"/>
      <c r="AH16" s="257"/>
      <c r="AI16" s="257"/>
    </row>
    <row r="17" spans="2:35" ht="12.95" customHeight="1">
      <c r="B17" s="6" t="s">
        <v>545</v>
      </c>
      <c r="C17" s="6" t="s">
        <v>546</v>
      </c>
      <c r="D17" s="6" t="s">
        <v>171</v>
      </c>
      <c r="E17" s="6" t="s">
        <v>198</v>
      </c>
      <c r="F17" s="142"/>
      <c r="G17" s="142"/>
      <c r="H17" s="142"/>
      <c r="I17" s="142"/>
      <c r="J17" s="142"/>
      <c r="K17" s="142"/>
      <c r="L17" s="189">
        <f ca="1">OtherData2!E28*1000/SCAP</f>
        <v>0.5</v>
      </c>
      <c r="M17" s="189">
        <f ca="1">OtherData2!F28*1000/SCAP</f>
        <v>1.8</v>
      </c>
      <c r="N17" s="188">
        <f ca="1">IF(OtherData2!O28&lt;&gt;"",IF(OR(OtherData2!O28&gt;0,SUM(L17)&gt;0),OtherData2!O28/SCAP,""),"")</f>
        <v>1</v>
      </c>
      <c r="O17" s="189">
        <f ca="1">IF(OtherData2!P28&lt;&gt;"",IF(OR(OtherData2!P28&gt;0,SUM(M17)&gt;0),OtherData2!P28/SCAP,""),"")</f>
        <v>3</v>
      </c>
      <c r="P17" s="189">
        <f ca="1">IF(OtherData2!Q28&lt;&gt;"",IF(OR(OtherData2!Q28&gt;0,SUM(O17)&gt;0),OtherData2!Q28/SCAP,""),"")</f>
        <v>9</v>
      </c>
      <c r="Q17" s="189">
        <f ca="1">IF(OtherData2!R28&lt;&gt;"",IF(OR(OtherData2!R28&gt;0,SUM(P17)&gt;0),OtherData2!R28/SCAP,""),"")</f>
        <v>27</v>
      </c>
      <c r="R17" s="189">
        <f ca="1">IF(OtherData2!S28&lt;&gt;"",IF(OR(OtherData2!S28&gt;0,SUM(Q17)&gt;0),OtherData2!S28/SCAP,""),"")</f>
        <v>0</v>
      </c>
      <c r="S17" s="189" t="str">
        <f ca="1">IF(OtherData2!T28&lt;&gt;"",IF(OR(OtherData2!T28&gt;0,SUM(R17)&gt;0),OtherData2!T28/SCAP,""),"")</f>
        <v/>
      </c>
      <c r="T17" s="6"/>
      <c r="U17" s="6"/>
      <c r="V17" s="335">
        <f t="shared" si="2"/>
        <v>3.1536000000000002E-2</v>
      </c>
      <c r="W17" s="162">
        <v>0.5</v>
      </c>
      <c r="X17" s="6"/>
      <c r="Y17" s="6"/>
      <c r="Z17" s="6"/>
      <c r="AA17" s="6"/>
      <c r="AC17" s="257"/>
      <c r="AD17" s="257"/>
      <c r="AE17" s="257"/>
      <c r="AF17" s="257"/>
      <c r="AG17" s="257"/>
      <c r="AH17" s="257"/>
      <c r="AI17" s="257"/>
    </row>
    <row r="18" spans="2:35" ht="12.95" customHeight="1">
      <c r="B18" s="257" t="s">
        <v>59</v>
      </c>
      <c r="C18" s="257"/>
      <c r="D18" s="257"/>
      <c r="E18" s="257"/>
      <c r="F18" s="257"/>
      <c r="G18" s="257"/>
      <c r="H18" s="257"/>
      <c r="I18" s="257"/>
      <c r="J18" s="257"/>
      <c r="K18" s="257"/>
      <c r="L18" s="257"/>
      <c r="M18" s="257"/>
      <c r="N18" s="181"/>
      <c r="O18" s="257"/>
      <c r="P18" s="257"/>
      <c r="Q18" s="257"/>
      <c r="R18" s="257"/>
      <c r="S18" s="257"/>
      <c r="T18" s="257"/>
      <c r="U18" s="257"/>
      <c r="V18" s="337"/>
      <c r="W18" s="182"/>
      <c r="X18" s="257"/>
      <c r="Y18" s="257"/>
      <c r="Z18" s="257"/>
      <c r="AA18" s="257"/>
      <c r="AC18" s="257"/>
      <c r="AD18" s="257"/>
      <c r="AE18" s="257"/>
      <c r="AF18" s="257"/>
      <c r="AG18" s="257"/>
      <c r="AH18" s="257"/>
      <c r="AI18" s="257"/>
    </row>
    <row r="19" spans="2:35" ht="12.95" customHeight="1">
      <c r="B19" s="6" t="s">
        <v>493</v>
      </c>
      <c r="C19" s="6" t="str">
        <f>"CHP: Existing " &amp;MID(B19,4,3)&amp; "-based capacity"</f>
        <v>CHP: Existing GEO-based capacity</v>
      </c>
      <c r="D19" s="6" t="s">
        <v>170</v>
      </c>
      <c r="E19" s="6" t="s">
        <v>198</v>
      </c>
      <c r="F19" s="6">
        <v>0.95</v>
      </c>
      <c r="G19" s="216">
        <f ca="1">OtherData2!C39/(1+AD19)^ECAP</f>
        <v>0.8910891089108911</v>
      </c>
      <c r="H19" s="216">
        <f ca="1">OtherData2!D39/(1+AE19)^ECAP</f>
        <v>0.8910891089108911</v>
      </c>
      <c r="I19" s="254">
        <f ca="1">OtherData2!G39</f>
        <v>0.55000000000000004</v>
      </c>
      <c r="J19" s="254">
        <f ca="1">OtherData2!H39</f>
        <v>0.55000000000000004</v>
      </c>
      <c r="K19" s="142"/>
      <c r="L19" s="252">
        <f ca="1">OtherData2!E39</f>
        <v>0</v>
      </c>
      <c r="M19" s="252">
        <f ca="1">OtherData2!F39</f>
        <v>0</v>
      </c>
      <c r="N19" s="181">
        <f ca="1">OtherData2!E39</f>
        <v>0</v>
      </c>
      <c r="O19" s="252">
        <f ca="1">M19</f>
        <v>0</v>
      </c>
      <c r="P19" s="252">
        <f ca="1">O19</f>
        <v>0</v>
      </c>
      <c r="Q19" s="252">
        <f ca="1">P19</f>
        <v>0</v>
      </c>
      <c r="R19" s="252" t="str">
        <f ca="1">IF($M19&gt;0,Q19,"")</f>
        <v/>
      </c>
      <c r="S19" s="252"/>
      <c r="T19" s="252"/>
      <c r="U19" s="252"/>
      <c r="V19" s="335">
        <f>3.6*8.76*V$1</f>
        <v>3.1536000000000002E-2</v>
      </c>
      <c r="W19" s="162">
        <v>1</v>
      </c>
      <c r="X19" s="339">
        <f t="shared" ref="X19:Y23" ca="1" si="3">IF($AH19&gt;2,MAX($AH19,AF19*AD19/(1+AD19)/MAX(0.01,$AI19-AF19/(1+AD19)))^IF(ECAP,-1,1),IF(ECAP,0,1))*SIGN(-ECAP)</f>
        <v>0</v>
      </c>
      <c r="Y19" s="339">
        <f t="shared" ca="1" si="3"/>
        <v>0</v>
      </c>
      <c r="Z19" s="6"/>
      <c r="AA19" s="6"/>
      <c r="AC19" s="257"/>
      <c r="AD19" s="349">
        <f ca="1">OtherData2!I39</f>
        <v>0.01</v>
      </c>
      <c r="AE19" s="349">
        <f ca="1">OtherData2!J39</f>
        <v>0.01</v>
      </c>
      <c r="AF19" s="351"/>
      <c r="AG19" s="351"/>
      <c r="AH19" s="135"/>
      <c r="AI19" s="182"/>
    </row>
    <row r="20" spans="2:35" ht="12.95" customHeight="1">
      <c r="B20" s="6" t="s">
        <v>653</v>
      </c>
      <c r="C20" s="6" t="str">
        <f>"CHP: Existing " &amp;MID(B20,4,3)&amp; "-based capacity"</f>
        <v>CHP: Existing BMU-based capacity</v>
      </c>
      <c r="D20" s="6" t="s">
        <v>134</v>
      </c>
      <c r="E20" s="6" t="s">
        <v>198</v>
      </c>
      <c r="F20" s="6">
        <v>0.95</v>
      </c>
      <c r="G20" s="216">
        <f ca="1">OtherData2!C38/(1+AD20)^ECAP</f>
        <v>0.32245921880046213</v>
      </c>
      <c r="H20" s="216">
        <f ca="1">OtherData2!D38/(1+AE20)^ECAP</f>
        <v>0.32617631683512605</v>
      </c>
      <c r="I20" s="254">
        <f ca="1">OtherData2!G38*1.01</f>
        <v>1.4200128111020477E-3</v>
      </c>
      <c r="J20" s="254">
        <f ca="1">OtherData2!H38*1</f>
        <v>0.36334382680934679</v>
      </c>
      <c r="K20" s="261">
        <v>0.65400000000000003</v>
      </c>
      <c r="L20" s="189">
        <f ca="1">OtherData2!C145/(1+AD20)^ECAP</f>
        <v>80</v>
      </c>
      <c r="M20" s="189">
        <f ca="1">OtherData2!D145/(1+AE20)^ECAP</f>
        <v>80</v>
      </c>
      <c r="N20" s="188">
        <f ca="1">M20</f>
        <v>80</v>
      </c>
      <c r="O20" s="189">
        <f ca="1">IF(SUM(N20),OtherData2!F145/OtherData2!$D145*$M20,"")</f>
        <v>80.000000000000014</v>
      </c>
      <c r="P20" s="189">
        <f ca="1">IF(SUM(O20),OtherData2!G145/OtherData2!$D145*$M20,"")</f>
        <v>80.000000000000014</v>
      </c>
      <c r="Q20" s="189">
        <f ca="1">IF(SUM(P20),OtherData2!H145/OtherData2!$D145*$M20,"")</f>
        <v>80.000000000000014</v>
      </c>
      <c r="R20" s="189">
        <f ca="1">IF(SUM(Q20),OtherData2!I145/OtherData2!$D145*$M20,"")</f>
        <v>80.000000000000014</v>
      </c>
      <c r="S20" s="189">
        <f ca="1">IF(SUM(R20),OtherData2!J145/OtherData2!$D145*$M20,"")</f>
        <v>80.000000000000014</v>
      </c>
      <c r="T20" s="254"/>
      <c r="U20" s="6"/>
      <c r="V20" s="335">
        <f>3.6*8.76*V$1</f>
        <v>3.1536000000000002E-2</v>
      </c>
      <c r="W20" s="162">
        <v>1</v>
      </c>
      <c r="X20" s="339">
        <f t="shared" ca="1" si="3"/>
        <v>0</v>
      </c>
      <c r="Y20" s="339">
        <f t="shared" ca="1" si="3"/>
        <v>0</v>
      </c>
      <c r="Z20" s="6"/>
      <c r="AA20" s="6"/>
      <c r="AC20" s="257"/>
      <c r="AD20" s="349">
        <f ca="1">OtherData2!I$38</f>
        <v>1.8</v>
      </c>
      <c r="AE20" s="349">
        <f ca="1">OtherData2!J$38</f>
        <v>1.8</v>
      </c>
      <c r="AF20" s="351">
        <f ca="1">OtherData2!C38</f>
        <v>0.90288581264129386</v>
      </c>
      <c r="AG20" s="351">
        <f ca="1">OtherData2!D38</f>
        <v>0.91329368713835291</v>
      </c>
      <c r="AH20" s="135">
        <v>1</v>
      </c>
      <c r="AI20" s="182"/>
    </row>
    <row r="21" spans="2:35" ht="12.95" customHeight="1">
      <c r="B21" s="6" t="s">
        <v>654</v>
      </c>
      <c r="C21" s="6" t="str">
        <f>"CHP: Existing " &amp;MID(B21,4,3)&amp; "-based capacity"</f>
        <v>CHP: Existing BMU-based capacity</v>
      </c>
      <c r="D21" s="6" t="s">
        <v>134</v>
      </c>
      <c r="E21" s="6" t="s">
        <v>198</v>
      </c>
      <c r="F21" s="6">
        <f t="shared" ref="F21:K23" si="4">F$20</f>
        <v>0.95</v>
      </c>
      <c r="G21" s="215">
        <f t="shared" si="4"/>
        <v>0.32245921880046213</v>
      </c>
      <c r="H21" s="215">
        <f t="shared" si="4"/>
        <v>0.32617631683512605</v>
      </c>
      <c r="I21" s="254">
        <f t="shared" ca="1" si="4"/>
        <v>1.4200128111020477E-3</v>
      </c>
      <c r="J21" s="254">
        <f t="shared" ca="1" si="4"/>
        <v>0.36334382680934679</v>
      </c>
      <c r="K21" s="261">
        <f t="shared" si="4"/>
        <v>0.65400000000000003</v>
      </c>
      <c r="L21" s="189">
        <f ca="1">OtherData2!C146/(1+AD21)^ECAP</f>
        <v>0</v>
      </c>
      <c r="M21" s="189">
        <f ca="1">OtherData2!D146/(1+AE21)^ECAP</f>
        <v>0</v>
      </c>
      <c r="N21" s="188">
        <f ca="1">M21</f>
        <v>0</v>
      </c>
      <c r="O21" s="189" t="str">
        <f ca="1">IF(SUM(N21),OtherData2!F146/OtherData2!$D146*$M21,"")</f>
        <v/>
      </c>
      <c r="P21" s="189" t="str">
        <f ca="1">IF(SUM(O21),OtherData2!G146/OtherData2!$D146*$M21,"")</f>
        <v/>
      </c>
      <c r="Q21" s="189" t="str">
        <f ca="1">IF(SUM(P21),OtherData2!H146/OtherData2!$D146*$M21,"")</f>
        <v/>
      </c>
      <c r="R21" s="189" t="str">
        <f ca="1">IF(SUM(Q21),OtherData2!I146/OtherData2!$D146*$M21,"")</f>
        <v/>
      </c>
      <c r="S21" s="189" t="str">
        <f ca="1">IF(SUM(R21),OtherData2!J146/OtherData2!$D146*$M21,"")</f>
        <v/>
      </c>
      <c r="T21" s="254"/>
      <c r="U21" s="6"/>
      <c r="V21" s="335">
        <f>3.6*8.76*V$1</f>
        <v>3.1536000000000002E-2</v>
      </c>
      <c r="W21" s="162">
        <v>1</v>
      </c>
      <c r="X21" s="339">
        <f t="shared" ca="1" si="3"/>
        <v>0</v>
      </c>
      <c r="Y21" s="339">
        <f t="shared" ca="1" si="3"/>
        <v>0</v>
      </c>
      <c r="Z21" s="6"/>
      <c r="AA21" s="6"/>
      <c r="AC21" s="257"/>
      <c r="AD21" s="349">
        <f ca="1">OtherData2!I$38</f>
        <v>1.8</v>
      </c>
      <c r="AE21" s="349">
        <f ca="1">OtherData2!J$38</f>
        <v>1.8</v>
      </c>
      <c r="AF21" s="351">
        <f t="shared" ref="AF21:AG23" si="5">AF$20</f>
        <v>0.90288581264129386</v>
      </c>
      <c r="AG21" s="351">
        <f t="shared" si="5"/>
        <v>0.91329368713835291</v>
      </c>
      <c r="AH21" s="135">
        <v>1</v>
      </c>
      <c r="AI21" s="182"/>
    </row>
    <row r="22" spans="2:35" ht="12.95" customHeight="1">
      <c r="B22" s="6" t="s">
        <v>655</v>
      </c>
      <c r="C22" s="6" t="str">
        <f>"CHP: Existing " &amp;MID(B22,4,3)&amp; "-based capacity"</f>
        <v>CHP: Existing BMU-based capacity</v>
      </c>
      <c r="D22" s="6" t="s">
        <v>134</v>
      </c>
      <c r="E22" s="6" t="s">
        <v>198</v>
      </c>
      <c r="F22" s="6">
        <f t="shared" si="4"/>
        <v>0.95</v>
      </c>
      <c r="G22" s="215">
        <f t="shared" si="4"/>
        <v>0.32245921880046213</v>
      </c>
      <c r="H22" s="215">
        <f t="shared" si="4"/>
        <v>0.32617631683512605</v>
      </c>
      <c r="I22" s="254">
        <f t="shared" ca="1" si="4"/>
        <v>1.4200128111020477E-3</v>
      </c>
      <c r="J22" s="254">
        <f t="shared" ca="1" si="4"/>
        <v>0.36334382680934679</v>
      </c>
      <c r="K22" s="261">
        <f t="shared" si="4"/>
        <v>0.65400000000000003</v>
      </c>
      <c r="L22" s="189">
        <f ca="1">OtherData2!C147/(1+AD22)^ECAP</f>
        <v>0</v>
      </c>
      <c r="M22" s="189">
        <f ca="1">OtherData2!D147/(1+AE22)^ECAP</f>
        <v>0</v>
      </c>
      <c r="N22" s="188">
        <f ca="1">M22</f>
        <v>0</v>
      </c>
      <c r="O22" s="189" t="str">
        <f ca="1">IF(SUM(N22),OtherData2!F147/OtherData2!$D147*$M22,"")</f>
        <v/>
      </c>
      <c r="P22" s="189" t="str">
        <f ca="1">IF(SUM(O22),OtherData2!G147/OtherData2!$D147*$M22,"")</f>
        <v/>
      </c>
      <c r="Q22" s="189" t="str">
        <f ca="1">IF(SUM(P22),OtherData2!H147/OtherData2!$D147*$M22,"")</f>
        <v/>
      </c>
      <c r="R22" s="189" t="str">
        <f ca="1">IF(SUM(Q22),OtherData2!I147/OtherData2!$D147*$M22,"")</f>
        <v/>
      </c>
      <c r="S22" s="189" t="str">
        <f ca="1">IF(SUM(R22),OtherData2!J147/OtherData2!$D147*$M22,"")</f>
        <v/>
      </c>
      <c r="T22" s="254"/>
      <c r="U22" s="6"/>
      <c r="V22" s="335">
        <f>3.6*8.76*V$1</f>
        <v>3.1536000000000002E-2</v>
      </c>
      <c r="W22" s="162">
        <v>1</v>
      </c>
      <c r="X22" s="339">
        <f t="shared" ca="1" si="3"/>
        <v>0</v>
      </c>
      <c r="Y22" s="339">
        <f t="shared" ca="1" si="3"/>
        <v>0</v>
      </c>
      <c r="Z22" s="6"/>
      <c r="AA22" s="6"/>
      <c r="AC22" s="257"/>
      <c r="AD22" s="349">
        <f ca="1">OtherData2!I$38</f>
        <v>1.8</v>
      </c>
      <c r="AE22" s="349">
        <f ca="1">OtherData2!J$38</f>
        <v>1.8</v>
      </c>
      <c r="AF22" s="351">
        <f t="shared" si="5"/>
        <v>0.90288581264129386</v>
      </c>
      <c r="AG22" s="351">
        <f t="shared" si="5"/>
        <v>0.91329368713835291</v>
      </c>
      <c r="AH22" s="135">
        <v>1</v>
      </c>
      <c r="AI22" s="182"/>
    </row>
    <row r="23" spans="2:35">
      <c r="B23" s="6" t="s">
        <v>656</v>
      </c>
      <c r="C23" s="6" t="str">
        <f>"CHP: Existing " &amp;MID(B23,4,3)&amp; "-based capacity"</f>
        <v>CHP: Existing BMU-based capacity</v>
      </c>
      <c r="D23" s="6" t="s">
        <v>134</v>
      </c>
      <c r="E23" s="6" t="s">
        <v>198</v>
      </c>
      <c r="F23" s="6">
        <f t="shared" si="4"/>
        <v>0.95</v>
      </c>
      <c r="G23" s="215">
        <f t="shared" si="4"/>
        <v>0.32245921880046213</v>
      </c>
      <c r="H23" s="215">
        <f t="shared" si="4"/>
        <v>0.32617631683512605</v>
      </c>
      <c r="I23" s="254">
        <f t="shared" ca="1" si="4"/>
        <v>1.4200128111020477E-3</v>
      </c>
      <c r="J23" s="254">
        <f t="shared" ca="1" si="4"/>
        <v>0.36334382680934679</v>
      </c>
      <c r="K23" s="261">
        <f t="shared" si="4"/>
        <v>0.65400000000000003</v>
      </c>
      <c r="L23" s="189">
        <f ca="1">OtherData2!C148/(1+AD23)^ECAP</f>
        <v>0</v>
      </c>
      <c r="M23" s="189">
        <f ca="1">OtherData2!D148/(1+AE23)^ECAP</f>
        <v>0</v>
      </c>
      <c r="N23" s="188">
        <f ca="1">M23</f>
        <v>0</v>
      </c>
      <c r="O23" s="189" t="str">
        <f ca="1">IF(SUM(N23),OtherData2!F148/OtherData2!$D148*$M23,"")</f>
        <v/>
      </c>
      <c r="P23" s="189" t="str">
        <f ca="1">IF(SUM(O23),OtherData2!G148/OtherData2!$D148*$M23,"")</f>
        <v/>
      </c>
      <c r="Q23" s="189" t="str">
        <f ca="1">IF(SUM(P23),OtherData2!H148/OtherData2!$D148*$M23,"")</f>
        <v/>
      </c>
      <c r="R23" s="189" t="str">
        <f ca="1">IF(SUM(Q23),OtherData2!I148/OtherData2!$D148*$M23,"")</f>
        <v/>
      </c>
      <c r="S23" s="189" t="str">
        <f ca="1">IF(SUM(R23),OtherData2!J148/OtherData2!$D148*$M23,"")</f>
        <v/>
      </c>
      <c r="T23" s="254"/>
      <c r="U23" s="6"/>
      <c r="V23" s="335">
        <f>3.6*8.76*V$1</f>
        <v>3.1536000000000002E-2</v>
      </c>
      <c r="W23" s="162">
        <v>1</v>
      </c>
      <c r="X23" s="339">
        <f t="shared" ca="1" si="3"/>
        <v>0</v>
      </c>
      <c r="Y23" s="339">
        <f t="shared" ca="1" si="3"/>
        <v>0</v>
      </c>
      <c r="Z23" s="6"/>
      <c r="AA23" s="6"/>
      <c r="AC23" s="257"/>
      <c r="AD23" s="349">
        <f ca="1">OtherData2!I$38</f>
        <v>1.8</v>
      </c>
      <c r="AE23" s="349">
        <f ca="1">OtherData2!J$38</f>
        <v>1.8</v>
      </c>
      <c r="AF23" s="351">
        <f t="shared" si="5"/>
        <v>0.90288581264129386</v>
      </c>
      <c r="AG23" s="351">
        <f t="shared" si="5"/>
        <v>0.91329368713835291</v>
      </c>
      <c r="AH23" s="135">
        <v>1</v>
      </c>
      <c r="AI23" s="182"/>
    </row>
    <row r="24" spans="2:35" ht="12.95" customHeight="1">
      <c r="B24" s="257" t="s">
        <v>59</v>
      </c>
      <c r="C24" s="257"/>
      <c r="D24" s="257"/>
      <c r="E24" s="257"/>
      <c r="F24" s="257"/>
      <c r="G24" s="257"/>
      <c r="H24" s="257"/>
      <c r="I24" s="257"/>
      <c r="J24" s="257"/>
      <c r="K24" s="257"/>
      <c r="L24" s="257"/>
      <c r="M24" s="257"/>
      <c r="N24" s="181"/>
      <c r="O24" s="257"/>
      <c r="P24" s="257"/>
      <c r="Q24" s="257"/>
      <c r="R24" s="257"/>
      <c r="S24" s="257"/>
      <c r="T24" s="257"/>
      <c r="U24" s="257"/>
      <c r="V24" s="337"/>
      <c r="W24" s="257"/>
      <c r="X24" s="257"/>
      <c r="Y24" s="257"/>
      <c r="Z24" s="257"/>
      <c r="AA24" s="257"/>
      <c r="AC24" s="257"/>
      <c r="AD24" s="257"/>
      <c r="AE24" s="257"/>
      <c r="AF24" s="257"/>
      <c r="AG24" s="257"/>
      <c r="AH24" s="182"/>
      <c r="AI24" s="182"/>
    </row>
    <row r="25" spans="2:35" ht="12.95" customHeight="1">
      <c r="B25" s="6" t="s">
        <v>494</v>
      </c>
      <c r="C25" s="6" t="str">
        <f>"CHP: Existing " &amp;MID(B25,4,3)&amp; "-based capacity"</f>
        <v>CHP: Existing OIL-based capacity</v>
      </c>
      <c r="D25" s="6" t="s">
        <v>56</v>
      </c>
      <c r="E25" s="6" t="s">
        <v>198</v>
      </c>
      <c r="F25" s="6">
        <v>0.95</v>
      </c>
      <c r="G25" s="216">
        <f t="shared" ref="G25:H29" ca="1" si="6">MAX(IF($AH25&gt;2,$AG$1),AF25)/(AD25+1)^ECAP</f>
        <v>0.31365045281003839</v>
      </c>
      <c r="H25" s="216">
        <f t="shared" ca="1" si="6"/>
        <v>0.30487802163303906</v>
      </c>
      <c r="I25" s="254">
        <f ca="1">OtherData2!K124</f>
        <v>0.39506704900565398</v>
      </c>
      <c r="J25" s="254">
        <f ca="1">OtherData2!L124</f>
        <v>0.49096468636495066</v>
      </c>
      <c r="K25" s="254">
        <f ca="1">MAX(J25,OtherData2!G33)</f>
        <v>0.5</v>
      </c>
      <c r="L25" s="189">
        <f ca="1">OtherData2!C124/(AD25+1)^ECAP</f>
        <v>39.565023543992083</v>
      </c>
      <c r="M25" s="189">
        <f ca="1">OtherData2!D124/(AE25+1)^ECAP</f>
        <v>2.1762567501779402</v>
      </c>
      <c r="N25" s="188">
        <f ca="1">IF(SUM(M25)&gt;0,OtherData2!E124*$M25,"")</f>
        <v>0</v>
      </c>
      <c r="O25" s="189">
        <f ca="1">IF(SUM(M25)&gt;0,OtherData2!F124*$M25,"")</f>
        <v>0</v>
      </c>
      <c r="P25" s="189" t="str">
        <f ca="1">IF(SUM(O25)&gt;0,OtherData2!G124*$M25,"")</f>
        <v/>
      </c>
      <c r="Q25" s="189" t="str">
        <f ca="1">IF(SUM(P25)&gt;0,OtherData2!H124*$M25,"")</f>
        <v/>
      </c>
      <c r="R25" s="189" t="str">
        <f ca="1">IF(SUM(Q25)&gt;0,OtherData2!I124*$M25,"")</f>
        <v/>
      </c>
      <c r="S25" s="189" t="str">
        <f ca="1">IF(SUM(R25)&gt;0,OtherData2!K124*$M25,"")</f>
        <v/>
      </c>
      <c r="T25" s="189"/>
      <c r="U25" s="252"/>
      <c r="V25" s="335">
        <f>3.6*8.76*V$1</f>
        <v>3.1536000000000002E-2</v>
      </c>
      <c r="W25" s="162">
        <v>1</v>
      </c>
      <c r="X25" s="254">
        <f t="shared" ref="X25:Y29" ca="1" si="7">IF($AH25&gt;2,MAX($AH25,AF25*AD25/(1+AD25)/MAX(0.01,$AI25-AF25/(1+AD25)))^IF(ECAP,-1,1),IF(ECAP,0,1))*SIGN(-ECAP)</f>
        <v>0</v>
      </c>
      <c r="Y25" s="254">
        <f t="shared" ca="1" si="7"/>
        <v>0</v>
      </c>
      <c r="Z25" s="252" t="str">
        <f>IF(Y25&lt;0,1/K25/(1+AE25*ABS(Y25)),T(0))</f>
        <v/>
      </c>
      <c r="AA25" s="252" t="str">
        <f>IF(SUM(Z25),5,"")</f>
        <v/>
      </c>
      <c r="AC25" s="135">
        <v>1</v>
      </c>
      <c r="AD25" s="350">
        <f ca="1">MIN(OFFSET(OtherData2!$C$52,$AC25,MID($B25,8,1)*1),AG25/0.1-1)</f>
        <v>1.7142462611993099</v>
      </c>
      <c r="AE25" s="350">
        <f ca="1">OFFSET(OtherData2!$C$82,$AC25,MID($B25,8,1)*1)</f>
        <v>1.8856691471314526</v>
      </c>
      <c r="AF25" s="351">
        <f ca="1">OtherData2!C33</f>
        <v>0.85132456886311736</v>
      </c>
      <c r="AG25" s="351">
        <f ca="1">OtherData2!D33</f>
        <v>0.87977710066493653</v>
      </c>
      <c r="AH25" s="135">
        <v>1</v>
      </c>
      <c r="AI25" s="135"/>
    </row>
    <row r="26" spans="2:35" ht="12.95" customHeight="1">
      <c r="B26" s="6" t="s">
        <v>495</v>
      </c>
      <c r="C26" s="6" t="str">
        <f>"CHP: Existing " &amp;MID(B26,4,3)&amp; "-based capacity"</f>
        <v>CHP: Existing GAS-based capacity</v>
      </c>
      <c r="D26" s="6" t="s">
        <v>151</v>
      </c>
      <c r="E26" s="6" t="s">
        <v>198</v>
      </c>
      <c r="F26" s="6">
        <v>0.95</v>
      </c>
      <c r="G26" s="216">
        <f t="shared" ca="1" si="6"/>
        <v>0.4440312625144982</v>
      </c>
      <c r="H26" s="216">
        <f t="shared" ca="1" si="6"/>
        <v>0.40996026413474868</v>
      </c>
      <c r="I26" s="254">
        <f ca="1">OtherData2!K125</f>
        <v>0.67384406894073778</v>
      </c>
      <c r="J26" s="254">
        <f ca="1">OtherData2!L125</f>
        <v>0.2342667283850863</v>
      </c>
      <c r="K26" s="254">
        <f ca="1">MAX(J26,OtherData2!G34)</f>
        <v>0.55000000000000004</v>
      </c>
      <c r="L26" s="189">
        <f ca="1">OtherData2!C125/(AD26+1)^ECAP</f>
        <v>1058.5844081626883</v>
      </c>
      <c r="M26" s="189">
        <f ca="1">OtherData2!D125/(AE26+1)^ECAP</f>
        <v>921.23251611457408</v>
      </c>
      <c r="N26" s="188">
        <f ca="1">IF(SUM(M26)&gt;0,OtherData2!E125*$M26,"")</f>
        <v>921.23251611457408</v>
      </c>
      <c r="O26" s="189">
        <f ca="1">IF(SUM(M26)&gt;0,OtherData2!F125*$M26,"")</f>
        <v>921.23251611457408</v>
      </c>
      <c r="P26" s="189">
        <f ca="1">IF(SUM(O26)&gt;0,OtherData2!G125*$M26,"")</f>
        <v>921.23251611457408</v>
      </c>
      <c r="Q26" s="189">
        <f ca="1">IF(SUM(P26)&gt;0,OtherData2!H125*$M26,"")</f>
        <v>804.97329630278693</v>
      </c>
      <c r="R26" s="189">
        <f ca="1">IF(SUM(Q26)&gt;0,OtherData2!I125*$M26,"")</f>
        <v>380.93858710924241</v>
      </c>
      <c r="S26" s="189">
        <f ca="1">IF(SUM(R26)&gt;0,OtherData2!J125*$M26,"")</f>
        <v>0</v>
      </c>
      <c r="T26" s="189"/>
      <c r="U26" s="252"/>
      <c r="V26" s="335">
        <f>3.6*8.76*V$1</f>
        <v>3.1536000000000002E-2</v>
      </c>
      <c r="W26" s="162">
        <v>1</v>
      </c>
      <c r="X26" s="254">
        <f t="shared" ca="1" si="7"/>
        <v>-0.1</v>
      </c>
      <c r="Y26" s="254">
        <f t="shared" ca="1" si="7"/>
        <v>-0.1</v>
      </c>
      <c r="Z26" s="265">
        <f ca="1">IF(Y26&lt;0,1/K26/(1+AE26*ABS(Y26)),T(0))</f>
        <v>1.6282231228144373</v>
      </c>
      <c r="AA26" s="339">
        <f ca="1">IF(SUM(Z26),5,"")</f>
        <v>5</v>
      </c>
      <c r="AC26" s="135">
        <v>2</v>
      </c>
      <c r="AD26" s="350">
        <f ca="1">MIN(OFFSET(OtherData2!$C$52,$AC26,MID($B26,8,1)*1),AG26/0.1-1)</f>
        <v>1.0073977886073491</v>
      </c>
      <c r="AE26" s="350">
        <f ca="1">OFFSET(OtherData2!$C$82,$AC26,MID($B26,8,1)*1)</f>
        <v>1.166662558132888</v>
      </c>
      <c r="AF26" s="351">
        <f ca="1">OtherData2!C34</f>
        <v>0.89134737444413303</v>
      </c>
      <c r="AG26" s="351">
        <f ca="1">OtherData2!D34</f>
        <v>0.88824555462302901</v>
      </c>
      <c r="AH26" s="135">
        <v>10</v>
      </c>
      <c r="AI26" s="135">
        <v>0.52</v>
      </c>
    </row>
    <row r="27" spans="2:35" ht="12.95" customHeight="1">
      <c r="B27" s="6" t="s">
        <v>496</v>
      </c>
      <c r="C27" s="6" t="str">
        <f>"CHP: Existing " &amp;MID(B27,4,3)&amp; "-based capacity"</f>
        <v>CHP: Existing COA-based capacity</v>
      </c>
      <c r="D27" s="6" t="s">
        <v>169</v>
      </c>
      <c r="E27" s="6" t="s">
        <v>198</v>
      </c>
      <c r="F27" s="6">
        <v>0.95</v>
      </c>
      <c r="G27" s="216">
        <f t="shared" ca="1" si="6"/>
        <v>0.29855260175334231</v>
      </c>
      <c r="H27" s="216">
        <f t="shared" ca="1" si="6"/>
        <v>0.27564433814819572</v>
      </c>
      <c r="I27" s="254">
        <f ca="1">OtherData2!K126</f>
        <v>0.4222677316131429</v>
      </c>
      <c r="J27" s="254">
        <f ca="1">OtherData2!L126</f>
        <v>0.64203074370801227</v>
      </c>
      <c r="K27" s="254">
        <f ca="1">MAX(J27,OtherData2!G35)</f>
        <v>0.64203074370801227</v>
      </c>
      <c r="L27" s="189">
        <f ca="1">OtherData2!C126/(AD27+1)^ECAP</f>
        <v>551.07626548040275</v>
      </c>
      <c r="M27" s="189">
        <f ca="1">OtherData2!D126/(AE27+1)^ECAP</f>
        <v>509.56218279199646</v>
      </c>
      <c r="N27" s="188">
        <f ca="1">IF(SUM(M27)&gt;0,OtherData2!E126*$M27,"")</f>
        <v>499.89216738387404</v>
      </c>
      <c r="O27" s="189">
        <f ca="1">IF(SUM(M27)&gt;0,OtherData2!F126*$M27,"")</f>
        <v>499.89216738387404</v>
      </c>
      <c r="P27" s="189">
        <f ca="1">IF(SUM(O27)&gt;0,OtherData2!G126*$M27,"")</f>
        <v>217.34442060168439</v>
      </c>
      <c r="Q27" s="189">
        <f ca="1">IF(SUM(P27)&gt;0,OtherData2!H126*$M27,"")</f>
        <v>147.02710805408063</v>
      </c>
      <c r="R27" s="189">
        <f ca="1">IF(SUM(Q27)&gt;0,OtherData2!I126*$M27,"")</f>
        <v>0</v>
      </c>
      <c r="S27" s="189" t="str">
        <f ca="1">IF(SUM(R27)&gt;0,OtherData2!J126*$M27,"")</f>
        <v/>
      </c>
      <c r="T27" s="189"/>
      <c r="U27" s="252"/>
      <c r="V27" s="335">
        <f>3.6*8.76*V$1</f>
        <v>3.1536000000000002E-2</v>
      </c>
      <c r="W27" s="162">
        <v>1</v>
      </c>
      <c r="X27" s="254">
        <f t="shared" ca="1" si="7"/>
        <v>-0.14285714285714285</v>
      </c>
      <c r="Y27" s="254">
        <f t="shared" ca="1" si="7"/>
        <v>-0.14285714285714285</v>
      </c>
      <c r="Z27" s="265">
        <f ca="1">IF(Y27&lt;0,1/K27/(1+AE27*ABS(Y27)),T(0))</f>
        <v>1.1943578868233384</v>
      </c>
      <c r="AA27" s="339">
        <f ca="1">IF(SUM(Z27),5,"")</f>
        <v>5</v>
      </c>
      <c r="AC27" s="135">
        <v>3</v>
      </c>
      <c r="AD27" s="350">
        <f ca="1">MIN(OFFSET(OtherData2!$C$52,$AC27,MID($B27,8,1)*1),AG27/0.1-1)</f>
        <v>1.8380826719811227</v>
      </c>
      <c r="AE27" s="350">
        <f ca="1">OFFSET(OtherData2!$C$82,$AC27,MID($B27,8,1)*1)</f>
        <v>2.1286747463658156</v>
      </c>
      <c r="AF27" s="351">
        <f ca="1">OtherData2!C35</f>
        <v>0.84731696571104176</v>
      </c>
      <c r="AG27" s="351">
        <f ca="1">OtherData2!D35</f>
        <v>0.86240147974297932</v>
      </c>
      <c r="AH27" s="135">
        <v>7</v>
      </c>
      <c r="AI27" s="135">
        <v>0.4</v>
      </c>
    </row>
    <row r="28" spans="2:35" ht="12.95" customHeight="1">
      <c r="B28" s="6" t="s">
        <v>497</v>
      </c>
      <c r="C28" s="6" t="str">
        <f>"CHP: Existing " &amp;MID(B28,4,3)&amp; "-based capacity"</f>
        <v>CHP: Existing BCO-based capacity</v>
      </c>
      <c r="D28" s="6" t="s">
        <v>354</v>
      </c>
      <c r="E28" s="6" t="s">
        <v>198</v>
      </c>
      <c r="F28" s="6">
        <v>0.95</v>
      </c>
      <c r="G28" s="216">
        <f t="shared" ca="1" si="6"/>
        <v>0.27294429085750049</v>
      </c>
      <c r="H28" s="216">
        <f t="shared" ca="1" si="6"/>
        <v>0.29184112970299803</v>
      </c>
      <c r="I28" s="254">
        <f ca="1">OtherData2!K127</f>
        <v>0.67161398330961208</v>
      </c>
      <c r="J28" s="254">
        <f ca="1">OtherData2!L127</f>
        <v>0.83463996682041608</v>
      </c>
      <c r="K28" s="254">
        <f ca="1">MAX(J28,OtherData2!G36)</f>
        <v>0.83463996682041608</v>
      </c>
      <c r="L28" s="189">
        <f ca="1">OtherData2!C127/(AD28+1)^ECAP</f>
        <v>6.1070487086133838</v>
      </c>
      <c r="M28" s="189">
        <f ca="1">OtherData2!D127/(AE28+1)^ECAP</f>
        <v>3.5045941397511391</v>
      </c>
      <c r="N28" s="188">
        <f ca="1">IF(SUM(M28)&gt;0,OtherData2!E127*$M28,"")</f>
        <v>0</v>
      </c>
      <c r="O28" s="189">
        <f ca="1">IF(SUM(M28)&gt;0,OtherData2!F127*$M28,"")</f>
        <v>3.5045941397511391</v>
      </c>
      <c r="P28" s="189">
        <f ca="1">IF(SUM(O28)&gt;0,OtherData2!G127*$M28,"")</f>
        <v>3.5045941397511391</v>
      </c>
      <c r="Q28" s="189">
        <f ca="1">IF(SUM(P28)&gt;0,OtherData2!H127*$M28,"")</f>
        <v>3.5045941397511391</v>
      </c>
      <c r="R28" s="189">
        <f ca="1">IF(SUM(Q28)&gt;0,OtherData2!I127*$M28,"")</f>
        <v>3.5045941397511391</v>
      </c>
      <c r="S28" s="189">
        <f ca="1">IF(SUM(R28)&gt;0,OtherData2!J127*$M28,"")</f>
        <v>0</v>
      </c>
      <c r="T28" s="189"/>
      <c r="U28" s="252"/>
      <c r="V28" s="335">
        <f>3.6*8.76*V$1</f>
        <v>3.1536000000000002E-2</v>
      </c>
      <c r="W28" s="162">
        <v>1</v>
      </c>
      <c r="X28" s="254">
        <f t="shared" ca="1" si="7"/>
        <v>0</v>
      </c>
      <c r="Y28" s="254">
        <f t="shared" ca="1" si="7"/>
        <v>0</v>
      </c>
      <c r="Z28" s="265" t="str">
        <f>IF(Y28&lt;0,1/K28/(1+AE28*ABS(Y28)),T(0))</f>
        <v/>
      </c>
      <c r="AA28" s="339" t="str">
        <f>IF(SUM(Z28),5,"")</f>
        <v/>
      </c>
      <c r="AC28" s="135">
        <v>4</v>
      </c>
      <c r="AD28" s="350">
        <f ca="1">MIN(OFFSET(OtherData2!$C$52,$AC28,MID($B28,8,1)*1),AG28/0.1-1)</f>
        <v>2.0303030303030298</v>
      </c>
      <c r="AE28" s="350">
        <f ca="1">OFFSET(OtherData2!$C$82,$AC28,MID($B28,8,1)*1)</f>
        <v>2.0303030303030298</v>
      </c>
      <c r="AF28" s="351">
        <f ca="1">OtherData2!C36</f>
        <v>0.82710391168939534</v>
      </c>
      <c r="AG28" s="351">
        <f ca="1">OtherData2!D36</f>
        <v>0.88436705970605445</v>
      </c>
      <c r="AH28" s="135">
        <v>1</v>
      </c>
      <c r="AI28" s="135"/>
    </row>
    <row r="29" spans="2:35" ht="12.95" customHeight="1">
      <c r="B29" s="6" t="s">
        <v>498</v>
      </c>
      <c r="C29" s="6" t="str">
        <f>"CHP: Existing " &amp;MID(B29,4,3)&amp; "-based capacity"</f>
        <v>CHP: Existing BIO-based capacity</v>
      </c>
      <c r="D29" s="6" t="s">
        <v>152</v>
      </c>
      <c r="E29" s="6" t="s">
        <v>198</v>
      </c>
      <c r="F29" s="6">
        <v>0.95</v>
      </c>
      <c r="G29" s="216">
        <f t="shared" ca="1" si="6"/>
        <v>0.24491454830515139</v>
      </c>
      <c r="H29" s="216">
        <f t="shared" ca="1" si="6"/>
        <v>0.22612199047661485</v>
      </c>
      <c r="I29" s="254">
        <f ca="1">OtherData2!K128</f>
        <v>0.13308871757605725</v>
      </c>
      <c r="J29" s="254">
        <f ca="1">OtherData2!L128</f>
        <v>0.15924083551158122</v>
      </c>
      <c r="K29" s="254">
        <f ca="1">MAX(J29,OtherData2!G37)</f>
        <v>0.55000000000000004</v>
      </c>
      <c r="L29" s="189">
        <f ca="1">OtherData2!C128/(AD29+1)^ECAP</f>
        <v>15.090980769844862</v>
      </c>
      <c r="M29" s="189">
        <f ca="1">OtherData2!D128/(AE29+1)^ECAP</f>
        <v>86.140184191296186</v>
      </c>
      <c r="N29" s="188">
        <f ca="1">IF(SUM(M29)&gt;0,OtherData2!E128*$M29,"")</f>
        <v>74.541653380210747</v>
      </c>
      <c r="O29" s="189">
        <f ca="1">IF(SUM(M29)&gt;0,OtherData2!F128*$M29,"")</f>
        <v>103.53798040792432</v>
      </c>
      <c r="P29" s="189">
        <f ca="1">IF(SUM(O29)&gt;0,OtherData2!G128*$M29,"")</f>
        <v>103.53798040792432</v>
      </c>
      <c r="Q29" s="189">
        <f ca="1">IF(SUM(P29)&gt;0,OtherData2!H128*$M29,"")</f>
        <v>103.53798040792432</v>
      </c>
      <c r="R29" s="189">
        <f ca="1">IF(SUM(Q29)&gt;0,OtherData2!I128*$M29,"")</f>
        <v>103.53798040792432</v>
      </c>
      <c r="S29" s="189">
        <f ca="1">IF(SUM(R29)&gt;0,OtherData2!J128*$M29,"")</f>
        <v>23.560838406030722</v>
      </c>
      <c r="T29" s="189"/>
      <c r="U29" s="252"/>
      <c r="V29" s="335">
        <f>3.6*8.76*V$1</f>
        <v>3.1536000000000002E-2</v>
      </c>
      <c r="W29" s="162">
        <v>1</v>
      </c>
      <c r="X29" s="254">
        <f t="shared" ca="1" si="7"/>
        <v>0</v>
      </c>
      <c r="Y29" s="254">
        <f t="shared" ca="1" si="7"/>
        <v>0</v>
      </c>
      <c r="Z29" s="265" t="str">
        <f>IF(Y29&lt;0,1/K29/(1+AE29*ABS(Y29)),T(0))</f>
        <v/>
      </c>
      <c r="AA29" s="339" t="str">
        <f>IF(SUM(Z29),5,"")</f>
        <v/>
      </c>
      <c r="AC29" s="135">
        <v>5</v>
      </c>
      <c r="AD29" s="350">
        <f ca="1">MIN(OFFSET(OtherData2!$C$52,$AC29,MID($B29,8,1)*1),AG29/0.1-1)</f>
        <v>2.4122230077303333</v>
      </c>
      <c r="AE29" s="350">
        <f ca="1">OFFSET(OtherData2!$C$82,$AC29,MID($B29,8,1)*1)</f>
        <v>2.7935839216762259</v>
      </c>
      <c r="AF29" s="351">
        <f ca="1">OtherData2!C37</f>
        <v>0.83570305665471967</v>
      </c>
      <c r="AG29" s="351">
        <f ca="1">OtherData2!D37</f>
        <v>0.85781274740951075</v>
      </c>
      <c r="AH29" s="135">
        <v>1</v>
      </c>
      <c r="AI29" s="135"/>
    </row>
    <row r="30" spans="2:35" ht="12.95" customHeight="1">
      <c r="B30" s="257" t="s">
        <v>59</v>
      </c>
      <c r="C30" s="257"/>
      <c r="D30" s="257"/>
      <c r="E30" s="257"/>
      <c r="F30" s="257"/>
      <c r="G30" s="257"/>
      <c r="H30" s="257"/>
      <c r="I30" s="257"/>
      <c r="J30" s="257"/>
      <c r="K30" s="257"/>
      <c r="L30" s="188"/>
      <c r="M30" s="188"/>
      <c r="N30" s="188"/>
      <c r="O30" s="188"/>
      <c r="P30" s="188"/>
      <c r="Q30" s="188"/>
      <c r="R30" s="188"/>
      <c r="S30" s="188"/>
      <c r="T30" s="188"/>
      <c r="U30" s="257"/>
      <c r="V30" s="337"/>
      <c r="W30" s="182"/>
      <c r="X30" s="142"/>
      <c r="Y30" s="142"/>
      <c r="Z30" s="341"/>
      <c r="AA30" s="340"/>
      <c r="AC30" s="135"/>
      <c r="AD30" s="350"/>
      <c r="AE30" s="350"/>
      <c r="AF30" s="135"/>
      <c r="AG30" s="135"/>
      <c r="AH30" s="135"/>
      <c r="AI30" s="135"/>
    </row>
    <row r="31" spans="2:35" ht="12.95" customHeight="1">
      <c r="B31" s="6" t="s">
        <v>499</v>
      </c>
      <c r="C31" s="6" t="str">
        <f>"CHP: Existing " &amp;MID(B31,4,3)&amp; "-based capacity"</f>
        <v>CHP: Existing OIL-based capacity</v>
      </c>
      <c r="D31" s="6" t="s">
        <v>56</v>
      </c>
      <c r="E31" s="205" t="s">
        <v>482</v>
      </c>
      <c r="F31" s="6">
        <v>0.95</v>
      </c>
      <c r="G31" s="216">
        <f t="shared" ref="G31:H35" ca="1" si="8">MAX(IF($AH31&gt;2,$AG$1),AF31)/(AD31+1)^ECAP</f>
        <v>0.29265601274370567</v>
      </c>
      <c r="H31" s="216">
        <f t="shared" ca="1" si="8"/>
        <v>0.28243006682441751</v>
      </c>
      <c r="I31" s="254">
        <f ca="1">OtherData2!K129</f>
        <v>0</v>
      </c>
      <c r="J31" s="254">
        <f ca="1">OtherData2!L129</f>
        <v>0</v>
      </c>
      <c r="K31" s="254">
        <f ca="1">MAX(J31,OtherData2!G33)</f>
        <v>0.5</v>
      </c>
      <c r="L31" s="189">
        <f ca="1">OtherData2!C129/(AD31+1)^ECAP</f>
        <v>0</v>
      </c>
      <c r="M31" s="189">
        <f ca="1">OtherData2!D129/(AE31+1)^ECAP</f>
        <v>0</v>
      </c>
      <c r="N31" s="188" t="str">
        <f ca="1">IF(SUM(M31)&gt;0,OtherData2!E129*$M31,"")</f>
        <v/>
      </c>
      <c r="O31" s="189" t="str">
        <f ca="1">IF(SUM(M31)&gt;0,OtherData2!F129*$M31,"")</f>
        <v/>
      </c>
      <c r="P31" s="189" t="str">
        <f ca="1">IF(SUM(O31)&gt;0,OtherData2!G129*$M31,"")</f>
        <v/>
      </c>
      <c r="Q31" s="189" t="str">
        <f ca="1">IF(SUM(P31)&gt;0,OtherData2!H129*$M31,"")</f>
        <v/>
      </c>
      <c r="R31" s="189" t="str">
        <f ca="1">IF(SUM(Q31)&gt;0,OtherData2!I129*$M31,"")</f>
        <v/>
      </c>
      <c r="S31" s="189" t="str">
        <f ca="1">IF(SUM(R31)&gt;0,OtherData2!J129*$M31,"")</f>
        <v/>
      </c>
      <c r="T31" s="189"/>
      <c r="U31" s="252"/>
      <c r="V31" s="335">
        <f>3.6*8.76*V$1</f>
        <v>3.1536000000000002E-2</v>
      </c>
      <c r="W31" s="162">
        <v>1</v>
      </c>
      <c r="X31" s="254">
        <f t="shared" ref="X31:Y35" ca="1" si="9">IF($AH31&gt;2,MAX($AH31,AF31*AD31/(1+AD31)/MAX(0.01,$AI31-AF31/(1+AD31)))^IF(ECAP,-1,1),IF(ECAP,0,1))*SIGN(-ECAP)</f>
        <v>0</v>
      </c>
      <c r="Y31" s="254">
        <f t="shared" ca="1" si="9"/>
        <v>0</v>
      </c>
      <c r="Z31" s="265"/>
      <c r="AA31" s="339"/>
      <c r="AC31" s="135">
        <v>1</v>
      </c>
      <c r="AD31" s="350">
        <f ca="1">MIN(OFFSET(OtherData2!$C$52,$AC31,MID($B31,8,1)*1),AG31/0.1-1)</f>
        <v>1.908959774589245</v>
      </c>
      <c r="AE31" s="350">
        <f ca="1">OFFSET(OtherData2!$C$82,$AC31,MID($B31,8,1)*1)</f>
        <v>2.1150263516804699</v>
      </c>
      <c r="AF31" s="351">
        <f ca="1">OtherData2!C33</f>
        <v>0.85132456886311736</v>
      </c>
      <c r="AG31" s="351">
        <f ca="1">OtherData2!D33</f>
        <v>0.87977710066493653</v>
      </c>
      <c r="AH31" s="135">
        <v>1</v>
      </c>
      <c r="AI31" s="135"/>
    </row>
    <row r="32" spans="2:35" ht="12.95" customHeight="1">
      <c r="B32" s="6" t="s">
        <v>500</v>
      </c>
      <c r="C32" s="6" t="str">
        <f>"CHP: Existing " &amp;MID(B32,4,3)&amp; "-based capacity"</f>
        <v>CHP: Existing GAS-based capacity</v>
      </c>
      <c r="D32" s="6" t="s">
        <v>151</v>
      </c>
      <c r="E32" s="205" t="s">
        <v>482</v>
      </c>
      <c r="F32" s="6">
        <v>0.95</v>
      </c>
      <c r="G32" s="216">
        <f t="shared" ca="1" si="8"/>
        <v>0.3496084585037651</v>
      </c>
      <c r="H32" s="216">
        <f t="shared" ca="1" si="8"/>
        <v>0.30900025612123111</v>
      </c>
      <c r="I32" s="254">
        <f ca="1">OtherData2!K130</f>
        <v>0</v>
      </c>
      <c r="J32" s="254">
        <f ca="1">OtherData2!L130</f>
        <v>0</v>
      </c>
      <c r="K32" s="254">
        <f ca="1">MAX(J32,OtherData2!G34)</f>
        <v>0.55000000000000004</v>
      </c>
      <c r="L32" s="189">
        <f ca="1">OtherData2!C130/(AD32+1)^ECAP</f>
        <v>0</v>
      </c>
      <c r="M32" s="189">
        <f ca="1">OtherData2!D130/(AE32+1)^ECAP</f>
        <v>0</v>
      </c>
      <c r="N32" s="188" t="str">
        <f ca="1">IF(SUM(M32)&gt;0,OtherData2!E130*$M32,"")</f>
        <v/>
      </c>
      <c r="O32" s="189" t="str">
        <f ca="1">IF(SUM(M32)&gt;0,OtherData2!F130*$M32,"")</f>
        <v/>
      </c>
      <c r="P32" s="189" t="str">
        <f ca="1">IF(SUM(O32)&gt;0,OtherData2!G130*$M32,"")</f>
        <v/>
      </c>
      <c r="Q32" s="189" t="str">
        <f ca="1">IF(SUM(P32)&gt;0,OtherData2!H130*$M32,"")</f>
        <v/>
      </c>
      <c r="R32" s="189" t="str">
        <f ca="1">IF(SUM(Q32)&gt;0,OtherData2!I130*$M32,"")</f>
        <v/>
      </c>
      <c r="S32" s="189" t="str">
        <f ca="1">IF(SUM(R32)&gt;0,OtherData2!J130*$M32,"")</f>
        <v/>
      </c>
      <c r="T32" s="189"/>
      <c r="U32" s="252"/>
      <c r="V32" s="335">
        <f>3.6*8.76*V$1</f>
        <v>3.1536000000000002E-2</v>
      </c>
      <c r="W32" s="162">
        <v>1</v>
      </c>
      <c r="X32" s="254">
        <f t="shared" ca="1" si="9"/>
        <v>0</v>
      </c>
      <c r="Y32" s="254">
        <f t="shared" ca="1" si="9"/>
        <v>0</v>
      </c>
      <c r="Z32" s="265"/>
      <c r="AA32" s="339"/>
      <c r="AC32" s="135">
        <v>2</v>
      </c>
      <c r="AD32" s="350">
        <f ca="1">MIN(OFFSET(OtherData2!$C$52,$AC32,MID($B32,8,1)*1),AG32/0.1-1)</f>
        <v>1.5495589502006679</v>
      </c>
      <c r="AE32" s="350">
        <f ca="1">OFFSET(OtherData2!$C$82,$AC32,MID($B32,8,1)*1)</f>
        <v>1.8745787002666454</v>
      </c>
      <c r="AF32" s="351">
        <f ca="1">OtherData2!C34</f>
        <v>0.89134737444413303</v>
      </c>
      <c r="AG32" s="351">
        <f ca="1">OtherData2!D34</f>
        <v>0.88824555462302901</v>
      </c>
      <c r="AH32" s="135">
        <v>1</v>
      </c>
      <c r="AI32" s="135"/>
    </row>
    <row r="33" spans="2:35" ht="12.95" customHeight="1">
      <c r="B33" s="6" t="s">
        <v>501</v>
      </c>
      <c r="C33" s="6" t="str">
        <f>"CHP: Existing " &amp;MID(B33,4,3)&amp; "-based capacity"</f>
        <v>CHP: Existing COA-based capacity</v>
      </c>
      <c r="D33" s="6" t="s">
        <v>169</v>
      </c>
      <c r="E33" s="205" t="s">
        <v>482</v>
      </c>
      <c r="F33" s="6">
        <v>0.95</v>
      </c>
      <c r="G33" s="216">
        <f t="shared" ca="1" si="8"/>
        <v>0.18271534795416902</v>
      </c>
      <c r="H33" s="216">
        <f t="shared" ca="1" si="8"/>
        <v>0.15178728693735641</v>
      </c>
      <c r="I33" s="254">
        <f ca="1">OtherData2!K131</f>
        <v>0</v>
      </c>
      <c r="J33" s="254">
        <f ca="1">OtherData2!L131</f>
        <v>0</v>
      </c>
      <c r="K33" s="254">
        <f ca="1">MAX(J33,OtherData2!G35)</f>
        <v>0.55000000000000004</v>
      </c>
      <c r="L33" s="189">
        <f ca="1">OtherData2!C131/(AD33+1)^ECAP</f>
        <v>0</v>
      </c>
      <c r="M33" s="189">
        <f ca="1">OtherData2!D131/(AE33+1)^ECAP</f>
        <v>0</v>
      </c>
      <c r="N33" s="188" t="str">
        <f ca="1">IF(SUM(M33)&gt;0,OtherData2!E131*$M33,"")</f>
        <v/>
      </c>
      <c r="O33" s="189" t="str">
        <f ca="1">IF(SUM(M33)&gt;0,OtherData2!F131*$M33,"")</f>
        <v/>
      </c>
      <c r="P33" s="189" t="str">
        <f ca="1">IF(SUM(O33)&gt;0,OtherData2!G131*$M33,"")</f>
        <v/>
      </c>
      <c r="Q33" s="189" t="str">
        <f ca="1">IF(SUM(P33)&gt;0,OtherData2!H131*$M33,"")</f>
        <v/>
      </c>
      <c r="R33" s="189" t="str">
        <f ca="1">IF(SUM(Q33)&gt;0,OtherData2!I131*$M33,"")</f>
        <v/>
      </c>
      <c r="S33" s="189" t="str">
        <f ca="1">IF(SUM(R33)&gt;0,OtherData2!J131*$M33,"")</f>
        <v/>
      </c>
      <c r="T33" s="189"/>
      <c r="U33" s="252"/>
      <c r="V33" s="335">
        <f>3.6*8.76*V$1</f>
        <v>3.1536000000000002E-2</v>
      </c>
      <c r="W33" s="162">
        <v>1</v>
      </c>
      <c r="X33" s="254">
        <f t="shared" ca="1" si="9"/>
        <v>0</v>
      </c>
      <c r="Y33" s="254">
        <f t="shared" ca="1" si="9"/>
        <v>0</v>
      </c>
      <c r="Z33" s="265"/>
      <c r="AA33" s="339"/>
      <c r="AC33" s="135">
        <v>3</v>
      </c>
      <c r="AD33" s="350">
        <f ca="1">MIN(OFFSET(OtherData2!$C$52,$AC33,MID($B33,8,1)*1),AG33/0.1-1)</f>
        <v>3.6373606552394091</v>
      </c>
      <c r="AE33" s="350">
        <f ca="1">OFFSET(OtherData2!$C$82,$AC33,MID($B33,8,1)*1)</f>
        <v>4.6816449990235212</v>
      </c>
      <c r="AF33" s="351">
        <f ca="1">OtherData2!C35</f>
        <v>0.84731696571104176</v>
      </c>
      <c r="AG33" s="351">
        <f ca="1">OtherData2!D35</f>
        <v>0.86240147974297932</v>
      </c>
      <c r="AH33" s="135">
        <v>1</v>
      </c>
      <c r="AI33" s="135"/>
    </row>
    <row r="34" spans="2:35" ht="12.95" customHeight="1">
      <c r="B34" s="6" t="s">
        <v>502</v>
      </c>
      <c r="C34" s="6" t="str">
        <f>"CHP: Existing " &amp;MID(B34,4,3)&amp; "-based capacity"</f>
        <v>CHP: Existing BCO-based capacity</v>
      </c>
      <c r="D34" s="6" t="s">
        <v>354</v>
      </c>
      <c r="E34" s="205" t="s">
        <v>482</v>
      </c>
      <c r="F34" s="6">
        <v>0.95</v>
      </c>
      <c r="G34" s="216">
        <f t="shared" ca="1" si="8"/>
        <v>0.15596816620428605</v>
      </c>
      <c r="H34" s="216">
        <f t="shared" ca="1" si="8"/>
        <v>0.16676635983028465</v>
      </c>
      <c r="I34" s="254">
        <f ca="1">OtherData2!K132</f>
        <v>0</v>
      </c>
      <c r="J34" s="254">
        <f ca="1">OtherData2!L132</f>
        <v>0</v>
      </c>
      <c r="K34" s="254">
        <f ca="1">MAX(J34,OtherData2!G36)</f>
        <v>0.55000000000000004</v>
      </c>
      <c r="L34" s="189">
        <f ca="1">OtherData2!C132/(AD34+1)^ECAP</f>
        <v>0</v>
      </c>
      <c r="M34" s="189">
        <f ca="1">OtherData2!D132/(AE34+1)^ECAP</f>
        <v>0</v>
      </c>
      <c r="N34" s="188" t="str">
        <f ca="1">IF(SUM(M34)&gt;0,OtherData2!E132*$M34,"")</f>
        <v/>
      </c>
      <c r="O34" s="189" t="str">
        <f ca="1">IF(SUM(M34)&gt;0,OtherData2!F132*$M34,"")</f>
        <v/>
      </c>
      <c r="P34" s="189" t="str">
        <f ca="1">IF(SUM(O34)&gt;0,OtherData2!G132*$M34,"")</f>
        <v/>
      </c>
      <c r="Q34" s="189" t="str">
        <f ca="1">IF(SUM(P34)&gt;0,OtherData2!H132*$M34,"")</f>
        <v/>
      </c>
      <c r="R34" s="189" t="str">
        <f ca="1">IF(SUM(Q34)&gt;0,OtherData2!I132*$M34,"")</f>
        <v/>
      </c>
      <c r="S34" s="189" t="str">
        <f ca="1">IF(SUM(R34)&gt;0,OtherData2!J132*$M34,"")</f>
        <v/>
      </c>
      <c r="T34" s="189"/>
      <c r="U34" s="252"/>
      <c r="V34" s="335">
        <f>3.6*8.76*V$1</f>
        <v>3.1536000000000002E-2</v>
      </c>
      <c r="W34" s="162">
        <v>1</v>
      </c>
      <c r="X34" s="254">
        <f t="shared" ca="1" si="9"/>
        <v>0</v>
      </c>
      <c r="Y34" s="254">
        <f t="shared" ca="1" si="9"/>
        <v>0</v>
      </c>
      <c r="Z34" s="265"/>
      <c r="AA34" s="339"/>
      <c r="AC34" s="135">
        <v>4</v>
      </c>
      <c r="AD34" s="350">
        <f ca="1">MIN(OFFSET(OtherData2!$C$52,$AC34,MID($B34,8,1)*1),AG34/0.1-1)</f>
        <v>4.3030303030303001</v>
      </c>
      <c r="AE34" s="350">
        <f ca="1">OFFSET(OtherData2!$C$82,$AC34,MID($B34,8,1)*1)</f>
        <v>4.3030303030303001</v>
      </c>
      <c r="AF34" s="351">
        <f ca="1">OtherData2!C36</f>
        <v>0.82710391168939534</v>
      </c>
      <c r="AG34" s="351">
        <f ca="1">OtherData2!D36</f>
        <v>0.88436705970605445</v>
      </c>
      <c r="AH34" s="135">
        <v>1</v>
      </c>
      <c r="AI34" s="135"/>
    </row>
    <row r="35" spans="2:35" ht="12.95" customHeight="1">
      <c r="B35" s="6" t="s">
        <v>503</v>
      </c>
      <c r="C35" s="6" t="str">
        <f>"CHP: Existing " &amp;MID(B35,4,3)&amp; "-based capacity"</f>
        <v>CHP: Existing BIO-based capacity</v>
      </c>
      <c r="D35" s="6" t="s">
        <v>152</v>
      </c>
      <c r="E35" s="205" t="s">
        <v>482</v>
      </c>
      <c r="F35" s="6">
        <v>0.95</v>
      </c>
      <c r="G35" s="216">
        <f t="shared" ca="1" si="8"/>
        <v>0.12020652628679905</v>
      </c>
      <c r="H35" s="216">
        <f t="shared" ca="1" si="8"/>
        <v>9.2780018330864952E-2</v>
      </c>
      <c r="I35" s="254">
        <f ca="1">OtherData2!K133</f>
        <v>0</v>
      </c>
      <c r="J35" s="254">
        <f ca="1">OtherData2!L133</f>
        <v>0</v>
      </c>
      <c r="K35" s="254">
        <f ca="1">MAX(J35,OtherData2!G37)</f>
        <v>0.55000000000000004</v>
      </c>
      <c r="L35" s="189">
        <f ca="1">OtherData2!C133/(AD35+1)^ECAP</f>
        <v>0</v>
      </c>
      <c r="M35" s="189">
        <f ca="1">OtherData2!D133/(AE35+1)^ECAP</f>
        <v>0</v>
      </c>
      <c r="N35" s="188" t="str">
        <f ca="1">IF(SUM(M35)&gt;0,OtherData2!E133*$M35,"")</f>
        <v/>
      </c>
      <c r="O35" s="189" t="str">
        <f ca="1">IF(SUM(M35)&gt;0,OtherData2!F133*$M35,"")</f>
        <v/>
      </c>
      <c r="P35" s="189" t="str">
        <f ca="1">IF(SUM(O35)&gt;0,OtherData2!G133*$M35,"")</f>
        <v/>
      </c>
      <c r="Q35" s="189" t="str">
        <f ca="1">IF(SUM(P35)&gt;0,OtherData2!H133*$M35,"")</f>
        <v/>
      </c>
      <c r="R35" s="189" t="str">
        <f ca="1">IF(SUM(Q35)&gt;0,OtherData2!I133*$M35,"")</f>
        <v/>
      </c>
      <c r="S35" s="189" t="str">
        <f ca="1">IF(SUM(R35)&gt;0,OtherData2!J133*$M35,"")</f>
        <v/>
      </c>
      <c r="T35" s="189"/>
      <c r="U35" s="252"/>
      <c r="V35" s="335">
        <f>3.6*8.76*V$1</f>
        <v>3.1536000000000002E-2</v>
      </c>
      <c r="W35" s="162">
        <v>1</v>
      </c>
      <c r="X35" s="254">
        <f t="shared" ca="1" si="9"/>
        <v>0</v>
      </c>
      <c r="Y35" s="254">
        <f t="shared" ca="1" si="9"/>
        <v>0</v>
      </c>
      <c r="Z35" s="265"/>
      <c r="AA35" s="339"/>
      <c r="AC35" s="135">
        <v>5</v>
      </c>
      <c r="AD35" s="350">
        <f ca="1">MIN(OFFSET(OtherData2!$C$52,$AC35,MID($B35,8,1)*1),AG35/0.1-1)</f>
        <v>5.9522269919091375</v>
      </c>
      <c r="AE35" s="350">
        <f ca="1">OFFSET(OtherData2!$C$82,$AC35,MID($B35,8,1)*1)</f>
        <v>8.2456626204841328</v>
      </c>
      <c r="AF35" s="351">
        <f ca="1">OtherData2!C37</f>
        <v>0.83570305665471967</v>
      </c>
      <c r="AG35" s="351">
        <f ca="1">OtherData2!D37</f>
        <v>0.85781274740951075</v>
      </c>
      <c r="AH35" s="135">
        <v>1</v>
      </c>
      <c r="AI35" s="135"/>
    </row>
    <row r="36" spans="2:35" ht="12.95" customHeight="1">
      <c r="B36" s="257" t="s">
        <v>59</v>
      </c>
      <c r="C36" s="257"/>
      <c r="D36" s="257"/>
      <c r="E36" s="257"/>
      <c r="F36" s="257"/>
      <c r="G36" s="257"/>
      <c r="H36" s="257"/>
      <c r="I36" s="257"/>
      <c r="J36" s="257"/>
      <c r="K36" s="257"/>
      <c r="L36" s="188"/>
      <c r="M36" s="188"/>
      <c r="N36" s="188"/>
      <c r="O36" s="188"/>
      <c r="P36" s="188"/>
      <c r="Q36" s="188"/>
      <c r="R36" s="188"/>
      <c r="S36" s="188"/>
      <c r="T36" s="188"/>
      <c r="U36" s="257"/>
      <c r="V36" s="337"/>
      <c r="W36" s="182"/>
      <c r="X36" s="142"/>
      <c r="Y36" s="142"/>
      <c r="Z36" s="341"/>
      <c r="AA36" s="340"/>
      <c r="AC36" s="135"/>
      <c r="AD36" s="350"/>
      <c r="AE36" s="350"/>
      <c r="AF36" s="135"/>
      <c r="AG36" s="135"/>
      <c r="AH36" s="135"/>
      <c r="AI36" s="135"/>
    </row>
    <row r="37" spans="2:35" ht="12.95" customHeight="1">
      <c r="B37" s="6" t="s">
        <v>504</v>
      </c>
      <c r="C37" s="6" t="str">
        <f>"CHP: Existing " &amp;MID(B37,4,3)&amp; "-based capacity"</f>
        <v>CHP: Existing OIL-based capacity</v>
      </c>
      <c r="D37" s="6" t="s">
        <v>56</v>
      </c>
      <c r="E37" s="6" t="s">
        <v>198</v>
      </c>
      <c r="F37" s="6">
        <v>0.95</v>
      </c>
      <c r="G37" s="216">
        <f t="shared" ref="G37:H41" ca="1" si="10">MAX(IF($AH37&gt;2,$AG$1),AF37)/(AD37+1)^ECAP</f>
        <v>0.31365045281003839</v>
      </c>
      <c r="H37" s="216">
        <f t="shared" ca="1" si="10"/>
        <v>0.30487802163303906</v>
      </c>
      <c r="I37" s="254">
        <f ca="1">OtherData2!K134</f>
        <v>0</v>
      </c>
      <c r="J37" s="254">
        <f ca="1">OtherData2!L134</f>
        <v>0</v>
      </c>
      <c r="K37" s="254">
        <f ca="1">MAX(J37,OtherData2!G33)</f>
        <v>0.5</v>
      </c>
      <c r="L37" s="189">
        <f ca="1">OtherData2!C134/(AD37+1)^ECAP</f>
        <v>0</v>
      </c>
      <c r="M37" s="189">
        <f ca="1">OtherData2!D134/(AE37+1)^ECAP</f>
        <v>0</v>
      </c>
      <c r="N37" s="188" t="str">
        <f ca="1">IF(SUM(M37)&gt;0,OtherData2!E134*$M37,"")</f>
        <v/>
      </c>
      <c r="O37" s="189" t="str">
        <f ca="1">IF(SUM(M37)&gt;0,OtherData2!F134*$M37,"")</f>
        <v/>
      </c>
      <c r="P37" s="189" t="str">
        <f ca="1">IF(SUM(O37)&gt;0,OtherData2!G134*$M37,"")</f>
        <v/>
      </c>
      <c r="Q37" s="189" t="str">
        <f ca="1">IF(SUM(P37)&gt;0,OtherData2!H134*$M37,"")</f>
        <v/>
      </c>
      <c r="R37" s="189" t="str">
        <f ca="1">IF(SUM(Q37)&gt;0,OtherData2!I134*$M37,"")</f>
        <v/>
      </c>
      <c r="S37" s="189" t="str">
        <f ca="1">IF(SUM(R37)&gt;0,OtherData2!J134*$M37,"")</f>
        <v/>
      </c>
      <c r="T37" s="189"/>
      <c r="U37" s="252"/>
      <c r="V37" s="335">
        <f>3.6*8.76*V$1</f>
        <v>3.1536000000000002E-2</v>
      </c>
      <c r="W37" s="162">
        <v>1</v>
      </c>
      <c r="X37" s="254">
        <f t="shared" ref="X37:Y41" ca="1" si="11">IF($AH37&gt;2,MAX($AH37,AF37*AD37/(1+AD37)/MAX(0.01,$AI37-AF37/(1+AD37)))^IF(ECAP,-1,1),IF(ECAP,0,1))*SIGN(-ECAP)</f>
        <v>0</v>
      </c>
      <c r="Y37" s="254">
        <f t="shared" ca="1" si="11"/>
        <v>0</v>
      </c>
      <c r="Z37" s="265" t="str">
        <f>IF(Y37&lt;0,1/K37/(1+AE37*ABS(Y37)),T(0))</f>
        <v/>
      </c>
      <c r="AA37" s="339" t="str">
        <f>IF(SUM(Z37),5,"")</f>
        <v/>
      </c>
      <c r="AC37" s="135">
        <v>1</v>
      </c>
      <c r="AD37" s="350">
        <f ca="1">MIN(OFFSET(OtherData2!$C$52,$AC37,MID($B37,8,1)*1),AG37/0.1-1)</f>
        <v>1.7142462611993099</v>
      </c>
      <c r="AE37" s="350">
        <f ca="1">OFFSET(OtherData2!$C$82,$AC37,MID($B37,8,1)*1)</f>
        <v>1.8856691471314526</v>
      </c>
      <c r="AF37" s="351">
        <f ca="1">OtherData2!C33</f>
        <v>0.85132456886311736</v>
      </c>
      <c r="AG37" s="351">
        <f ca="1">OtherData2!D33</f>
        <v>0.87977710066493653</v>
      </c>
      <c r="AH37" s="135">
        <v>1</v>
      </c>
      <c r="AI37" s="135"/>
    </row>
    <row r="38" spans="2:35" ht="12.95" customHeight="1">
      <c r="B38" s="6" t="s">
        <v>505</v>
      </c>
      <c r="C38" s="6" t="str">
        <f>"CHP: Existing " &amp;MID(B38,4,3)&amp; "-based capacity"</f>
        <v>CHP: Existing GAS-based capacity</v>
      </c>
      <c r="D38" s="6" t="s">
        <v>151</v>
      </c>
      <c r="E38" s="6" t="s">
        <v>198</v>
      </c>
      <c r="F38" s="6">
        <v>0.95</v>
      </c>
      <c r="G38" s="216">
        <f t="shared" ca="1" si="10"/>
        <v>0.4440312625144982</v>
      </c>
      <c r="H38" s="216">
        <f t="shared" ca="1" si="10"/>
        <v>0.40996026413474868</v>
      </c>
      <c r="I38" s="254">
        <f ca="1">OtherData2!K135</f>
        <v>0</v>
      </c>
      <c r="J38" s="254">
        <f ca="1">OtherData2!L135</f>
        <v>0</v>
      </c>
      <c r="K38" s="254">
        <f ca="1">MAX(J38,OtherData2!G34)</f>
        <v>0.55000000000000004</v>
      </c>
      <c r="L38" s="189">
        <f ca="1">OtherData2!C135/(AD38+1)^ECAP</f>
        <v>0</v>
      </c>
      <c r="M38" s="189">
        <f ca="1">OtherData2!D135/(AE38+1)^ECAP</f>
        <v>0</v>
      </c>
      <c r="N38" s="188" t="str">
        <f ca="1">IF(SUM(M38)&gt;0,OtherData2!E135*$M38,"")</f>
        <v/>
      </c>
      <c r="O38" s="189" t="str">
        <f ca="1">IF(SUM(M38)&gt;0,OtherData2!F135*$M38,"")</f>
        <v/>
      </c>
      <c r="P38" s="189" t="str">
        <f ca="1">IF(SUM(O38)&gt;0,OtherData2!G135*$M38,"")</f>
        <v/>
      </c>
      <c r="Q38" s="189" t="str">
        <f ca="1">IF(SUM(P38)&gt;0,OtherData2!H135*$M38,"")</f>
        <v/>
      </c>
      <c r="R38" s="189" t="str">
        <f ca="1">IF(SUM(Q38)&gt;0,OtherData2!I135*$M38,"")</f>
        <v/>
      </c>
      <c r="S38" s="189" t="str">
        <f ca="1">IF(SUM(R38)&gt;0,OtherData2!J135*$M38,"")</f>
        <v/>
      </c>
      <c r="T38" s="189"/>
      <c r="U38" s="252"/>
      <c r="V38" s="335">
        <f>3.6*8.76*V$1</f>
        <v>3.1536000000000002E-2</v>
      </c>
      <c r="W38" s="162">
        <v>1</v>
      </c>
      <c r="X38" s="254">
        <f t="shared" ca="1" si="11"/>
        <v>0</v>
      </c>
      <c r="Y38" s="254">
        <f t="shared" ca="1" si="11"/>
        <v>0</v>
      </c>
      <c r="Z38" s="265" t="str">
        <f>IF(Y38&lt;0,1/K38/(1+AE38*ABS(Y38)),T(0))</f>
        <v/>
      </c>
      <c r="AA38" s="339" t="str">
        <f>IF(SUM(Z38),5,"")</f>
        <v/>
      </c>
      <c r="AC38" s="135">
        <v>2</v>
      </c>
      <c r="AD38" s="350">
        <f ca="1">MIN(OFFSET(OtherData2!$C$52,$AC38,MID($B38,8,1)*1),AG38/0.1-1)</f>
        <v>1.0073977886073491</v>
      </c>
      <c r="AE38" s="350">
        <f ca="1">OFFSET(OtherData2!$C$82,$AC38,MID($B38,8,1)*1)</f>
        <v>1.166662558132888</v>
      </c>
      <c r="AF38" s="351">
        <f ca="1">OtherData2!C34</f>
        <v>0.89134737444413303</v>
      </c>
      <c r="AG38" s="351">
        <f ca="1">OtherData2!D34</f>
        <v>0.88824555462302901</v>
      </c>
      <c r="AH38" s="135">
        <v>1</v>
      </c>
      <c r="AI38" s="135"/>
    </row>
    <row r="39" spans="2:35" ht="12.95" customHeight="1">
      <c r="B39" s="6" t="s">
        <v>506</v>
      </c>
      <c r="C39" s="6" t="str">
        <f>"CHP: Existing " &amp;MID(B39,4,3)&amp; "-based capacity"</f>
        <v>CHP: Existing COA-based capacity</v>
      </c>
      <c r="D39" s="6" t="s">
        <v>169</v>
      </c>
      <c r="E39" s="6" t="s">
        <v>198</v>
      </c>
      <c r="F39" s="6">
        <v>0.95</v>
      </c>
      <c r="G39" s="216">
        <f t="shared" ca="1" si="10"/>
        <v>0.29855260175334231</v>
      </c>
      <c r="H39" s="216">
        <f t="shared" ca="1" si="10"/>
        <v>0.27564433814819572</v>
      </c>
      <c r="I39" s="254">
        <f ca="1">OtherData2!K136</f>
        <v>0</v>
      </c>
      <c r="J39" s="254">
        <f ca="1">OtherData2!L136</f>
        <v>0</v>
      </c>
      <c r="K39" s="254">
        <f ca="1">MAX(J39,OtherData2!G35)</f>
        <v>0.55000000000000004</v>
      </c>
      <c r="L39" s="189">
        <f ca="1">OtherData2!C136/(AD39+1)^ECAP</f>
        <v>0</v>
      </c>
      <c r="M39" s="189">
        <f ca="1">OtherData2!D136/(AE39+1)^ECAP</f>
        <v>0</v>
      </c>
      <c r="N39" s="188" t="str">
        <f ca="1">IF(SUM(M39)&gt;0,OtherData2!E136*$M39,"")</f>
        <v/>
      </c>
      <c r="O39" s="189" t="str">
        <f ca="1">IF(SUM(M39)&gt;0,OtherData2!F136*$M39,"")</f>
        <v/>
      </c>
      <c r="P39" s="189" t="str">
        <f ca="1">IF(SUM(O39)&gt;0,OtherData2!G136*$M39,"")</f>
        <v/>
      </c>
      <c r="Q39" s="189" t="str">
        <f ca="1">IF(SUM(P39)&gt;0,OtherData2!H136*$M39,"")</f>
        <v/>
      </c>
      <c r="R39" s="189" t="str">
        <f ca="1">IF(SUM(Q39)&gt;0,OtherData2!I136*$M39,"")</f>
        <v/>
      </c>
      <c r="S39" s="189" t="str">
        <f ca="1">IF(SUM(R39)&gt;0,OtherData2!J136*$M39,"")</f>
        <v/>
      </c>
      <c r="T39" s="189"/>
      <c r="U39" s="252"/>
      <c r="V39" s="335">
        <f>3.6*8.76*V$1</f>
        <v>3.1536000000000002E-2</v>
      </c>
      <c r="W39" s="162">
        <v>1</v>
      </c>
      <c r="X39" s="254">
        <f t="shared" ca="1" si="11"/>
        <v>-0.14285714285714285</v>
      </c>
      <c r="Y39" s="254">
        <f t="shared" ca="1" si="11"/>
        <v>-0.14285714285714285</v>
      </c>
      <c r="Z39" s="265">
        <f ca="1">IF(Y39&lt;0,1/K39/(1+AE39*ABS(Y39)),T(0))</f>
        <v>1.3942081496922143</v>
      </c>
      <c r="AA39" s="339">
        <f ca="1">IF(SUM(Z39),5,"")</f>
        <v>5</v>
      </c>
      <c r="AC39" s="135">
        <v>3</v>
      </c>
      <c r="AD39" s="350">
        <f ca="1">MIN(OFFSET(OtherData2!$C$52,$AC39,MID($B39,8,1)*1),AG39/0.1-1)</f>
        <v>1.8380826719811227</v>
      </c>
      <c r="AE39" s="350">
        <f ca="1">OFFSET(OtherData2!$C$82,$AC39,MID($B39,8,1)*1)</f>
        <v>2.1286747463658156</v>
      </c>
      <c r="AF39" s="351">
        <f ca="1">OtherData2!C35</f>
        <v>0.84731696571104176</v>
      </c>
      <c r="AG39" s="351">
        <f ca="1">OtherData2!D35</f>
        <v>0.86240147974297932</v>
      </c>
      <c r="AH39" s="135">
        <v>7</v>
      </c>
      <c r="AI39" s="135">
        <v>0.4</v>
      </c>
    </row>
    <row r="40" spans="2:35" ht="12.95" customHeight="1">
      <c r="B40" s="6" t="s">
        <v>507</v>
      </c>
      <c r="C40" s="6" t="str">
        <f>"CHP: Existing " &amp;MID(B40,4,3)&amp; "-based capacity"</f>
        <v>CHP: Existing BCO-based capacity</v>
      </c>
      <c r="D40" s="6" t="s">
        <v>354</v>
      </c>
      <c r="E40" s="6" t="s">
        <v>198</v>
      </c>
      <c r="F40" s="6">
        <v>0.95</v>
      </c>
      <c r="G40" s="216">
        <f t="shared" ca="1" si="10"/>
        <v>0.27294429085750049</v>
      </c>
      <c r="H40" s="216">
        <f t="shared" ca="1" si="10"/>
        <v>0.29184112970299803</v>
      </c>
      <c r="I40" s="254">
        <f ca="1">OtherData2!K137</f>
        <v>0</v>
      </c>
      <c r="J40" s="254">
        <f ca="1">OtherData2!L137</f>
        <v>0</v>
      </c>
      <c r="K40" s="254">
        <f ca="1">MAX(J40,OtherData2!G36)</f>
        <v>0.55000000000000004</v>
      </c>
      <c r="L40" s="189">
        <f ca="1">OtherData2!C137/(AD40+1)^ECAP</f>
        <v>0</v>
      </c>
      <c r="M40" s="189">
        <f ca="1">OtherData2!D137/(AE40+1)^ECAP</f>
        <v>0</v>
      </c>
      <c r="N40" s="188" t="str">
        <f ca="1">IF(SUM(M40)&gt;0,OtherData2!E137*$M40,"")</f>
        <v/>
      </c>
      <c r="O40" s="189" t="str">
        <f ca="1">IF(SUM(M40)&gt;0,OtherData2!F137*$M40,"")</f>
        <v/>
      </c>
      <c r="P40" s="189" t="str">
        <f ca="1">IF(SUM(O40)&gt;0,OtherData2!G137*$M40,"")</f>
        <v/>
      </c>
      <c r="Q40" s="189" t="str">
        <f ca="1">IF(SUM(P40)&gt;0,OtherData2!H137*$M40,"")</f>
        <v/>
      </c>
      <c r="R40" s="189" t="str">
        <f ca="1">IF(SUM(Q40)&gt;0,OtherData2!I137*$M40,"")</f>
        <v/>
      </c>
      <c r="S40" s="189" t="str">
        <f ca="1">IF(SUM(R40)&gt;0,OtherData2!J137*$M40,"")</f>
        <v/>
      </c>
      <c r="T40" s="189"/>
      <c r="U40" s="252"/>
      <c r="V40" s="335">
        <f>3.6*8.76*V$1</f>
        <v>3.1536000000000002E-2</v>
      </c>
      <c r="W40" s="162">
        <v>1</v>
      </c>
      <c r="X40" s="254">
        <f t="shared" ca="1" si="11"/>
        <v>-0.14285714285714285</v>
      </c>
      <c r="Y40" s="254">
        <f t="shared" ca="1" si="11"/>
        <v>-0.14285714285714285</v>
      </c>
      <c r="Z40" s="265">
        <f ca="1">IF(Y40&lt;0,1/K40/(1+AE40*ABS(Y40)),T(0))</f>
        <v>1.4093959731543626</v>
      </c>
      <c r="AA40" s="339">
        <f ca="1">IF(SUM(Z40),5,"")</f>
        <v>5</v>
      </c>
      <c r="AC40" s="135">
        <v>4</v>
      </c>
      <c r="AD40" s="350">
        <f ca="1">MIN(OFFSET(OtherData2!$C$52,$AC40,MID($B40,8,1)*1),AG40/0.1-1)</f>
        <v>2.0303030303030298</v>
      </c>
      <c r="AE40" s="350">
        <f ca="1">OFFSET(OtherData2!$C$82,$AC40,MID($B40,8,1)*1)</f>
        <v>2.0303030303030298</v>
      </c>
      <c r="AF40" s="351">
        <f ca="1">OtherData2!C36</f>
        <v>0.82710391168939534</v>
      </c>
      <c r="AG40" s="351">
        <f ca="1">OtherData2!D36</f>
        <v>0.88436705970605445</v>
      </c>
      <c r="AH40" s="135">
        <v>7</v>
      </c>
      <c r="AI40" s="135">
        <v>0.4</v>
      </c>
    </row>
    <row r="41" spans="2:35" ht="12.95" customHeight="1">
      <c r="B41" s="6" t="s">
        <v>508</v>
      </c>
      <c r="C41" s="6" t="str">
        <f>"CHP: Existing " &amp;MID(B41,4,3)&amp; "-based capacity"</f>
        <v>CHP: Existing BIO-based capacity</v>
      </c>
      <c r="D41" s="6" t="s">
        <v>152</v>
      </c>
      <c r="E41" s="6" t="s">
        <v>198</v>
      </c>
      <c r="F41" s="6">
        <v>0.95</v>
      </c>
      <c r="G41" s="216">
        <f t="shared" ca="1" si="10"/>
        <v>0.24491454830515139</v>
      </c>
      <c r="H41" s="216">
        <f t="shared" ca="1" si="10"/>
        <v>0.22612199047661485</v>
      </c>
      <c r="I41" s="254">
        <f ca="1">OtherData2!K138</f>
        <v>0</v>
      </c>
      <c r="J41" s="254">
        <f ca="1">OtherData2!L138</f>
        <v>0</v>
      </c>
      <c r="K41" s="254">
        <f ca="1">MAX(J41,OtherData2!G37)</f>
        <v>0.55000000000000004</v>
      </c>
      <c r="L41" s="189">
        <f ca="1">OtherData2!C138/(AD41+1)^ECAP</f>
        <v>0</v>
      </c>
      <c r="M41" s="189">
        <f ca="1">OtherData2!D138/(AE41+1)^ECAP</f>
        <v>0</v>
      </c>
      <c r="N41" s="188" t="str">
        <f ca="1">IF(SUM(M41)&gt;0,OtherData2!E138*$M41,"")</f>
        <v/>
      </c>
      <c r="O41" s="189" t="str">
        <f ca="1">IF(SUM(M41)&gt;0,OtherData2!F138*$M41,"")</f>
        <v/>
      </c>
      <c r="P41" s="189" t="str">
        <f ca="1">IF(SUM(O41)&gt;0,OtherData2!G138*$M41,"")</f>
        <v/>
      </c>
      <c r="Q41" s="189" t="str">
        <f ca="1">IF(SUM(P41)&gt;0,OtherData2!H138*$M41,"")</f>
        <v/>
      </c>
      <c r="R41" s="189" t="str">
        <f ca="1">IF(SUM(Q41)&gt;0,OtherData2!I138*$M41,"")</f>
        <v/>
      </c>
      <c r="S41" s="189" t="str">
        <f ca="1">IF(SUM(R41)&gt;0,OtherData2!J138*$M41,"")</f>
        <v/>
      </c>
      <c r="T41" s="189"/>
      <c r="U41" s="252"/>
      <c r="V41" s="335">
        <f>3.6*8.76*V$1</f>
        <v>3.1536000000000002E-2</v>
      </c>
      <c r="W41" s="162">
        <v>1</v>
      </c>
      <c r="X41" s="254">
        <f t="shared" ca="1" si="11"/>
        <v>0</v>
      </c>
      <c r="Y41" s="254">
        <f t="shared" ca="1" si="11"/>
        <v>0</v>
      </c>
      <c r="Z41" s="265" t="str">
        <f>IF(Y41&lt;0,1/K41/(1+AE41*ABS(Y41)),T(0))</f>
        <v/>
      </c>
      <c r="AA41" s="339" t="str">
        <f>IF(SUM(Z41),5,"")</f>
        <v/>
      </c>
      <c r="AC41" s="135">
        <v>5</v>
      </c>
      <c r="AD41" s="350">
        <f ca="1">MIN(OFFSET(OtherData2!$C$52,$AC41,MID($B41,8,1)*1),AG41/0.1-1)</f>
        <v>2.4122230077303333</v>
      </c>
      <c r="AE41" s="350">
        <f ca="1">OFFSET(OtherData2!$C$82,$AC41,MID($B41,8,1)*1)</f>
        <v>2.7935839216762259</v>
      </c>
      <c r="AF41" s="351">
        <f ca="1">OtherData2!C37</f>
        <v>0.83570305665471967</v>
      </c>
      <c r="AG41" s="351">
        <f ca="1">OtherData2!D37</f>
        <v>0.85781274740951075</v>
      </c>
      <c r="AH41" s="135">
        <v>1</v>
      </c>
      <c r="AI41" s="135"/>
    </row>
    <row r="42" spans="2:35" ht="12.95" customHeight="1">
      <c r="B42" s="257" t="s">
        <v>59</v>
      </c>
      <c r="C42" s="257"/>
      <c r="D42" s="257"/>
      <c r="E42" s="257"/>
      <c r="F42" s="257"/>
      <c r="G42" s="257"/>
      <c r="H42" s="257"/>
      <c r="I42" s="257"/>
      <c r="J42" s="257"/>
      <c r="K42" s="257"/>
      <c r="L42" s="188"/>
      <c r="M42" s="188"/>
      <c r="N42" s="188"/>
      <c r="O42" s="188"/>
      <c r="P42" s="188"/>
      <c r="Q42" s="188"/>
      <c r="R42" s="188"/>
      <c r="S42" s="188"/>
      <c r="T42" s="188"/>
      <c r="U42" s="257"/>
      <c r="V42" s="337"/>
      <c r="W42" s="182"/>
      <c r="X42" s="142"/>
      <c r="Y42" s="142"/>
      <c r="Z42" s="142"/>
      <c r="AA42" s="142"/>
      <c r="AC42" s="135"/>
      <c r="AD42" s="350"/>
      <c r="AE42" s="350"/>
      <c r="AF42" s="135"/>
      <c r="AG42" s="135"/>
      <c r="AH42" s="135"/>
      <c r="AI42" s="135"/>
    </row>
    <row r="43" spans="2:35" ht="12.95" customHeight="1">
      <c r="B43" s="6" t="s">
        <v>509</v>
      </c>
      <c r="C43" s="6" t="str">
        <f>"CHP: Existing " &amp;MID(B43,4,3)&amp; "-based capacity"</f>
        <v>CHP: Existing OIL-based capacity</v>
      </c>
      <c r="D43" s="6" t="s">
        <v>56</v>
      </c>
      <c r="E43" s="205" t="s">
        <v>482</v>
      </c>
      <c r="F43" s="6">
        <v>0.95</v>
      </c>
      <c r="G43" s="216">
        <f t="shared" ref="G43:H47" ca="1" si="12">MAX(IF($AH43&gt;2,$AG$1),AF43)/(AD43+1)^ECAP</f>
        <v>0.29930392709881304</v>
      </c>
      <c r="H43" s="216">
        <f t="shared" ca="1" si="12"/>
        <v>0.28953823834714126</v>
      </c>
      <c r="I43" s="254">
        <f ca="1">OtherData2!K139</f>
        <v>0</v>
      </c>
      <c r="J43" s="254">
        <f ca="1">OtherData2!L139</f>
        <v>0</v>
      </c>
      <c r="K43" s="254">
        <f ca="1">MAX(J43,OtherData2!G33)</f>
        <v>0.5</v>
      </c>
      <c r="L43" s="189">
        <f ca="1">OtherData2!C139/(AD43+1)^ECAP</f>
        <v>0</v>
      </c>
      <c r="M43" s="189">
        <f ca="1">OtherData2!D139/(AE43+1)^ECAP</f>
        <v>0</v>
      </c>
      <c r="N43" s="188" t="str">
        <f ca="1">IF(SUM(M43)&gt;0,OtherData2!E139*$M43,"")</f>
        <v/>
      </c>
      <c r="O43" s="189" t="str">
        <f ca="1">IF(SUM(M43)&gt;0,OtherData2!F139*$M43,"")</f>
        <v/>
      </c>
      <c r="P43" s="189" t="str">
        <f ca="1">IF(SUM(O43)&gt;0,OtherData2!G139*$M43,"")</f>
        <v/>
      </c>
      <c r="Q43" s="189" t="str">
        <f ca="1">IF(SUM(P43)&gt;0,OtherData2!H139*$M43,"")</f>
        <v/>
      </c>
      <c r="R43" s="189" t="str">
        <f ca="1">IF(SUM(Q43)&gt;0,OtherData2!I139*$M43,"")</f>
        <v/>
      </c>
      <c r="S43" s="189" t="str">
        <f ca="1">IF(SUM(R43)&gt;0,OtherData2!J139*$M43,"")</f>
        <v/>
      </c>
      <c r="T43" s="189"/>
      <c r="U43" s="252"/>
      <c r="V43" s="335">
        <f>3.6*8.76*V$1</f>
        <v>3.1536000000000002E-2</v>
      </c>
      <c r="W43" s="162">
        <v>1</v>
      </c>
      <c r="X43" s="254">
        <f t="shared" ref="X43:Y47" ca="1" si="13">IF($AH43&gt;2,MAX($AH43,AF43*AD43/(1+AD43)/MAX(0.01,$AI43-AF43/(1+AD43)))^IF(ECAP,-1,1),IF(ECAP,0,1))*SIGN(-ECAP)</f>
        <v>0</v>
      </c>
      <c r="Y43" s="254">
        <f t="shared" ca="1" si="13"/>
        <v>0</v>
      </c>
      <c r="Z43" s="254"/>
      <c r="AA43" s="254"/>
      <c r="AC43" s="135">
        <v>1</v>
      </c>
      <c r="AD43" s="350">
        <f ca="1">MIN(OFFSET(OtherData2!$C$52,$AC43,MID($B43,8,1)*1),AG43/0.1-1)</f>
        <v>1.8443481417537784</v>
      </c>
      <c r="AE43" s="350">
        <f ca="1">OFFSET(OtherData2!$C$82,$AC43,MID($B43,8,1)*1)</f>
        <v>2.0385523711383837</v>
      </c>
      <c r="AF43" s="351">
        <f ca="1">OtherData2!C33</f>
        <v>0.85132456886311736</v>
      </c>
      <c r="AG43" s="351">
        <f ca="1">OtherData2!D33</f>
        <v>0.87977710066493653</v>
      </c>
      <c r="AH43" s="135">
        <v>1</v>
      </c>
      <c r="AI43" s="135"/>
    </row>
    <row r="44" spans="2:35" ht="12.95" customHeight="1">
      <c r="B44" s="6" t="s">
        <v>510</v>
      </c>
      <c r="C44" s="6" t="str">
        <f>"CHP: Existing " &amp;MID(B44,4,3)&amp; "-based capacity"</f>
        <v>CHP: Existing GAS-based capacity</v>
      </c>
      <c r="D44" s="6" t="s">
        <v>151</v>
      </c>
      <c r="E44" s="205" t="s">
        <v>482</v>
      </c>
      <c r="F44" s="6">
        <v>0.95</v>
      </c>
      <c r="G44" s="216">
        <f t="shared" ca="1" si="12"/>
        <v>0.38108272650734276</v>
      </c>
      <c r="H44" s="216">
        <f t="shared" ca="1" si="12"/>
        <v>0.34265359212573698</v>
      </c>
      <c r="I44" s="254">
        <f ca="1">OtherData2!K140</f>
        <v>0</v>
      </c>
      <c r="J44" s="254">
        <f ca="1">OtherData2!L140</f>
        <v>0</v>
      </c>
      <c r="K44" s="254">
        <f ca="1">MAX(J44,OtherData2!G34)</f>
        <v>0.55000000000000004</v>
      </c>
      <c r="L44" s="189">
        <f ca="1">OtherData2!C140/(AD44+1)^ECAP</f>
        <v>0</v>
      </c>
      <c r="M44" s="189">
        <f ca="1">OtherData2!D140/(AE44+1)^ECAP</f>
        <v>0</v>
      </c>
      <c r="N44" s="188" t="str">
        <f ca="1">IF(SUM(M44)&gt;0,OtherData2!E140*$M44,"")</f>
        <v/>
      </c>
      <c r="O44" s="189" t="str">
        <f ca="1">IF(SUM(M44)&gt;0,OtherData2!F140*$M44,"")</f>
        <v/>
      </c>
      <c r="P44" s="189" t="str">
        <f ca="1">IF(SUM(O44)&gt;0,OtherData2!G140*$M44,"")</f>
        <v/>
      </c>
      <c r="Q44" s="189" t="str">
        <f ca="1">IF(SUM(P44)&gt;0,OtherData2!H140*$M44,"")</f>
        <v/>
      </c>
      <c r="R44" s="189" t="str">
        <f ca="1">IF(SUM(Q44)&gt;0,OtherData2!I140*$M44,"")</f>
        <v/>
      </c>
      <c r="S44" s="189" t="str">
        <f ca="1">IF(SUM(R44)&gt;0,OtherData2!J140*$M44,"")</f>
        <v/>
      </c>
      <c r="T44" s="189"/>
      <c r="U44" s="252"/>
      <c r="V44" s="335">
        <f>3.6*8.76*V$1</f>
        <v>3.1536000000000002E-2</v>
      </c>
      <c r="W44" s="162">
        <v>1</v>
      </c>
      <c r="X44" s="254">
        <f t="shared" ca="1" si="13"/>
        <v>0</v>
      </c>
      <c r="Y44" s="254">
        <f t="shared" ca="1" si="13"/>
        <v>0</v>
      </c>
      <c r="Z44" s="254"/>
      <c r="AA44" s="254"/>
      <c r="AC44" s="135">
        <v>2</v>
      </c>
      <c r="AD44" s="350">
        <f ca="1">MIN(OFFSET(OtherData2!$C$52,$AC44,MID($B44,8,1)*1),AG44/0.1-1)</f>
        <v>1.3389865571011612</v>
      </c>
      <c r="AE44" s="350">
        <f ca="1">OFFSET(OtherData2!$C$82,$AC44,MID($B44,8,1)*1)</f>
        <v>1.5922551960204945</v>
      </c>
      <c r="AF44" s="351">
        <f ca="1">OtherData2!C34</f>
        <v>0.89134737444413303</v>
      </c>
      <c r="AG44" s="351">
        <f ca="1">OtherData2!D34</f>
        <v>0.88824555462302901</v>
      </c>
      <c r="AH44" s="135">
        <v>1</v>
      </c>
      <c r="AI44" s="135"/>
    </row>
    <row r="45" spans="2:35" ht="12.95" customHeight="1">
      <c r="B45" s="6" t="s">
        <v>511</v>
      </c>
      <c r="C45" s="6" t="str">
        <f>"CHP: Existing " &amp;MID(B45,4,3)&amp; "-based capacity"</f>
        <v>CHP: Existing COA-based capacity</v>
      </c>
      <c r="D45" s="6" t="s">
        <v>169</v>
      </c>
      <c r="E45" s="205" t="s">
        <v>482</v>
      </c>
      <c r="F45" s="6">
        <v>0.95</v>
      </c>
      <c r="G45" s="216">
        <f t="shared" ca="1" si="12"/>
        <v>0.2213277658872268</v>
      </c>
      <c r="H45" s="216">
        <f t="shared" ca="1" si="12"/>
        <v>0.19307297067430285</v>
      </c>
      <c r="I45" s="254">
        <f ca="1">OtherData2!K141</f>
        <v>0</v>
      </c>
      <c r="J45" s="254">
        <f ca="1">OtherData2!L141</f>
        <v>0</v>
      </c>
      <c r="K45" s="254">
        <f ca="1">MAX(J45,OtherData2!G35)</f>
        <v>0.55000000000000004</v>
      </c>
      <c r="L45" s="189">
        <f ca="1">OtherData2!C141/(AD45+1)^ECAP</f>
        <v>0</v>
      </c>
      <c r="M45" s="189">
        <f ca="1">OtherData2!D141/(AE45+1)^ECAP</f>
        <v>0</v>
      </c>
      <c r="N45" s="188" t="str">
        <f ca="1">IF(SUM(M45)&gt;0,OtherData2!E141*$M45,"")</f>
        <v/>
      </c>
      <c r="O45" s="189" t="str">
        <f ca="1">IF(SUM(M45)&gt;0,OtherData2!F141*$M45,"")</f>
        <v/>
      </c>
      <c r="P45" s="189" t="str">
        <f ca="1">IF(SUM(O45)&gt;0,OtherData2!G141*$M45,"")</f>
        <v/>
      </c>
      <c r="Q45" s="189" t="str">
        <f ca="1">IF(SUM(P45)&gt;0,OtherData2!H141*$M45,"")</f>
        <v/>
      </c>
      <c r="R45" s="189" t="str">
        <f ca="1">IF(SUM(Q45)&gt;0,OtherData2!I141*$M45,"")</f>
        <v/>
      </c>
      <c r="S45" s="189" t="str">
        <f ca="1">IF(SUM(R45)&gt;0,OtherData2!J141*$M45,"")</f>
        <v/>
      </c>
      <c r="T45" s="189"/>
      <c r="U45" s="252"/>
      <c r="V45" s="335">
        <f>3.6*8.76*V$1</f>
        <v>3.1536000000000002E-2</v>
      </c>
      <c r="W45" s="162">
        <v>1</v>
      </c>
      <c r="X45" s="254">
        <f t="shared" ca="1" si="13"/>
        <v>0</v>
      </c>
      <c r="Y45" s="254">
        <f t="shared" ca="1" si="13"/>
        <v>0</v>
      </c>
      <c r="Z45" s="254"/>
      <c r="AA45" s="254"/>
      <c r="AC45" s="135">
        <v>3</v>
      </c>
      <c r="AD45" s="350">
        <f ca="1">MIN(OFFSET(OtherData2!$C$52,$AC45,MID($B45,8,1)*1),AG45/0.1-1)</f>
        <v>2.8283356013396683</v>
      </c>
      <c r="AE45" s="350">
        <f ca="1">OFFSET(OtherData2!$C$82,$AC45,MID($B45,8,1)*1)</f>
        <v>3.4667126461620299</v>
      </c>
      <c r="AF45" s="351">
        <f ca="1">OtherData2!C35</f>
        <v>0.84731696571104176</v>
      </c>
      <c r="AG45" s="351">
        <f ca="1">OtherData2!D35</f>
        <v>0.86240147974297932</v>
      </c>
      <c r="AH45" s="135">
        <v>1</v>
      </c>
      <c r="AI45" s="135"/>
    </row>
    <row r="46" spans="2:35" ht="12.95" customHeight="1">
      <c r="B46" s="6" t="s">
        <v>512</v>
      </c>
      <c r="C46" s="6" t="str">
        <f>"CHP: Existing " &amp;MID(B46,4,3)&amp; "-based capacity"</f>
        <v>CHP: Existing BCO-based capacity</v>
      </c>
      <c r="D46" s="6" t="s">
        <v>354</v>
      </c>
      <c r="E46" s="205" t="s">
        <v>482</v>
      </c>
      <c r="F46" s="6">
        <v>0.95</v>
      </c>
      <c r="G46" s="216">
        <f t="shared" ca="1" si="12"/>
        <v>0.19496020775535758</v>
      </c>
      <c r="H46" s="216">
        <f t="shared" ca="1" si="12"/>
        <v>0.20845794978785578</v>
      </c>
      <c r="I46" s="254">
        <f ca="1">OtherData2!K142</f>
        <v>0</v>
      </c>
      <c r="J46" s="254">
        <f ca="1">OtherData2!L142</f>
        <v>0</v>
      </c>
      <c r="K46" s="254">
        <f ca="1">MAX(J46,OtherData2!G36)</f>
        <v>0.55000000000000004</v>
      </c>
      <c r="L46" s="189">
        <f ca="1">OtherData2!C142/(AD46+1)^ECAP</f>
        <v>0</v>
      </c>
      <c r="M46" s="189">
        <f ca="1">OtherData2!D142/(AE46+1)^ECAP</f>
        <v>0</v>
      </c>
      <c r="N46" s="188" t="str">
        <f ca="1">IF(SUM(M46)&gt;0,OtherData2!E142*$M46,"")</f>
        <v/>
      </c>
      <c r="O46" s="189" t="str">
        <f ca="1">IF(SUM(M46)&gt;0,OtherData2!F142*$M46,"")</f>
        <v/>
      </c>
      <c r="P46" s="189" t="str">
        <f ca="1">IF(SUM(O46)&gt;0,OtherData2!G142*$M46,"")</f>
        <v/>
      </c>
      <c r="Q46" s="189" t="str">
        <f ca="1">IF(SUM(P46)&gt;0,OtherData2!H142*$M46,"")</f>
        <v/>
      </c>
      <c r="R46" s="189" t="str">
        <f ca="1">IF(SUM(Q46)&gt;0,OtherData2!I142*$M46,"")</f>
        <v/>
      </c>
      <c r="S46" s="189" t="str">
        <f ca="1">IF(SUM(R46)&gt;0,OtherData2!J142*$M46,"")</f>
        <v/>
      </c>
      <c r="T46" s="189"/>
      <c r="U46" s="252"/>
      <c r="V46" s="335">
        <f>3.6*8.76*V$1</f>
        <v>3.1536000000000002E-2</v>
      </c>
      <c r="W46" s="162">
        <v>1</v>
      </c>
      <c r="X46" s="254">
        <f t="shared" ca="1" si="13"/>
        <v>0</v>
      </c>
      <c r="Y46" s="254">
        <f t="shared" ca="1" si="13"/>
        <v>0</v>
      </c>
      <c r="Z46" s="254"/>
      <c r="AA46" s="254"/>
      <c r="AC46" s="135">
        <v>4</v>
      </c>
      <c r="AD46" s="350">
        <f ca="1">MIN(OFFSET(OtherData2!$C$52,$AC46,MID($B46,8,1)*1),AG46/0.1-1)</f>
        <v>3.2424242424242409</v>
      </c>
      <c r="AE46" s="350">
        <f ca="1">OFFSET(OtherData2!$C$82,$AC46,MID($B46,8,1)*1)</f>
        <v>3.2424242424242409</v>
      </c>
      <c r="AF46" s="351">
        <f ca="1">OtherData2!C36</f>
        <v>0.82710391168939534</v>
      </c>
      <c r="AG46" s="351">
        <f ca="1">OtherData2!D36</f>
        <v>0.88436705970605445</v>
      </c>
      <c r="AH46" s="135">
        <v>1</v>
      </c>
      <c r="AI46" s="135"/>
    </row>
    <row r="47" spans="2:35" ht="12.95" customHeight="1">
      <c r="B47" s="6" t="s">
        <v>513</v>
      </c>
      <c r="C47" s="6" t="str">
        <f>"CHP: Existing " &amp;MID(B47,4,3)&amp; "-based capacity"</f>
        <v>CHP: Existing BIO-based capacity</v>
      </c>
      <c r="D47" s="6" t="s">
        <v>152</v>
      </c>
      <c r="E47" s="205" t="s">
        <v>482</v>
      </c>
      <c r="F47" s="6">
        <v>0.95</v>
      </c>
      <c r="G47" s="216">
        <f t="shared" ca="1" si="12"/>
        <v>0.16177586695958313</v>
      </c>
      <c r="H47" s="216">
        <f t="shared" ca="1" si="12"/>
        <v>0.13722734237944811</v>
      </c>
      <c r="I47" s="254">
        <f ca="1">OtherData2!K143</f>
        <v>0</v>
      </c>
      <c r="J47" s="254">
        <f ca="1">OtherData2!L143</f>
        <v>0</v>
      </c>
      <c r="K47" s="254">
        <f ca="1">MAX(J47,OtherData2!G37)</f>
        <v>0.55000000000000004</v>
      </c>
      <c r="L47" s="189">
        <f ca="1">OtherData2!C143/(AD47+1)^ECAP</f>
        <v>0</v>
      </c>
      <c r="M47" s="189">
        <f ca="1">OtherData2!D143/(AE47+1)^ECAP</f>
        <v>0</v>
      </c>
      <c r="N47" s="188" t="str">
        <f ca="1">IF(SUM(M47)&gt;0,OtherData2!E143*$M47,"")</f>
        <v/>
      </c>
      <c r="O47" s="189" t="str">
        <f ca="1">IF(SUM(M47)&gt;0,OtherData2!F143*$M47,"")</f>
        <v/>
      </c>
      <c r="P47" s="189" t="str">
        <f ca="1">IF(SUM(O47)&gt;0,OtherData2!G143*$M47,"")</f>
        <v/>
      </c>
      <c r="Q47" s="189" t="str">
        <f ca="1">IF(SUM(P47)&gt;0,OtherData2!H143*$M47,"")</f>
        <v/>
      </c>
      <c r="R47" s="189" t="str">
        <f ca="1">IF(SUM(Q47)&gt;0,OtherData2!I143*$M47,"")</f>
        <v/>
      </c>
      <c r="S47" s="189" t="str">
        <f ca="1">IF(SUM(R47)&gt;0,OtherData2!J143*$M47,"")</f>
        <v/>
      </c>
      <c r="T47" s="189"/>
      <c r="U47" s="252"/>
      <c r="V47" s="335">
        <f>3.6*8.76*V$1</f>
        <v>3.1536000000000002E-2</v>
      </c>
      <c r="W47" s="162">
        <v>1</v>
      </c>
      <c r="X47" s="254">
        <f t="shared" ca="1" si="13"/>
        <v>0</v>
      </c>
      <c r="Y47" s="254">
        <f t="shared" ca="1" si="13"/>
        <v>0</v>
      </c>
      <c r="Z47" s="254"/>
      <c r="AA47" s="254"/>
      <c r="AC47" s="135">
        <v>5</v>
      </c>
      <c r="AD47" s="350">
        <f ca="1">MIN(OFFSET(OtherData2!$C$52,$AC47,MID($B47,8,1)*1),AG47/0.1-1)</f>
        <v>4.1658079314358147</v>
      </c>
      <c r="AE47" s="350">
        <f ca="1">OFFSET(OtherData2!$C$82,$AC47,MID($B47,8,1)*1)</f>
        <v>5.2510337410569958</v>
      </c>
      <c r="AF47" s="351">
        <f ca="1">OtherData2!C37</f>
        <v>0.83570305665471967</v>
      </c>
      <c r="AG47" s="351">
        <f ca="1">OtherData2!D37</f>
        <v>0.85781274740951075</v>
      </c>
      <c r="AH47" s="135">
        <v>1</v>
      </c>
      <c r="AI47" s="135"/>
    </row>
    <row r="48" spans="2:35" ht="12.95" customHeight="1">
      <c r="B48" s="257" t="s">
        <v>59</v>
      </c>
      <c r="C48" s="257"/>
      <c r="D48" s="257"/>
      <c r="E48" s="257"/>
      <c r="F48" s="257"/>
      <c r="G48" s="257"/>
      <c r="H48" s="257"/>
      <c r="I48" s="257"/>
      <c r="J48" s="257"/>
      <c r="K48" s="257"/>
      <c r="L48" s="257"/>
      <c r="M48" s="257"/>
      <c r="N48" s="181"/>
      <c r="O48" s="257"/>
      <c r="P48" s="257"/>
      <c r="Q48" s="257"/>
      <c r="R48" s="257"/>
      <c r="S48" s="257"/>
      <c r="T48" s="257"/>
      <c r="U48" s="257"/>
      <c r="V48" s="337"/>
      <c r="W48" s="257"/>
      <c r="X48" s="257"/>
      <c r="Y48" s="257"/>
      <c r="Z48" s="257"/>
      <c r="AA48" s="257"/>
    </row>
    <row r="49" spans="2:27" ht="12.95" customHeight="1">
      <c r="B49" s="6" t="s">
        <v>355</v>
      </c>
      <c r="C49" s="6" t="str">
        <f>"HET: Existing " &amp;MID(B49,4,3)&amp; "-based capacity"</f>
        <v>HET: Existing OIL-based capacity</v>
      </c>
      <c r="D49" s="6" t="s">
        <v>56</v>
      </c>
      <c r="E49" s="6" t="s">
        <v>409</v>
      </c>
      <c r="F49" s="6">
        <v>0.95</v>
      </c>
      <c r="G49" s="216">
        <f ca="1">OtherData2!O33</f>
        <v>0.89068067708413179</v>
      </c>
      <c r="H49" s="216">
        <f ca="1">OtherData2!P33</f>
        <v>0.97621876252562656</v>
      </c>
      <c r="I49" s="254">
        <f ca="1">MAX(0.01,OtherData2!W124)</f>
        <v>0.01</v>
      </c>
      <c r="J49" s="254">
        <f ca="1">MAX(0.01,OtherData2!X124)</f>
        <v>1.1383971530875586E-2</v>
      </c>
      <c r="K49" s="254">
        <f ca="1">MAX(I49,OtherData2!S33)</f>
        <v>0.2</v>
      </c>
      <c r="L49" s="252">
        <f ca="1">OtherData2!O124</f>
        <v>1.7507000000000001</v>
      </c>
      <c r="M49" s="252">
        <f ca="1">OtherData2!P124</f>
        <v>0.82914913792964917</v>
      </c>
      <c r="N49" s="181">
        <f ca="1">IF(SUM(M49)&gt;0,OtherData2!Q124,"")</f>
        <v>0.82914913792964917</v>
      </c>
      <c r="O49" s="252">
        <f ca="1">IF(SUM(M49)&gt;0,OtherData2!R124,"")</f>
        <v>0.67054197373072666</v>
      </c>
      <c r="P49" s="252">
        <f ca="1">IF(SUM(O49)&gt;0,OtherData2!S124,"")</f>
        <v>0.43912923310975999</v>
      </c>
      <c r="Q49" s="252">
        <f ca="1">IF(SUM(P49)&gt;0,OtherData2!T124,"")</f>
        <v>0.39844410343959147</v>
      </c>
      <c r="R49" s="252">
        <f ca="1">IF(SUM(Q49)&gt;0,OtherData2!U124,"")</f>
        <v>0</v>
      </c>
      <c r="S49" s="252" t="str">
        <f ca="1">IF(SUM(R49)&gt;0,OtherData2!V121,"")</f>
        <v/>
      </c>
      <c r="T49" s="252"/>
      <c r="U49" s="252"/>
      <c r="V49" s="335">
        <f ca="1">3.6*8.76*V$1*SHCAP</f>
        <v>31.536000000000001</v>
      </c>
      <c r="W49" s="6"/>
      <c r="X49" s="6"/>
      <c r="Y49" s="6"/>
      <c r="Z49" s="6"/>
      <c r="AA49" s="6"/>
    </row>
    <row r="50" spans="2:27" ht="12.95" customHeight="1">
      <c r="B50" s="6" t="s">
        <v>356</v>
      </c>
      <c r="C50" s="6" t="str">
        <f>"HET: Existing " &amp;MID(B50,4,3)&amp; "-based capacity"</f>
        <v>HET: Existing GAS-based capacity</v>
      </c>
      <c r="D50" s="6" t="s">
        <v>151</v>
      </c>
      <c r="E50" s="6" t="s">
        <v>409</v>
      </c>
      <c r="F50" s="6">
        <v>0.95</v>
      </c>
      <c r="G50" s="216">
        <f ca="1">OtherData2!O34</f>
        <v>0.89068067921694494</v>
      </c>
      <c r="H50" s="216">
        <f ca="1">OtherData2!P34</f>
        <v>0.9762187652237081</v>
      </c>
      <c r="I50" s="254">
        <f ca="1">MAX(0.01,OtherData2!W125)</f>
        <v>7.2825016036892107E-2</v>
      </c>
      <c r="J50" s="254">
        <f ca="1">MAX(0.01,OtherData2!X125)</f>
        <v>3.4142580409383991E-2</v>
      </c>
      <c r="K50" s="254">
        <f ca="1">MAX(I50,OtherData2!S34)</f>
        <v>0.3</v>
      </c>
      <c r="L50" s="252">
        <f ca="1">OtherData2!O125</f>
        <v>1.9119999999999999</v>
      </c>
      <c r="M50" s="252">
        <f ca="1">OtherData2!P125</f>
        <v>1.7579764526232871</v>
      </c>
      <c r="N50" s="181">
        <f ca="1">IF(SUM(M50)&gt;0,OtherData2!Q125,"")</f>
        <v>2.004</v>
      </c>
      <c r="O50" s="252">
        <f ca="1">IF(SUM(M50)&gt;0,OtherData2!R125,"")</f>
        <v>1.3891911315582173</v>
      </c>
      <c r="P50" s="252">
        <f ca="1">IF(SUM(O50)&gt;0,OtherData2!S125,"")</f>
        <v>0.81633081529487783</v>
      </c>
      <c r="Q50" s="252">
        <f ca="1">IF(SUM(P50)&gt;0,OtherData2!T125,"")</f>
        <v>0.61804854178292501</v>
      </c>
      <c r="R50" s="252">
        <f ca="1">IF(SUM(Q50)&gt;0,OtherData2!U125,"")</f>
        <v>0</v>
      </c>
      <c r="S50" s="252" t="str">
        <f ca="1">IF(SUM(R50)&gt;0,OtherData2!V122,"")</f>
        <v/>
      </c>
      <c r="T50" s="252"/>
      <c r="U50" s="252"/>
      <c r="V50" s="335">
        <f ca="1">3.6*8.76*V$1*SHCAP</f>
        <v>31.536000000000001</v>
      </c>
      <c r="W50" s="6"/>
      <c r="X50" s="6"/>
      <c r="Y50" s="6"/>
      <c r="Z50" s="6"/>
      <c r="AA50" s="6"/>
    </row>
    <row r="51" spans="2:27" ht="12.95" customHeight="1">
      <c r="B51" s="6" t="s">
        <v>357</v>
      </c>
      <c r="C51" s="6" t="str">
        <f>"HET: Existing " &amp;MID(B51,4,3)&amp; "-based capacity"</f>
        <v>HET: Existing COA-based capacity</v>
      </c>
      <c r="D51" s="6" t="s">
        <v>169</v>
      </c>
      <c r="E51" s="6" t="s">
        <v>409</v>
      </c>
      <c r="F51" s="6">
        <v>0.95</v>
      </c>
      <c r="G51" s="216">
        <f ca="1">OtherData2!O35</f>
        <v>0.9154218090031323</v>
      </c>
      <c r="H51" s="216">
        <f ca="1">OtherData2!P35</f>
        <v>0.96537188968488963</v>
      </c>
      <c r="I51" s="254">
        <f ca="1">MAX(0.01,OtherData2!W126)</f>
        <v>0.16749085775367961</v>
      </c>
      <c r="J51" s="254">
        <f ca="1">MAX(0.01,OtherData2!X126)</f>
        <v>9.5710935136979702E-2</v>
      </c>
      <c r="K51" s="254">
        <f ca="1">MAX(I51,OtherData2!S35)</f>
        <v>0.5</v>
      </c>
      <c r="L51" s="252">
        <f ca="1">OtherData2!O126</f>
        <v>0.42</v>
      </c>
      <c r="M51" s="252">
        <f ca="1">OtherData2!P126</f>
        <v>0.35589999999999999</v>
      </c>
      <c r="N51" s="181">
        <f ca="1">IF(SUM(M51)&gt;0,OtherData2!Q126,"")</f>
        <v>0.42</v>
      </c>
      <c r="O51" s="252">
        <f ca="1">IF(SUM(M51)&gt;0,OtherData2!R126,"")</f>
        <v>0.26</v>
      </c>
      <c r="P51" s="252">
        <f ca="1">IF(SUM(O51)&gt;0,OtherData2!S126,"")</f>
        <v>0</v>
      </c>
      <c r="Q51" s="252" t="str">
        <f ca="1">IF(SUM(P51)&gt;0,OtherData2!T126,"")</f>
        <v/>
      </c>
      <c r="R51" s="252" t="str">
        <f ca="1">IF(SUM(Q51)&gt;0,OtherData2!U126,"")</f>
        <v/>
      </c>
      <c r="S51" s="252" t="str">
        <f ca="1">IF(SUM(R51)&gt;0,OtherData2!V123,"")</f>
        <v/>
      </c>
      <c r="T51" s="252"/>
      <c r="U51" s="252"/>
      <c r="V51" s="335">
        <f ca="1">3.6*8.76*V$1*SHCAP</f>
        <v>31.536000000000001</v>
      </c>
      <c r="W51" s="6"/>
      <c r="X51" s="6"/>
      <c r="Y51" s="6"/>
      <c r="Z51" s="6"/>
      <c r="AA51" s="6"/>
    </row>
    <row r="52" spans="2:27" ht="12.95" customHeight="1">
      <c r="B52" s="6" t="s">
        <v>371</v>
      </c>
      <c r="C52" s="6" t="str">
        <f>"HET: Existing " &amp;MID(B52,4,3)&amp; "-based capacity"</f>
        <v>HET: Existing BCO-based capacity</v>
      </c>
      <c r="D52" s="6" t="s">
        <v>354</v>
      </c>
      <c r="E52" s="6" t="s">
        <v>409</v>
      </c>
      <c r="F52" s="6">
        <v>0.95</v>
      </c>
      <c r="G52" s="216">
        <f ca="1">OtherData2!O36</f>
        <v>0.85109485998236167</v>
      </c>
      <c r="H52" s="216">
        <f ca="1">OtherData2!P36</f>
        <v>0.93283112107277744</v>
      </c>
      <c r="I52" s="254">
        <f ca="1">MAX(0.01,OtherData2!W127)</f>
        <v>0.31641130968808051</v>
      </c>
      <c r="J52" s="254">
        <f ca="1">MAX(0.01,OtherData2!X127)</f>
        <v>0.32889077223899998</v>
      </c>
      <c r="K52" s="254">
        <f ca="1">MAX(I52,OtherData2!S36)</f>
        <v>0.5</v>
      </c>
      <c r="L52" s="252">
        <f ca="1">OtherData2!O127</f>
        <v>6.3444600596916055E-3</v>
      </c>
      <c r="M52" s="252">
        <f ca="1">OtherData2!P127</f>
        <v>5.8280026013744388E-4</v>
      </c>
      <c r="N52" s="181">
        <f ca="1">IF(SUM(M52)&gt;0,OtherData2!Q127,"")</f>
        <v>1.0713240076055955E-4</v>
      </c>
      <c r="O52" s="252">
        <f ca="1">IF(SUM(M52)&gt;0,OtherData2!R127,"")</f>
        <v>5.8280026013744388E-4</v>
      </c>
      <c r="P52" s="252">
        <f ca="1">IF(SUM(O52)&gt;0,OtherData2!S127,"")</f>
        <v>5.8280026013744388E-4</v>
      </c>
      <c r="Q52" s="252">
        <f ca="1">IF(SUM(P52)&gt;0,OtherData2!T127,"")</f>
        <v>5.8280026013744388E-4</v>
      </c>
      <c r="R52" s="252">
        <f ca="1">IF(SUM(Q52)&gt;0,OtherData2!U127,"")</f>
        <v>5.8280026013744388E-4</v>
      </c>
      <c r="S52" s="252">
        <f ca="1">IF(SUM(R52)&gt;0,OtherData2!V127,"")</f>
        <v>5.8280026013744388E-4</v>
      </c>
      <c r="T52" s="252"/>
      <c r="U52" s="252"/>
      <c r="V52" s="335">
        <f ca="1">3.6*8.76*V$1*SHCAP</f>
        <v>31.536000000000001</v>
      </c>
      <c r="W52" s="6"/>
      <c r="X52" s="6"/>
      <c r="Y52" s="6"/>
      <c r="Z52" s="6"/>
      <c r="AA52" s="6"/>
    </row>
    <row r="53" spans="2:27" ht="12.95" customHeight="1">
      <c r="B53" s="6" t="s">
        <v>358</v>
      </c>
      <c r="C53" s="6" t="str">
        <f>"HET: Existing " &amp;MID(B53,4,3)&amp; "-based capacity"</f>
        <v>HET: Existing BIO-based capacity</v>
      </c>
      <c r="D53" s="6" t="s">
        <v>152</v>
      </c>
      <c r="E53" s="6" t="s">
        <v>409</v>
      </c>
      <c r="F53" s="6">
        <v>0.95</v>
      </c>
      <c r="G53" s="216">
        <f ca="1">OtherData2!O37</f>
        <v>0.85109486966223113</v>
      </c>
      <c r="H53" s="216">
        <f ca="1">OtherData2!P37</f>
        <v>0.97621876474574343</v>
      </c>
      <c r="I53" s="254">
        <f ca="1">MAX(0.01,OtherData2!W128)</f>
        <v>0.47461696993014457</v>
      </c>
      <c r="J53" s="254">
        <f ca="1">MAX(0.01,OtherData2!X128)</f>
        <v>0.28479288904031297</v>
      </c>
      <c r="K53" s="254">
        <f ca="1">MAX(I53,OtherData2!S37)</f>
        <v>0.5</v>
      </c>
      <c r="L53" s="252">
        <f ca="1">OtherData2!O128</f>
        <v>2.7463971705766248E-2</v>
      </c>
      <c r="M53" s="252">
        <f ca="1">OtherData2!P128</f>
        <v>0.10811719973986256</v>
      </c>
      <c r="N53" s="181">
        <f ca="1">IF(SUM(M53)&gt;0,OtherData2!Q128,"")</f>
        <v>1.9892867599239441E-2</v>
      </c>
      <c r="O53" s="252">
        <f ca="1">IF(SUM(M53)&gt;0,OtherData2!R128,"")</f>
        <v>0.24141719973986256</v>
      </c>
      <c r="P53" s="252">
        <f ca="1">IF(SUM(O53)&gt;0,OtherData2!S128,"")</f>
        <v>0.49141719973986253</v>
      </c>
      <c r="Q53" s="252">
        <f ca="1">IF(SUM(P53)&gt;0,OtherData2!T128,"")</f>
        <v>0.49141719973986253</v>
      </c>
      <c r="R53" s="252">
        <f ca="1">IF(SUM(Q53)&gt;0,OtherData2!U128,"")</f>
        <v>0.49141719973986253</v>
      </c>
      <c r="S53" s="252">
        <f ca="1">IF(SUM(R53)&gt;0,OtherData2!V128,"")</f>
        <v>0.39941719973986256</v>
      </c>
      <c r="T53" s="252"/>
      <c r="U53" s="252"/>
      <c r="V53" s="335">
        <f ca="1">3.6*8.76*V$1*SHCAP</f>
        <v>31.536000000000001</v>
      </c>
      <c r="W53" s="6"/>
      <c r="X53" s="6"/>
      <c r="Y53" s="6"/>
      <c r="Z53" s="6"/>
      <c r="AA53" s="6"/>
    </row>
    <row r="54" spans="2:27" ht="12.95" customHeight="1">
      <c r="B54" s="257" t="s">
        <v>59</v>
      </c>
      <c r="C54" s="257"/>
      <c r="D54" s="257"/>
      <c r="E54" s="257"/>
      <c r="F54" s="257"/>
      <c r="G54" s="257"/>
      <c r="H54" s="257"/>
      <c r="I54" s="257"/>
      <c r="J54" s="257"/>
      <c r="K54" s="257"/>
      <c r="L54" s="181"/>
      <c r="M54" s="181"/>
      <c r="N54" s="181"/>
      <c r="O54" s="181"/>
      <c r="P54" s="181"/>
      <c r="Q54" s="181"/>
      <c r="R54" s="181"/>
      <c r="S54" s="181"/>
      <c r="T54" s="257"/>
      <c r="U54" s="257"/>
      <c r="V54" s="337"/>
      <c r="W54" s="257"/>
      <c r="X54" s="257"/>
      <c r="Y54" s="257"/>
      <c r="Z54" s="257"/>
      <c r="AA54" s="257"/>
    </row>
    <row r="55" spans="2:27" ht="12.95" customHeight="1">
      <c r="B55" s="6" t="s">
        <v>359</v>
      </c>
      <c r="C55" s="6" t="str">
        <f>"HET: Existing " &amp;MID(B55,4,3)&amp; "-based capacity"</f>
        <v>HET: Existing OIL-based capacity</v>
      </c>
      <c r="D55" s="6" t="s">
        <v>56</v>
      </c>
      <c r="E55" s="6" t="s">
        <v>410</v>
      </c>
      <c r="F55" s="6">
        <v>0.95</v>
      </c>
      <c r="G55" s="216">
        <f ca="1">OtherData2!O33</f>
        <v>0.89068067708413179</v>
      </c>
      <c r="H55" s="216">
        <f ca="1">OtherData2!P33</f>
        <v>0.97621876252562656</v>
      </c>
      <c r="I55" s="254">
        <f ca="1">MAX(0.01,OtherData2!W129)</f>
        <v>0.01</v>
      </c>
      <c r="J55" s="254">
        <f ca="1">MAX(0.01,OtherData2!X129)</f>
        <v>0.01</v>
      </c>
      <c r="K55" s="254">
        <f ca="1">MAX(I55,OtherData2!S33)</f>
        <v>0.2</v>
      </c>
      <c r="L55" s="252">
        <f ca="1">OtherData2!O129</f>
        <v>0</v>
      </c>
      <c r="M55" s="252">
        <f ca="1">OtherData2!P129</f>
        <v>0</v>
      </c>
      <c r="N55" s="181" t="str">
        <f ca="1">IF(SUM(M55)&gt;0,OtherData2!Q129,"")</f>
        <v/>
      </c>
      <c r="O55" s="252" t="str">
        <f ca="1">IF(SUM(M55)&gt;0,OtherData2!R129,"")</f>
        <v/>
      </c>
      <c r="P55" s="252" t="str">
        <f ca="1">IF(SUM(O55)&gt;0,OtherData2!S129,"")</f>
        <v/>
      </c>
      <c r="Q55" s="252" t="str">
        <f ca="1">IF(SUM(P55)&gt;0,OtherData2!T129,"")</f>
        <v/>
      </c>
      <c r="R55" s="252" t="str">
        <f ca="1">IF(SUM(Q55)&gt;0,OtherData2!U129,"")</f>
        <v/>
      </c>
      <c r="S55" s="252" t="str">
        <f ca="1">IF(SUM(R55)&gt;0,OtherData2!V129,"")</f>
        <v/>
      </c>
      <c r="T55" s="252"/>
      <c r="U55" s="252"/>
      <c r="V55" s="335">
        <f ca="1">3.6*8.76*V$1*SHCAP</f>
        <v>31.536000000000001</v>
      </c>
      <c r="W55" s="6"/>
      <c r="X55" s="6"/>
      <c r="Y55" s="6"/>
      <c r="Z55" s="6"/>
      <c r="AA55" s="6"/>
    </row>
    <row r="56" spans="2:27" ht="12.95" customHeight="1">
      <c r="B56" s="6" t="s">
        <v>360</v>
      </c>
      <c r="C56" s="6" t="str">
        <f>"HET: Existing " &amp;MID(B56,4,3)&amp; "-based capacity"</f>
        <v>HET: Existing GAS-based capacity</v>
      </c>
      <c r="D56" s="6" t="s">
        <v>151</v>
      </c>
      <c r="E56" s="6" t="s">
        <v>410</v>
      </c>
      <c r="F56" s="6">
        <v>0.95</v>
      </c>
      <c r="G56" s="216">
        <f ca="1">OtherData2!O34</f>
        <v>0.89068067921694494</v>
      </c>
      <c r="H56" s="216">
        <f ca="1">OtherData2!P34</f>
        <v>0.9762187652237081</v>
      </c>
      <c r="I56" s="254">
        <f ca="1">MAX(0.01,OtherData2!W130)</f>
        <v>0.01</v>
      </c>
      <c r="J56" s="254">
        <f ca="1">MAX(0.01,OtherData2!X130)</f>
        <v>0.01</v>
      </c>
      <c r="K56" s="254">
        <f ca="1">MAX(I56,OtherData2!S34)</f>
        <v>0.3</v>
      </c>
      <c r="L56" s="252">
        <f ca="1">OtherData2!O130</f>
        <v>0</v>
      </c>
      <c r="M56" s="252">
        <f ca="1">OtherData2!P130</f>
        <v>0</v>
      </c>
      <c r="N56" s="181" t="str">
        <f ca="1">IF(SUM(M56)&gt;0,OtherData2!Q130,"")</f>
        <v/>
      </c>
      <c r="O56" s="252" t="str">
        <f ca="1">IF(SUM(M56)&gt;0,OtherData2!R130,"")</f>
        <v/>
      </c>
      <c r="P56" s="252" t="str">
        <f ca="1">IF(SUM(O56)&gt;0,OtherData2!S130,"")</f>
        <v/>
      </c>
      <c r="Q56" s="252" t="str">
        <f ca="1">IF(SUM(P56)&gt;0,OtherData2!T130,"")</f>
        <v/>
      </c>
      <c r="R56" s="252" t="str">
        <f ca="1">IF(SUM(Q56)&gt;0,OtherData2!U130,"")</f>
        <v/>
      </c>
      <c r="S56" s="252" t="str">
        <f ca="1">IF(SUM(R56)&gt;0,OtherData2!V130,"")</f>
        <v/>
      </c>
      <c r="T56" s="252"/>
      <c r="U56" s="252"/>
      <c r="V56" s="335">
        <f ca="1">3.6*8.76*V$1*SHCAP</f>
        <v>31.536000000000001</v>
      </c>
      <c r="W56" s="6"/>
      <c r="X56" s="6"/>
      <c r="Y56" s="6"/>
      <c r="Z56" s="6"/>
      <c r="AA56" s="6"/>
    </row>
    <row r="57" spans="2:27" ht="12.95" customHeight="1">
      <c r="B57" s="6" t="s">
        <v>361</v>
      </c>
      <c r="C57" s="6" t="str">
        <f>"HET: Existing " &amp;MID(B57,4,3)&amp; "-based capacity"</f>
        <v>HET: Existing COA-based capacity</v>
      </c>
      <c r="D57" s="6" t="s">
        <v>169</v>
      </c>
      <c r="E57" s="6" t="s">
        <v>410</v>
      </c>
      <c r="F57" s="6">
        <v>0.95</v>
      </c>
      <c r="G57" s="216">
        <f ca="1">OtherData2!O35</f>
        <v>0.9154218090031323</v>
      </c>
      <c r="H57" s="216">
        <f ca="1">OtherData2!P35</f>
        <v>0.96537188968488963</v>
      </c>
      <c r="I57" s="254">
        <f ca="1">MAX(0.01,OtherData2!W131)</f>
        <v>0.01</v>
      </c>
      <c r="J57" s="254">
        <f ca="1">MAX(0.01,OtherData2!X131)</f>
        <v>0.01</v>
      </c>
      <c r="K57" s="254">
        <f ca="1">MAX(I57,OtherData2!S35)</f>
        <v>0.5</v>
      </c>
      <c r="L57" s="252">
        <f ca="1">OtherData2!O131</f>
        <v>0</v>
      </c>
      <c r="M57" s="252">
        <f ca="1">OtherData2!P131</f>
        <v>0</v>
      </c>
      <c r="N57" s="181" t="str">
        <f ca="1">IF(SUM(M57)&gt;0,OtherData2!Q131,"")</f>
        <v/>
      </c>
      <c r="O57" s="252" t="str">
        <f ca="1">IF(SUM(M57)&gt;0,OtherData2!R131,"")</f>
        <v/>
      </c>
      <c r="P57" s="252" t="str">
        <f ca="1">IF(SUM(O57)&gt;0,OtherData2!S131,"")</f>
        <v/>
      </c>
      <c r="Q57" s="252" t="str">
        <f ca="1">IF(SUM(P57)&gt;0,OtherData2!T131,"")</f>
        <v/>
      </c>
      <c r="R57" s="252" t="str">
        <f ca="1">IF(SUM(Q57)&gt;0,OtherData2!U131,"")</f>
        <v/>
      </c>
      <c r="S57" s="252" t="str">
        <f ca="1">IF(SUM(R57)&gt;0,OtherData2!V131,"")</f>
        <v/>
      </c>
      <c r="T57" s="252"/>
      <c r="U57" s="252"/>
      <c r="V57" s="335">
        <f ca="1">3.6*8.76*V$1*SHCAP</f>
        <v>31.536000000000001</v>
      </c>
      <c r="W57" s="6"/>
      <c r="X57" s="6"/>
      <c r="Y57" s="6"/>
      <c r="Z57" s="6"/>
      <c r="AA57" s="6"/>
    </row>
    <row r="58" spans="2:27" ht="12.95" customHeight="1">
      <c r="B58" s="6" t="s">
        <v>374</v>
      </c>
      <c r="C58" s="6" t="str">
        <f>"HET: Existing " &amp;MID(B58,4,3)&amp; "-based capacity"</f>
        <v>HET: Existing BCO-based capacity</v>
      </c>
      <c r="D58" s="6" t="s">
        <v>354</v>
      </c>
      <c r="E58" s="6" t="s">
        <v>410</v>
      </c>
      <c r="F58" s="6">
        <v>0.95</v>
      </c>
      <c r="G58" s="216">
        <f ca="1">OtherData2!O36</f>
        <v>0.85109485998236167</v>
      </c>
      <c r="H58" s="216">
        <f ca="1">OtherData2!P36</f>
        <v>0.93283112107277744</v>
      </c>
      <c r="I58" s="254">
        <f ca="1">MAX(0.01,OtherData2!W132)</f>
        <v>0.01</v>
      </c>
      <c r="J58" s="254">
        <f ca="1">MAX(0.01,OtherData2!X132)</f>
        <v>0.01</v>
      </c>
      <c r="K58" s="254">
        <f ca="1">MAX(I58,OtherData2!S36)</f>
        <v>0.5</v>
      </c>
      <c r="L58" s="252">
        <f ca="1">OtherData2!O132</f>
        <v>0</v>
      </c>
      <c r="M58" s="252">
        <f ca="1">OtherData2!P132</f>
        <v>0</v>
      </c>
      <c r="N58" s="181" t="str">
        <f ca="1">IF(SUM(M58)&gt;0,OtherData2!Q132,"")</f>
        <v/>
      </c>
      <c r="O58" s="252" t="str">
        <f ca="1">IF(SUM(M58)&gt;0,OtherData2!R132,"")</f>
        <v/>
      </c>
      <c r="P58" s="252" t="str">
        <f ca="1">IF(SUM(O58)&gt;0,OtherData2!S132,"")</f>
        <v/>
      </c>
      <c r="Q58" s="252" t="str">
        <f ca="1">IF(SUM(P58)&gt;0,OtherData2!T132,"")</f>
        <v/>
      </c>
      <c r="R58" s="252" t="str">
        <f ca="1">IF(SUM(Q58)&gt;0,OtherData2!U132,"")</f>
        <v/>
      </c>
      <c r="S58" s="252" t="str">
        <f ca="1">IF(SUM(R58)&gt;0,OtherData2!V132,"")</f>
        <v/>
      </c>
      <c r="T58" s="252"/>
      <c r="U58" s="252"/>
      <c r="V58" s="335">
        <f ca="1">3.6*8.76*V$1*SHCAP</f>
        <v>31.536000000000001</v>
      </c>
      <c r="W58" s="6"/>
      <c r="X58" s="6"/>
      <c r="Y58" s="6"/>
      <c r="Z58" s="6"/>
      <c r="AA58" s="6"/>
    </row>
    <row r="59" spans="2:27" ht="12.95" customHeight="1">
      <c r="B59" s="6" t="s">
        <v>362</v>
      </c>
      <c r="C59" s="6" t="str">
        <f>"HET: Existing " &amp;MID(B59,4,3)&amp; "-based capacity"</f>
        <v>HET: Existing BIO-based capacity</v>
      </c>
      <c r="D59" s="6" t="s">
        <v>152</v>
      </c>
      <c r="E59" s="6" t="s">
        <v>410</v>
      </c>
      <c r="F59" s="6">
        <v>0.95</v>
      </c>
      <c r="G59" s="216">
        <f ca="1">OtherData2!O37</f>
        <v>0.85109486966223113</v>
      </c>
      <c r="H59" s="216">
        <f ca="1">OtherData2!P37</f>
        <v>0.97621876474574343</v>
      </c>
      <c r="I59" s="254">
        <f ca="1">MAX(0.01,OtherData2!W133)</f>
        <v>0.01</v>
      </c>
      <c r="J59" s="254">
        <f ca="1">MAX(0.01,OtherData2!X133)</f>
        <v>0.01</v>
      </c>
      <c r="K59" s="254">
        <f ca="1">MAX(I59,OtherData2!S37)</f>
        <v>0.5</v>
      </c>
      <c r="L59" s="252">
        <f ca="1">OtherData2!O133</f>
        <v>0</v>
      </c>
      <c r="M59" s="252">
        <f ca="1">OtherData2!P133</f>
        <v>0</v>
      </c>
      <c r="N59" s="181" t="str">
        <f ca="1">IF(SUM(M59)&gt;0,OtherData2!Q133,"")</f>
        <v/>
      </c>
      <c r="O59" s="252" t="str">
        <f ca="1">IF(SUM(M59)&gt;0,OtherData2!R133,"")</f>
        <v/>
      </c>
      <c r="P59" s="252" t="str">
        <f ca="1">IF(SUM(O59)&gt;0,OtherData2!S133,"")</f>
        <v/>
      </c>
      <c r="Q59" s="252" t="str">
        <f ca="1">IF(SUM(P59)&gt;0,OtherData2!T133,"")</f>
        <v/>
      </c>
      <c r="R59" s="252" t="str">
        <f ca="1">IF(SUM(Q59)&gt;0,OtherData2!U133,"")</f>
        <v/>
      </c>
      <c r="S59" s="252" t="str">
        <f ca="1">IF(SUM(R59)&gt;0,OtherData2!V133,"")</f>
        <v/>
      </c>
      <c r="T59" s="252"/>
      <c r="U59" s="252"/>
      <c r="V59" s="335">
        <f ca="1">3.6*8.76*V$1*SHCAP</f>
        <v>31.536000000000001</v>
      </c>
      <c r="W59" s="6"/>
      <c r="X59" s="6"/>
      <c r="Y59" s="6"/>
      <c r="Z59" s="6"/>
      <c r="AA59" s="6"/>
    </row>
    <row r="60" spans="2:27" ht="12.95" customHeight="1">
      <c r="B60" s="257" t="s">
        <v>59</v>
      </c>
      <c r="C60" s="257"/>
      <c r="D60" s="257"/>
      <c r="E60" s="257"/>
      <c r="F60" s="257"/>
      <c r="G60" s="257"/>
      <c r="H60" s="257"/>
      <c r="I60" s="257"/>
      <c r="J60" s="257"/>
      <c r="K60" s="257"/>
      <c r="L60" s="181"/>
      <c r="M60" s="181"/>
      <c r="N60" s="181"/>
      <c r="O60" s="181"/>
      <c r="P60" s="181"/>
      <c r="Q60" s="181"/>
      <c r="R60" s="181"/>
      <c r="S60" s="181"/>
      <c r="T60" s="257"/>
      <c r="U60" s="257"/>
      <c r="V60" s="337"/>
      <c r="W60" s="257"/>
      <c r="X60" s="257"/>
      <c r="Y60" s="257"/>
      <c r="Z60" s="257"/>
      <c r="AA60" s="257"/>
    </row>
    <row r="61" spans="2:27" ht="12.95" customHeight="1">
      <c r="B61" s="6" t="s">
        <v>363</v>
      </c>
      <c r="C61" s="6" t="str">
        <f>"HET: Existing " &amp;MID(B61,4,3)&amp; "-based capacity"</f>
        <v>HET: Existing OIL-based capacity</v>
      </c>
      <c r="D61" s="6" t="s">
        <v>56</v>
      </c>
      <c r="E61" s="6" t="s">
        <v>411</v>
      </c>
      <c r="F61" s="6">
        <v>0.95</v>
      </c>
      <c r="G61" s="216">
        <f ca="1">OtherData2!O33</f>
        <v>0.89068067708413179</v>
      </c>
      <c r="H61" s="216">
        <f ca="1">OtherData2!P33</f>
        <v>0.97621876252562656</v>
      </c>
      <c r="I61" s="254">
        <f ca="1">MAX(0.01,OtherData2!W134)</f>
        <v>0.01</v>
      </c>
      <c r="J61" s="254">
        <f ca="1">MAX(0.01,OtherData2!X134)</f>
        <v>0.01</v>
      </c>
      <c r="K61" s="254">
        <f ca="1">MAX(I61,OtherData2!S33)</f>
        <v>0.2</v>
      </c>
      <c r="L61" s="252">
        <f ca="1">OtherData2!O134</f>
        <v>0</v>
      </c>
      <c r="M61" s="252">
        <f ca="1">OtherData2!P134</f>
        <v>0</v>
      </c>
      <c r="N61" s="181" t="str">
        <f ca="1">IF(SUM(M61)&gt;0,OtherData2!Q134,"")</f>
        <v/>
      </c>
      <c r="O61" s="252" t="str">
        <f ca="1">IF(SUM(M61)&gt;0,OtherData2!R134,"")</f>
        <v/>
      </c>
      <c r="P61" s="252" t="str">
        <f ca="1">IF(SUM(O61)&gt;0,OtherData2!S134,"")</f>
        <v/>
      </c>
      <c r="Q61" s="252" t="str">
        <f ca="1">IF(SUM(P61)&gt;0,OtherData2!T134,"")</f>
        <v/>
      </c>
      <c r="R61" s="252" t="str">
        <f ca="1">IF(SUM(Q61)&gt;0,OtherData2!U134,"")</f>
        <v/>
      </c>
      <c r="S61" s="252" t="str">
        <f ca="1">IF(SUM(R61)&gt;0,OtherData2!V134,"")</f>
        <v/>
      </c>
      <c r="T61" s="252"/>
      <c r="U61" s="252"/>
      <c r="V61" s="335">
        <f ca="1">3.6*8.76*V$1*SHCAP</f>
        <v>31.536000000000001</v>
      </c>
      <c r="W61" s="6"/>
      <c r="X61" s="6"/>
      <c r="Y61" s="6"/>
      <c r="Z61" s="6"/>
      <c r="AA61" s="6"/>
    </row>
    <row r="62" spans="2:27" ht="12.95" customHeight="1">
      <c r="B62" s="6" t="s">
        <v>364</v>
      </c>
      <c r="C62" s="6" t="str">
        <f>"HET: Existing " &amp;MID(B62,4,3)&amp; "-based capacity"</f>
        <v>HET: Existing GAS-based capacity</v>
      </c>
      <c r="D62" s="6" t="s">
        <v>151</v>
      </c>
      <c r="E62" s="6" t="s">
        <v>411</v>
      </c>
      <c r="F62" s="6">
        <v>0.95</v>
      </c>
      <c r="G62" s="216">
        <f ca="1">OtherData2!O34</f>
        <v>0.89068067921694494</v>
      </c>
      <c r="H62" s="216">
        <f ca="1">OtherData2!P34</f>
        <v>0.9762187652237081</v>
      </c>
      <c r="I62" s="254">
        <f ca="1">MAX(0.01,OtherData2!W135)</f>
        <v>0.01</v>
      </c>
      <c r="J62" s="254">
        <f ca="1">MAX(0.01,OtherData2!X135)</f>
        <v>0.01</v>
      </c>
      <c r="K62" s="254">
        <f ca="1">MAX(I62,OtherData2!S34)</f>
        <v>0.3</v>
      </c>
      <c r="L62" s="252">
        <f ca="1">OtherData2!O135</f>
        <v>0</v>
      </c>
      <c r="M62" s="252">
        <f ca="1">OtherData2!P135</f>
        <v>0</v>
      </c>
      <c r="N62" s="181" t="str">
        <f ca="1">IF(SUM(M62)&gt;0,OtherData2!Q135,"")</f>
        <v/>
      </c>
      <c r="O62" s="252" t="str">
        <f ca="1">IF(SUM(M62)&gt;0,OtherData2!R135,"")</f>
        <v/>
      </c>
      <c r="P62" s="252" t="str">
        <f ca="1">IF(SUM(O62)&gt;0,OtherData2!S135,"")</f>
        <v/>
      </c>
      <c r="Q62" s="252" t="str">
        <f ca="1">IF(SUM(P62)&gt;0,OtherData2!T135,"")</f>
        <v/>
      </c>
      <c r="R62" s="252" t="str">
        <f ca="1">IF(SUM(Q62)&gt;0,OtherData2!U135,"")</f>
        <v/>
      </c>
      <c r="S62" s="252" t="str">
        <f ca="1">IF(SUM(R62)&gt;0,OtherData2!V135,"")</f>
        <v/>
      </c>
      <c r="T62" s="252"/>
      <c r="U62" s="252"/>
      <c r="V62" s="335">
        <f ca="1">3.6*8.76*V$1*SHCAP</f>
        <v>31.536000000000001</v>
      </c>
      <c r="W62" s="6"/>
      <c r="X62" s="6"/>
      <c r="Y62" s="6"/>
      <c r="Z62" s="6"/>
      <c r="AA62" s="6"/>
    </row>
    <row r="63" spans="2:27" ht="12.95" customHeight="1">
      <c r="B63" s="6" t="s">
        <v>365</v>
      </c>
      <c r="C63" s="6" t="str">
        <f>"HET: Existing " &amp;MID(B63,4,3)&amp; "-based capacity"</f>
        <v>HET: Existing COA-based capacity</v>
      </c>
      <c r="D63" s="6" t="s">
        <v>169</v>
      </c>
      <c r="E63" s="6" t="s">
        <v>411</v>
      </c>
      <c r="F63" s="6">
        <v>0.95</v>
      </c>
      <c r="G63" s="216">
        <f ca="1">OtherData2!O35</f>
        <v>0.9154218090031323</v>
      </c>
      <c r="H63" s="216">
        <f ca="1">OtherData2!P35</f>
        <v>0.96537188968488963</v>
      </c>
      <c r="I63" s="254">
        <f ca="1">MAX(0.01,OtherData2!W136)</f>
        <v>0.01</v>
      </c>
      <c r="J63" s="254">
        <f ca="1">MAX(0.01,OtherData2!X136)</f>
        <v>0.01</v>
      </c>
      <c r="K63" s="254">
        <f ca="1">MAX(I63,OtherData2!S35)</f>
        <v>0.5</v>
      </c>
      <c r="L63" s="252">
        <f ca="1">OtherData2!O136</f>
        <v>0</v>
      </c>
      <c r="M63" s="252">
        <f ca="1">OtherData2!P136</f>
        <v>0</v>
      </c>
      <c r="N63" s="181" t="str">
        <f ca="1">IF(SUM(M63)&gt;0,OtherData2!Q136,"")</f>
        <v/>
      </c>
      <c r="O63" s="252" t="str">
        <f ca="1">IF(SUM(M63)&gt;0,OtherData2!R136,"")</f>
        <v/>
      </c>
      <c r="P63" s="252" t="str">
        <f ca="1">IF(SUM(O63)&gt;0,OtherData2!S136,"")</f>
        <v/>
      </c>
      <c r="Q63" s="252" t="str">
        <f ca="1">IF(SUM(P63)&gt;0,OtherData2!T136,"")</f>
        <v/>
      </c>
      <c r="R63" s="252" t="str">
        <f ca="1">IF(SUM(Q63)&gt;0,OtherData2!U136,"")</f>
        <v/>
      </c>
      <c r="S63" s="252" t="str">
        <f ca="1">IF(SUM(R63)&gt;0,OtherData2!V136,"")</f>
        <v/>
      </c>
      <c r="T63" s="252"/>
      <c r="U63" s="252"/>
      <c r="V63" s="335">
        <f ca="1">3.6*8.76*V$1*SHCAP</f>
        <v>31.536000000000001</v>
      </c>
      <c r="W63" s="6"/>
      <c r="X63" s="6"/>
      <c r="Y63" s="6"/>
      <c r="Z63" s="6"/>
      <c r="AA63" s="6"/>
    </row>
    <row r="64" spans="2:27" ht="12.95" customHeight="1">
      <c r="B64" s="6" t="s">
        <v>373</v>
      </c>
      <c r="C64" s="6" t="str">
        <f>"HET: Existing " &amp;MID(B64,4,3)&amp; "-based capacity"</f>
        <v>HET: Existing BCO-based capacity</v>
      </c>
      <c r="D64" s="6" t="s">
        <v>354</v>
      </c>
      <c r="E64" s="6" t="s">
        <v>411</v>
      </c>
      <c r="F64" s="6">
        <v>0.95</v>
      </c>
      <c r="G64" s="216">
        <f ca="1">OtherData2!O36</f>
        <v>0.85109485998236167</v>
      </c>
      <c r="H64" s="216">
        <f ca="1">OtherData2!P36</f>
        <v>0.93283112107277744</v>
      </c>
      <c r="I64" s="254">
        <f ca="1">MAX(0.01,OtherData2!W137)</f>
        <v>0.01</v>
      </c>
      <c r="J64" s="254">
        <f ca="1">MAX(0.01,OtherData2!X137)</f>
        <v>0.01</v>
      </c>
      <c r="K64" s="254">
        <f ca="1">MAX(I64,OtherData2!S36)</f>
        <v>0.5</v>
      </c>
      <c r="L64" s="252">
        <f ca="1">OtherData2!O137</f>
        <v>0</v>
      </c>
      <c r="M64" s="252">
        <f ca="1">OtherData2!P137</f>
        <v>0</v>
      </c>
      <c r="N64" s="181" t="str">
        <f ca="1">IF(SUM(M64)&gt;0,OtherData2!Q137,"")</f>
        <v/>
      </c>
      <c r="O64" s="252" t="str">
        <f ca="1">IF(SUM(M64)&gt;0,OtherData2!R137,"")</f>
        <v/>
      </c>
      <c r="P64" s="252" t="str">
        <f ca="1">IF(SUM(O64)&gt;0,OtherData2!S137,"")</f>
        <v/>
      </c>
      <c r="Q64" s="252" t="str">
        <f ca="1">IF(SUM(P64)&gt;0,OtherData2!T137,"")</f>
        <v/>
      </c>
      <c r="R64" s="252" t="str">
        <f ca="1">IF(SUM(Q64)&gt;0,OtherData2!U137,"")</f>
        <v/>
      </c>
      <c r="S64" s="252" t="str">
        <f ca="1">IF(SUM(R64)&gt;0,OtherData2!V137,"")</f>
        <v/>
      </c>
      <c r="T64" s="252"/>
      <c r="U64" s="252"/>
      <c r="V64" s="335">
        <f ca="1">3.6*8.76*V$1*SHCAP</f>
        <v>31.536000000000001</v>
      </c>
      <c r="W64" s="6"/>
      <c r="X64" s="6"/>
      <c r="Y64" s="6"/>
      <c r="Z64" s="6"/>
      <c r="AA64" s="6"/>
    </row>
    <row r="65" spans="2:27" ht="12.95" customHeight="1">
      <c r="B65" s="6" t="s">
        <v>366</v>
      </c>
      <c r="C65" s="6" t="str">
        <f>"HET: Existing " &amp;MID(B65,4,3)&amp; "-based capacity"</f>
        <v>HET: Existing BIO-based capacity</v>
      </c>
      <c r="D65" s="6" t="s">
        <v>152</v>
      </c>
      <c r="E65" s="6" t="s">
        <v>411</v>
      </c>
      <c r="F65" s="6">
        <v>0.95</v>
      </c>
      <c r="G65" s="216">
        <f ca="1">OtherData2!O37</f>
        <v>0.85109486966223113</v>
      </c>
      <c r="H65" s="216">
        <f ca="1">OtherData2!P37</f>
        <v>0.97621876474574343</v>
      </c>
      <c r="I65" s="254">
        <f ca="1">MAX(0.01,OtherData2!W138)</f>
        <v>0.01</v>
      </c>
      <c r="J65" s="254">
        <f ca="1">MAX(0.01,OtherData2!X138)</f>
        <v>0.01</v>
      </c>
      <c r="K65" s="254">
        <f ca="1">MAX(I65,OtherData2!S37)</f>
        <v>0.5</v>
      </c>
      <c r="L65" s="252">
        <f ca="1">OtherData2!O138</f>
        <v>0</v>
      </c>
      <c r="M65" s="252">
        <f ca="1">OtherData2!P138</f>
        <v>0</v>
      </c>
      <c r="N65" s="181" t="str">
        <f ca="1">IF(SUM(M65)&gt;0,OtherData2!Q138,"")</f>
        <v/>
      </c>
      <c r="O65" s="252" t="str">
        <f ca="1">IF(SUM(M65)&gt;0,OtherData2!R138,"")</f>
        <v/>
      </c>
      <c r="P65" s="252" t="str">
        <f ca="1">IF(SUM(O65)&gt;0,OtherData2!S138,"")</f>
        <v/>
      </c>
      <c r="Q65" s="252" t="str">
        <f ca="1">IF(SUM(P65)&gt;0,OtherData2!T138,"")</f>
        <v/>
      </c>
      <c r="R65" s="252" t="str">
        <f ca="1">IF(SUM(Q65)&gt;0,OtherData2!U138,"")</f>
        <v/>
      </c>
      <c r="S65" s="252" t="str">
        <f ca="1">IF(SUM(R65)&gt;0,OtherData2!V138,"")</f>
        <v/>
      </c>
      <c r="T65" s="252"/>
      <c r="U65" s="252"/>
      <c r="V65" s="335">
        <f ca="1">3.6*8.76*V$1*SHCAP</f>
        <v>31.536000000000001</v>
      </c>
      <c r="W65" s="6"/>
      <c r="X65" s="6"/>
      <c r="Y65" s="6"/>
      <c r="Z65" s="6"/>
      <c r="AA65" s="6"/>
    </row>
    <row r="66" spans="2:27" ht="12.95" customHeight="1">
      <c r="B66" s="257" t="s">
        <v>59</v>
      </c>
      <c r="C66" s="257"/>
      <c r="D66" s="257"/>
      <c r="E66" s="257"/>
      <c r="F66" s="257"/>
      <c r="G66" s="257"/>
      <c r="H66" s="257"/>
      <c r="I66" s="257"/>
      <c r="J66" s="257"/>
      <c r="K66" s="257"/>
      <c r="L66" s="181"/>
      <c r="M66" s="181"/>
      <c r="N66" s="181"/>
      <c r="O66" s="181"/>
      <c r="P66" s="181"/>
      <c r="Q66" s="181"/>
      <c r="R66" s="181"/>
      <c r="S66" s="181"/>
      <c r="T66" s="257"/>
      <c r="U66" s="257"/>
      <c r="V66" s="337"/>
      <c r="W66" s="257"/>
      <c r="X66" s="257"/>
      <c r="Y66" s="257"/>
      <c r="Z66" s="257"/>
      <c r="AA66" s="257"/>
    </row>
    <row r="67" spans="2:27" ht="12.95" customHeight="1">
      <c r="B67" s="6" t="s">
        <v>367</v>
      </c>
      <c r="C67" s="6" t="str">
        <f>"HET: Existing " &amp;MID(B67,4,3)&amp; "-based capacity"</f>
        <v>HET: Existing OIL-based capacity</v>
      </c>
      <c r="D67" s="6" t="s">
        <v>56</v>
      </c>
      <c r="E67" s="6" t="s">
        <v>412</v>
      </c>
      <c r="F67" s="6">
        <v>0.95</v>
      </c>
      <c r="G67" s="216">
        <f ca="1">OtherData2!O33</f>
        <v>0.89068067708413179</v>
      </c>
      <c r="H67" s="216">
        <f ca="1">OtherData2!P33</f>
        <v>0.97621876252562656</v>
      </c>
      <c r="I67" s="254">
        <f ca="1">MAX(0.01,OtherData2!W139)</f>
        <v>0.01</v>
      </c>
      <c r="J67" s="254">
        <f ca="1">MAX(0.01,OtherData2!X139)</f>
        <v>0.01</v>
      </c>
      <c r="K67" s="254">
        <f ca="1">MAX(I67,OtherData2!S33)</f>
        <v>0.2</v>
      </c>
      <c r="L67" s="252">
        <f ca="1">OtherData2!O139</f>
        <v>0</v>
      </c>
      <c r="M67" s="252">
        <f ca="1">OtherData2!P139</f>
        <v>0</v>
      </c>
      <c r="N67" s="181" t="str">
        <f ca="1">IF(SUM(M67)&gt;0,OtherData2!Q139,"")</f>
        <v/>
      </c>
      <c r="O67" s="252" t="str">
        <f ca="1">IF(SUM(M67)&gt;0,OtherData2!R139,"")</f>
        <v/>
      </c>
      <c r="P67" s="252" t="str">
        <f ca="1">IF(SUM(O67)&gt;0,OtherData2!S139,"")</f>
        <v/>
      </c>
      <c r="Q67" s="252" t="str">
        <f ca="1">IF(SUM(P67)&gt;0,OtherData2!T139,"")</f>
        <v/>
      </c>
      <c r="R67" s="252" t="str">
        <f ca="1">IF(SUM(Q67)&gt;0,OtherData2!U139,"")</f>
        <v/>
      </c>
      <c r="S67" s="252" t="str">
        <f ca="1">IF(SUM(R67)&gt;0,OtherData2!V139,"")</f>
        <v/>
      </c>
      <c r="T67" s="252"/>
      <c r="U67" s="252"/>
      <c r="V67" s="335">
        <f ca="1">3.6*8.76*V$1*SHCAP</f>
        <v>31.536000000000001</v>
      </c>
      <c r="W67" s="6"/>
      <c r="X67" s="6"/>
      <c r="Y67" s="6"/>
      <c r="Z67" s="6"/>
      <c r="AA67" s="6"/>
    </row>
    <row r="68" spans="2:27" ht="12.95" customHeight="1">
      <c r="B68" s="6" t="s">
        <v>368</v>
      </c>
      <c r="C68" s="6" t="str">
        <f>"HET: Existing " &amp;MID(B68,4,3)&amp; "-based capacity"</f>
        <v>HET: Existing GAS-based capacity</v>
      </c>
      <c r="D68" s="6" t="s">
        <v>151</v>
      </c>
      <c r="E68" s="6" t="s">
        <v>412</v>
      </c>
      <c r="F68" s="6">
        <v>0.95</v>
      </c>
      <c r="G68" s="216">
        <f ca="1">OtherData2!O34</f>
        <v>0.89068067921694494</v>
      </c>
      <c r="H68" s="216">
        <f ca="1">OtherData2!P34</f>
        <v>0.9762187652237081</v>
      </c>
      <c r="I68" s="254">
        <f ca="1">MAX(0.01,OtherData2!W140)</f>
        <v>0.01</v>
      </c>
      <c r="J68" s="254">
        <f ca="1">MAX(0.01,OtherData2!X140)</f>
        <v>0.01</v>
      </c>
      <c r="K68" s="254">
        <f ca="1">MAX(I68,OtherData2!S34)</f>
        <v>0.3</v>
      </c>
      <c r="L68" s="252">
        <f ca="1">OtherData2!O140</f>
        <v>0</v>
      </c>
      <c r="M68" s="252">
        <f ca="1">OtherData2!P140</f>
        <v>0</v>
      </c>
      <c r="N68" s="181" t="str">
        <f ca="1">IF(SUM(M68)&gt;0,OtherData2!Q140,"")</f>
        <v/>
      </c>
      <c r="O68" s="252" t="str">
        <f ca="1">IF(SUM(M68)&gt;0,OtherData2!R140,"")</f>
        <v/>
      </c>
      <c r="P68" s="252" t="str">
        <f ca="1">IF(SUM(O68)&gt;0,OtherData2!S140,"")</f>
        <v/>
      </c>
      <c r="Q68" s="252" t="str">
        <f ca="1">IF(SUM(P68)&gt;0,OtherData2!T140,"")</f>
        <v/>
      </c>
      <c r="R68" s="252" t="str">
        <f ca="1">IF(SUM(Q68)&gt;0,OtherData2!U140,"")</f>
        <v/>
      </c>
      <c r="S68" s="252" t="str">
        <f ca="1">IF(SUM(R68)&gt;0,OtherData2!V140,"")</f>
        <v/>
      </c>
      <c r="T68" s="252"/>
      <c r="U68" s="252"/>
      <c r="V68" s="335">
        <f ca="1">3.6*8.76*V$1*SHCAP</f>
        <v>31.536000000000001</v>
      </c>
      <c r="W68" s="6"/>
      <c r="X68" s="6"/>
      <c r="Y68" s="6"/>
      <c r="Z68" s="6"/>
      <c r="AA68" s="6"/>
    </row>
    <row r="69" spans="2:27" ht="12.95" customHeight="1">
      <c r="B69" s="6" t="s">
        <v>369</v>
      </c>
      <c r="C69" s="6" t="str">
        <f>"HET: Existing " &amp;MID(B69,4,3)&amp; "-based capacity"</f>
        <v>HET: Existing COA-based capacity</v>
      </c>
      <c r="D69" s="6" t="s">
        <v>169</v>
      </c>
      <c r="E69" s="6" t="s">
        <v>412</v>
      </c>
      <c r="F69" s="6">
        <v>0.95</v>
      </c>
      <c r="G69" s="216">
        <f ca="1">OtherData2!O35</f>
        <v>0.9154218090031323</v>
      </c>
      <c r="H69" s="216">
        <f ca="1">OtherData2!P35</f>
        <v>0.96537188968488963</v>
      </c>
      <c r="I69" s="254">
        <f ca="1">MAX(0.01,OtherData2!W141)</f>
        <v>0.01</v>
      </c>
      <c r="J69" s="254">
        <f ca="1">MAX(0.01,OtherData2!X141)</f>
        <v>0.01</v>
      </c>
      <c r="K69" s="254">
        <f ca="1">MAX(I69,OtherData2!S35)</f>
        <v>0.5</v>
      </c>
      <c r="L69" s="252">
        <f ca="1">OtherData2!O141</f>
        <v>0</v>
      </c>
      <c r="M69" s="252">
        <f ca="1">OtherData2!P141</f>
        <v>0</v>
      </c>
      <c r="N69" s="181" t="str">
        <f ca="1">IF(SUM(M69)&gt;0,OtherData2!Q141,"")</f>
        <v/>
      </c>
      <c r="O69" s="252" t="str">
        <f ca="1">IF(SUM(M69)&gt;0,OtherData2!R141,"")</f>
        <v/>
      </c>
      <c r="P69" s="252" t="str">
        <f ca="1">IF(SUM(O69)&gt;0,OtherData2!S141,"")</f>
        <v/>
      </c>
      <c r="Q69" s="252" t="str">
        <f ca="1">IF(SUM(P69)&gt;0,OtherData2!T141,"")</f>
        <v/>
      </c>
      <c r="R69" s="252" t="str">
        <f ca="1">IF(SUM(Q69)&gt;0,OtherData2!U141,"")</f>
        <v/>
      </c>
      <c r="S69" s="252" t="str">
        <f ca="1">IF(SUM(R69)&gt;0,OtherData2!V141,"")</f>
        <v/>
      </c>
      <c r="T69" s="252"/>
      <c r="U69" s="252"/>
      <c r="V69" s="335">
        <f ca="1">3.6*8.76*V$1*SHCAP</f>
        <v>31.536000000000001</v>
      </c>
      <c r="W69" s="6"/>
      <c r="X69" s="6"/>
      <c r="Y69" s="6"/>
      <c r="Z69" s="6"/>
      <c r="AA69" s="6"/>
    </row>
    <row r="70" spans="2:27" ht="12.95" customHeight="1">
      <c r="B70" s="6" t="s">
        <v>372</v>
      </c>
      <c r="C70" s="6" t="str">
        <f>"HET: Existing " &amp;MID(B70,4,3)&amp; "-based capacity"</f>
        <v>HET: Existing BCO-based capacity</v>
      </c>
      <c r="D70" s="6" t="s">
        <v>354</v>
      </c>
      <c r="E70" s="6" t="s">
        <v>412</v>
      </c>
      <c r="F70" s="6">
        <v>0.95</v>
      </c>
      <c r="G70" s="216">
        <f ca="1">OtherData2!O36</f>
        <v>0.85109485998236167</v>
      </c>
      <c r="H70" s="216">
        <f ca="1">OtherData2!P36</f>
        <v>0.93283112107277744</v>
      </c>
      <c r="I70" s="254">
        <f ca="1">MAX(0.01,OtherData2!W142)</f>
        <v>0.01</v>
      </c>
      <c r="J70" s="254">
        <f ca="1">MAX(0.01,OtherData2!X142)</f>
        <v>0.01</v>
      </c>
      <c r="K70" s="254">
        <f ca="1">MAX(I70,OtherData2!S36)</f>
        <v>0.5</v>
      </c>
      <c r="L70" s="252">
        <f ca="1">OtherData2!O142</f>
        <v>0</v>
      </c>
      <c r="M70" s="252">
        <f ca="1">OtherData2!P142</f>
        <v>0</v>
      </c>
      <c r="N70" s="181" t="str">
        <f ca="1">IF(SUM(M70)&gt;0,OtherData2!Q142,"")</f>
        <v/>
      </c>
      <c r="O70" s="252" t="str">
        <f ca="1">IF(SUM(M70)&gt;0,OtherData2!R142,"")</f>
        <v/>
      </c>
      <c r="P70" s="252" t="str">
        <f ca="1">IF(SUM(O70)&gt;0,OtherData2!S142,"")</f>
        <v/>
      </c>
      <c r="Q70" s="252" t="str">
        <f ca="1">IF(SUM(P70)&gt;0,OtherData2!T142,"")</f>
        <v/>
      </c>
      <c r="R70" s="252" t="str">
        <f ca="1">IF(SUM(Q70)&gt;0,OtherData2!U142,"")</f>
        <v/>
      </c>
      <c r="S70" s="252" t="str">
        <f ca="1">IF(SUM(R70)&gt;0,OtherData2!V142,"")</f>
        <v/>
      </c>
      <c r="T70" s="252"/>
      <c r="U70" s="252"/>
      <c r="V70" s="335">
        <f ca="1">3.6*8.76*V$1*SHCAP</f>
        <v>31.536000000000001</v>
      </c>
      <c r="W70" s="6"/>
      <c r="X70" s="6"/>
      <c r="Y70" s="6"/>
      <c r="Z70" s="6"/>
      <c r="AA70" s="6"/>
    </row>
    <row r="71" spans="2:27" ht="12.95" customHeight="1">
      <c r="B71" s="6" t="s">
        <v>370</v>
      </c>
      <c r="C71" s="6" t="str">
        <f>"HET: Existing " &amp;MID(B71,4,3)&amp; "-based capacity"</f>
        <v>HET: Existing BIO-based capacity</v>
      </c>
      <c r="D71" s="6" t="s">
        <v>152</v>
      </c>
      <c r="E71" s="6" t="s">
        <v>412</v>
      </c>
      <c r="F71" s="6">
        <v>0.95</v>
      </c>
      <c r="G71" s="216">
        <f ca="1">OtherData2!O37</f>
        <v>0.85109486966223113</v>
      </c>
      <c r="H71" s="216">
        <f ca="1">OtherData2!P37</f>
        <v>0.97621876474574343</v>
      </c>
      <c r="I71" s="254">
        <f ca="1">MAX(0.01,OtherData2!W143)</f>
        <v>0.01</v>
      </c>
      <c r="J71" s="254">
        <f ca="1">MAX(0.01,OtherData2!X143)</f>
        <v>0.01</v>
      </c>
      <c r="K71" s="254">
        <f ca="1">MAX(I71,OtherData2!S37)</f>
        <v>0.5</v>
      </c>
      <c r="L71" s="252">
        <f ca="1">OtherData2!O143</f>
        <v>0</v>
      </c>
      <c r="M71" s="252">
        <f ca="1">OtherData2!P143</f>
        <v>0</v>
      </c>
      <c r="N71" s="181" t="str">
        <f ca="1">IF(SUM(M71)&gt;0,OtherData2!Q143,"")</f>
        <v/>
      </c>
      <c r="O71" s="252" t="str">
        <f ca="1">IF(SUM(M71)&gt;0,OtherData2!R143,"")</f>
        <v/>
      </c>
      <c r="P71" s="252" t="str">
        <f ca="1">IF(SUM(O71)&gt;0,OtherData2!S143,"")</f>
        <v/>
      </c>
      <c r="Q71" s="252" t="str">
        <f ca="1">IF(SUM(P71)&gt;0,OtherData2!T143,"")</f>
        <v/>
      </c>
      <c r="R71" s="252" t="str">
        <f ca="1">IF(SUM(Q71)&gt;0,OtherData2!U143,"")</f>
        <v/>
      </c>
      <c r="S71" s="252" t="str">
        <f ca="1">IF(SUM(R71)&gt;0,OtherData2!V143,"")</f>
        <v/>
      </c>
      <c r="T71" s="252"/>
      <c r="U71" s="252"/>
      <c r="V71" s="335">
        <f ca="1">3.6*8.76*V$1*SHCAP</f>
        <v>31.536000000000001</v>
      </c>
      <c r="W71" s="6"/>
      <c r="X71" s="6"/>
      <c r="Y71" s="6"/>
      <c r="Z71" s="6"/>
      <c r="AA71" s="6"/>
    </row>
    <row r="72" spans="2:27" ht="12.95" customHeight="1">
      <c r="B72" s="257" t="s">
        <v>59</v>
      </c>
      <c r="C72" s="257"/>
      <c r="D72" s="257"/>
      <c r="E72" s="257"/>
      <c r="F72" s="257"/>
      <c r="G72" s="257"/>
      <c r="H72" s="257"/>
      <c r="I72" s="257"/>
      <c r="J72" s="257"/>
      <c r="K72" s="257"/>
      <c r="L72" s="181"/>
      <c r="M72" s="181"/>
      <c r="N72" s="181"/>
      <c r="O72" s="181"/>
      <c r="P72" s="181"/>
      <c r="Q72" s="181"/>
      <c r="R72" s="181"/>
      <c r="S72" s="181"/>
      <c r="T72" s="257"/>
      <c r="U72" s="257"/>
      <c r="V72" s="337"/>
      <c r="W72" s="257"/>
      <c r="X72" s="257"/>
      <c r="Y72" s="257"/>
      <c r="Z72" s="257"/>
      <c r="AA72" s="257"/>
    </row>
    <row r="73" spans="2:27" ht="12.95" customHeight="1">
      <c r="B73" s="6" t="s">
        <v>665</v>
      </c>
      <c r="C73" s="6" t="str">
        <f t="shared" ref="C73:C80" si="14">"HET: Existing " &amp;MID(B73,4,3)&amp; "-based capacity"</f>
        <v>HET: Existing BMU-based capacity</v>
      </c>
      <c r="D73" s="6" t="s">
        <v>134</v>
      </c>
      <c r="E73" s="6" t="s">
        <v>409</v>
      </c>
      <c r="F73" s="6">
        <v>0.95</v>
      </c>
      <c r="G73" s="216">
        <f ca="1">OtherData2!O38</f>
        <v>0.8</v>
      </c>
      <c r="H73" s="216">
        <f ca="1">OtherData2!P38</f>
        <v>0.93283126423988028</v>
      </c>
      <c r="I73" s="254">
        <f ca="1">OtherData2!S38</f>
        <v>0.6</v>
      </c>
      <c r="J73" s="142"/>
      <c r="K73" s="142"/>
      <c r="L73" s="252">
        <f ca="1">OtherData2!O145</f>
        <v>0</v>
      </c>
      <c r="M73" s="252">
        <f ca="1">OtherData2!P145</f>
        <v>5.8337449877406515E-2</v>
      </c>
      <c r="N73" s="181">
        <f ca="1">OtherData2!Q145</f>
        <v>5.8337449877406515E-2</v>
      </c>
      <c r="O73" s="252">
        <f ca="1">IF(SUM(N73),OtherData2!R145,"")</f>
        <v>5.8337449877406515E-2</v>
      </c>
      <c r="P73" s="252">
        <f ca="1">IF(SUM(O73),OtherData2!S145,"")</f>
        <v>5.8337449877406515E-2</v>
      </c>
      <c r="Q73" s="252">
        <f ca="1">IF(SUM(P73),OtherData2!T145,"")</f>
        <v>5.8337449877406515E-2</v>
      </c>
      <c r="R73" s="252">
        <f ca="1">IF(SUM(Q73),OtherData2!U145,"")</f>
        <v>5.8337449877406515E-2</v>
      </c>
      <c r="S73" s="252">
        <f ca="1">IF(SUM(R73),OtherData2!V145,"")</f>
        <v>0</v>
      </c>
      <c r="T73" s="252"/>
      <c r="U73" s="252"/>
      <c r="V73" s="335">
        <f t="shared" ref="V73:V80" ca="1" si="15">3.6*8.76*V$1*SHCAP</f>
        <v>31.536000000000001</v>
      </c>
      <c r="W73" s="6"/>
      <c r="X73" s="6"/>
      <c r="Y73" s="6"/>
      <c r="Z73" s="6"/>
      <c r="AA73" s="6"/>
    </row>
    <row r="74" spans="2:27" ht="12.95" customHeight="1">
      <c r="B74" s="6" t="s">
        <v>668</v>
      </c>
      <c r="C74" s="6" t="str">
        <f t="shared" si="14"/>
        <v>HET: Existing BMU-based capacity</v>
      </c>
      <c r="D74" s="6" t="s">
        <v>134</v>
      </c>
      <c r="E74" s="6" t="s">
        <v>410</v>
      </c>
      <c r="F74" s="6">
        <v>0.95</v>
      </c>
      <c r="G74" s="216">
        <f t="shared" ref="G74:I76" si="16">G$73</f>
        <v>0.8</v>
      </c>
      <c r="H74" s="216">
        <f t="shared" si="16"/>
        <v>0.93283126423988028</v>
      </c>
      <c r="I74" s="254">
        <f t="shared" si="16"/>
        <v>0.6</v>
      </c>
      <c r="J74" s="142"/>
      <c r="K74" s="142"/>
      <c r="L74" s="252">
        <f ca="1">OtherData2!O146</f>
        <v>0</v>
      </c>
      <c r="M74" s="252">
        <f ca="1">OtherData2!P146</f>
        <v>0</v>
      </c>
      <c r="N74" s="181">
        <f ca="1">OtherData2!Q146</f>
        <v>0</v>
      </c>
      <c r="O74" s="252" t="str">
        <f ca="1">IF(SUM(N74),OtherData2!R146,"")</f>
        <v/>
      </c>
      <c r="P74" s="252" t="str">
        <f ca="1">IF(SUM(O74),OtherData2!S146,"")</f>
        <v/>
      </c>
      <c r="Q74" s="252" t="str">
        <f ca="1">IF(SUM(P74),OtherData2!T146,"")</f>
        <v/>
      </c>
      <c r="R74" s="252" t="str">
        <f ca="1">IF(SUM(Q74),OtherData2!U146,"")</f>
        <v/>
      </c>
      <c r="S74" s="252" t="str">
        <f ca="1">IF(SUM(R74),OtherData2!V146,"")</f>
        <v/>
      </c>
      <c r="T74" s="252"/>
      <c r="U74" s="252"/>
      <c r="V74" s="335">
        <f t="shared" ca="1" si="15"/>
        <v>31.536000000000001</v>
      </c>
      <c r="W74" s="6"/>
      <c r="X74" s="6"/>
      <c r="Y74" s="6"/>
      <c r="Z74" s="6"/>
      <c r="AA74" s="6"/>
    </row>
    <row r="75" spans="2:27" ht="12.95" customHeight="1">
      <c r="B75" s="6" t="s">
        <v>667</v>
      </c>
      <c r="C75" s="6" t="str">
        <f t="shared" si="14"/>
        <v>HET: Existing BMU-based capacity</v>
      </c>
      <c r="D75" s="6" t="s">
        <v>134</v>
      </c>
      <c r="E75" s="6" t="s">
        <v>411</v>
      </c>
      <c r="F75" s="6">
        <v>0.95</v>
      </c>
      <c r="G75" s="216">
        <f t="shared" si="16"/>
        <v>0.8</v>
      </c>
      <c r="H75" s="216">
        <f t="shared" si="16"/>
        <v>0.93283126423988028</v>
      </c>
      <c r="I75" s="254">
        <f t="shared" si="16"/>
        <v>0.6</v>
      </c>
      <c r="J75" s="142"/>
      <c r="K75" s="142"/>
      <c r="L75" s="252">
        <f ca="1">OtherData2!O147</f>
        <v>0</v>
      </c>
      <c r="M75" s="252">
        <f ca="1">OtherData2!P147</f>
        <v>0</v>
      </c>
      <c r="N75" s="181">
        <f ca="1">OtherData2!Q147</f>
        <v>0</v>
      </c>
      <c r="O75" s="252" t="str">
        <f ca="1">IF(SUM(N75),OtherData2!R147,"")</f>
        <v/>
      </c>
      <c r="P75" s="252" t="str">
        <f ca="1">IF(SUM(O75),OtherData2!S147,"")</f>
        <v/>
      </c>
      <c r="Q75" s="252" t="str">
        <f ca="1">IF(SUM(P75),OtherData2!T147,"")</f>
        <v/>
      </c>
      <c r="R75" s="252" t="str">
        <f ca="1">IF(SUM(Q75),OtherData2!U147,"")</f>
        <v/>
      </c>
      <c r="S75" s="252" t="str">
        <f ca="1">IF(SUM(R75),OtherData2!V147,"")</f>
        <v/>
      </c>
      <c r="T75" s="252"/>
      <c r="U75" s="252"/>
      <c r="V75" s="335">
        <f t="shared" ca="1" si="15"/>
        <v>31.536000000000001</v>
      </c>
      <c r="W75" s="6"/>
      <c r="X75" s="6"/>
      <c r="Y75" s="6"/>
      <c r="Z75" s="6"/>
      <c r="AA75" s="6"/>
    </row>
    <row r="76" spans="2:27" ht="12.95" customHeight="1">
      <c r="B76" s="6" t="s">
        <v>666</v>
      </c>
      <c r="C76" s="6" t="str">
        <f t="shared" si="14"/>
        <v>HET: Existing BMU-based capacity</v>
      </c>
      <c r="D76" s="6" t="s">
        <v>134</v>
      </c>
      <c r="E76" s="6" t="s">
        <v>412</v>
      </c>
      <c r="F76" s="6">
        <v>0.95</v>
      </c>
      <c r="G76" s="216">
        <f t="shared" si="16"/>
        <v>0.8</v>
      </c>
      <c r="H76" s="216">
        <f t="shared" si="16"/>
        <v>0.93283126423988028</v>
      </c>
      <c r="I76" s="254">
        <f t="shared" si="16"/>
        <v>0.6</v>
      </c>
      <c r="J76" s="142"/>
      <c r="K76" s="142"/>
      <c r="L76" s="252">
        <f ca="1">OtherData2!O148</f>
        <v>0</v>
      </c>
      <c r="M76" s="252">
        <f ca="1">OtherData2!P148</f>
        <v>0</v>
      </c>
      <c r="N76" s="181">
        <f ca="1">OtherData2!Q148</f>
        <v>0</v>
      </c>
      <c r="O76" s="252" t="str">
        <f ca="1">IF(SUM(N76),OtherData2!R148,"")</f>
        <v/>
      </c>
      <c r="P76" s="252" t="str">
        <f ca="1">IF(SUM(O76),OtherData2!S148,"")</f>
        <v/>
      </c>
      <c r="Q76" s="252" t="str">
        <f ca="1">IF(SUM(P76),OtherData2!T148,"")</f>
        <v/>
      </c>
      <c r="R76" s="252" t="str">
        <f ca="1">IF(SUM(Q76),OtherData2!U148,"")</f>
        <v/>
      </c>
      <c r="S76" s="252" t="str">
        <f ca="1">IF(SUM(R76),OtherData2!V148,"")</f>
        <v/>
      </c>
      <c r="T76" s="252"/>
      <c r="U76" s="252"/>
      <c r="V76" s="335">
        <f t="shared" ca="1" si="15"/>
        <v>31.536000000000001</v>
      </c>
      <c r="W76" s="6"/>
      <c r="X76" s="6"/>
      <c r="Y76" s="6"/>
      <c r="Z76" s="6"/>
      <c r="AA76" s="6"/>
    </row>
    <row r="77" spans="2:27" ht="12.95" customHeight="1">
      <c r="B77" s="6" t="s">
        <v>649</v>
      </c>
      <c r="C77" s="6" t="str">
        <f t="shared" si="14"/>
        <v>HET: Existing GEO-based capacity</v>
      </c>
      <c r="D77" s="6" t="s">
        <v>170</v>
      </c>
      <c r="E77" s="6" t="s">
        <v>409</v>
      </c>
      <c r="F77" s="6">
        <v>0.95</v>
      </c>
      <c r="G77" s="216">
        <f ca="1">MIN(1,OtherData2!O39)</f>
        <v>1</v>
      </c>
      <c r="H77" s="216">
        <f ca="1">MIN(1,OtherData2!P39)</f>
        <v>1</v>
      </c>
      <c r="I77" s="254">
        <f ca="1">OtherData2!S39</f>
        <v>0.63994959792579487</v>
      </c>
      <c r="J77" s="254">
        <f ca="1">OtherData2!S39</f>
        <v>0.63994959792579487</v>
      </c>
      <c r="K77" s="254">
        <f ca="1">OtherData2!T39</f>
        <v>0.65</v>
      </c>
      <c r="L77" s="252">
        <f ca="1">OtherData2!O149</f>
        <v>0.105</v>
      </c>
      <c r="M77" s="252">
        <f ca="1">OtherData2!P149</f>
        <v>0.15380000000000002</v>
      </c>
      <c r="N77" s="181">
        <f ca="1">OtherData2!Q149</f>
        <v>0.14500000000000002</v>
      </c>
      <c r="O77" s="252">
        <f ca="1">IF(SUM(N77),OtherData2!R149,"")</f>
        <v>0.16700000000000001</v>
      </c>
      <c r="P77" s="252">
        <f ca="1">IF(SUM(O77),OtherData2!S149,"")</f>
        <v>0.19</v>
      </c>
      <c r="Q77" s="252">
        <f ca="1">IF(SUM(P77),OtherData2!T149,"")</f>
        <v>0.19</v>
      </c>
      <c r="R77" s="252">
        <f ca="1">IF(SUM(Q77),OtherData2!U149,"")</f>
        <v>8.5000000000000006E-2</v>
      </c>
      <c r="S77" s="252">
        <f ca="1">IF(SUM(R77),OtherData2!V149,"")</f>
        <v>2.3E-2</v>
      </c>
      <c r="T77" s="252"/>
      <c r="U77" s="252"/>
      <c r="V77" s="335">
        <f t="shared" ca="1" si="15"/>
        <v>31.536000000000001</v>
      </c>
      <c r="W77" s="6"/>
      <c r="X77" s="6"/>
      <c r="Y77" s="6"/>
      <c r="Z77" s="6"/>
      <c r="AA77" s="6"/>
    </row>
    <row r="78" spans="2:27" ht="12.95" customHeight="1">
      <c r="B78" s="6" t="s">
        <v>650</v>
      </c>
      <c r="C78" s="6" t="str">
        <f t="shared" si="14"/>
        <v>HET: Existing GEO-based capacity</v>
      </c>
      <c r="D78" s="6" t="s">
        <v>170</v>
      </c>
      <c r="E78" s="6" t="s">
        <v>410</v>
      </c>
      <c r="F78" s="254">
        <f t="shared" ref="F78:K80" si="17">F$77</f>
        <v>0.95</v>
      </c>
      <c r="G78" s="215">
        <f t="shared" si="17"/>
        <v>1</v>
      </c>
      <c r="H78" s="215">
        <f t="shared" si="17"/>
        <v>1</v>
      </c>
      <c r="I78" s="254">
        <f t="shared" ca="1" si="17"/>
        <v>0.63994959792579487</v>
      </c>
      <c r="J78" s="254">
        <f t="shared" ca="1" si="17"/>
        <v>0.63994959792579487</v>
      </c>
      <c r="K78" s="254">
        <f t="shared" si="17"/>
        <v>0.65</v>
      </c>
      <c r="L78" s="252">
        <f ca="1">OtherData2!O150</f>
        <v>0</v>
      </c>
      <c r="M78" s="252">
        <f ca="1">OtherData2!P150</f>
        <v>0</v>
      </c>
      <c r="N78" s="181">
        <f ca="1">OtherData2!Q150</f>
        <v>0</v>
      </c>
      <c r="O78" s="252" t="str">
        <f ca="1">IF(SUM(N78),OtherData2!R150,"")</f>
        <v/>
      </c>
      <c r="P78" s="252" t="str">
        <f ca="1">IF(SUM(O78),OtherData2!S150,"")</f>
        <v/>
      </c>
      <c r="Q78" s="252" t="str">
        <f ca="1">IF(SUM(P78),OtherData2!T150,"")</f>
        <v/>
      </c>
      <c r="R78" s="252" t="str">
        <f ca="1">IF(SUM(Q78),OtherData2!U150,"")</f>
        <v/>
      </c>
      <c r="S78" s="252" t="str">
        <f ca="1">IF(SUM(R78),OtherData2!V150,"")</f>
        <v/>
      </c>
      <c r="T78" s="252"/>
      <c r="U78" s="252"/>
      <c r="V78" s="335">
        <f t="shared" ca="1" si="15"/>
        <v>31.536000000000001</v>
      </c>
      <c r="W78" s="6"/>
      <c r="X78" s="6"/>
      <c r="Y78" s="6"/>
      <c r="Z78" s="6"/>
      <c r="AA78" s="6"/>
    </row>
    <row r="79" spans="2:27" ht="12.95" customHeight="1">
      <c r="B79" s="6" t="s">
        <v>652</v>
      </c>
      <c r="C79" s="6" t="str">
        <f t="shared" si="14"/>
        <v>HET: Existing GEO-based capacity</v>
      </c>
      <c r="D79" s="6" t="s">
        <v>170</v>
      </c>
      <c r="E79" s="6" t="s">
        <v>411</v>
      </c>
      <c r="F79" s="254">
        <f t="shared" si="17"/>
        <v>0.95</v>
      </c>
      <c r="G79" s="215">
        <f t="shared" si="17"/>
        <v>1</v>
      </c>
      <c r="H79" s="215">
        <f t="shared" si="17"/>
        <v>1</v>
      </c>
      <c r="I79" s="254">
        <f t="shared" ca="1" si="17"/>
        <v>0.63994959792579487</v>
      </c>
      <c r="J79" s="254">
        <f t="shared" ca="1" si="17"/>
        <v>0.63994959792579487</v>
      </c>
      <c r="K79" s="254">
        <f t="shared" si="17"/>
        <v>0.65</v>
      </c>
      <c r="L79" s="252">
        <f ca="1">OtherData2!O151</f>
        <v>0</v>
      </c>
      <c r="M79" s="252">
        <f ca="1">OtherData2!P151</f>
        <v>0</v>
      </c>
      <c r="N79" s="181">
        <f ca="1">OtherData2!Q151</f>
        <v>0</v>
      </c>
      <c r="O79" s="252" t="str">
        <f ca="1">IF(SUM(N79),OtherData2!R151,"")</f>
        <v/>
      </c>
      <c r="P79" s="252" t="str">
        <f ca="1">IF(SUM(O79),OtherData2!S151,"")</f>
        <v/>
      </c>
      <c r="Q79" s="252" t="str">
        <f ca="1">IF(SUM(P79),OtherData2!T151,"")</f>
        <v/>
      </c>
      <c r="R79" s="252" t="str">
        <f ca="1">IF(SUM(Q79),OtherData2!U151,"")</f>
        <v/>
      </c>
      <c r="S79" s="252" t="str">
        <f ca="1">IF(SUM(R79),OtherData2!V151,"")</f>
        <v/>
      </c>
      <c r="T79" s="252"/>
      <c r="U79" s="252"/>
      <c r="V79" s="335">
        <f t="shared" ca="1" si="15"/>
        <v>31.536000000000001</v>
      </c>
      <c r="W79" s="6"/>
      <c r="X79" s="6"/>
      <c r="Y79" s="6"/>
      <c r="Z79" s="6"/>
      <c r="AA79" s="6"/>
    </row>
    <row r="80" spans="2:27" ht="12.95" customHeight="1">
      <c r="B80" s="6" t="s">
        <v>651</v>
      </c>
      <c r="C80" s="6" t="str">
        <f t="shared" si="14"/>
        <v>HET: Existing GEO-based capacity</v>
      </c>
      <c r="D80" s="6" t="s">
        <v>170</v>
      </c>
      <c r="E80" s="6" t="s">
        <v>412</v>
      </c>
      <c r="F80" s="254">
        <f t="shared" si="17"/>
        <v>0.95</v>
      </c>
      <c r="G80" s="215">
        <f t="shared" si="17"/>
        <v>1</v>
      </c>
      <c r="H80" s="215">
        <f t="shared" si="17"/>
        <v>1</v>
      </c>
      <c r="I80" s="254">
        <f t="shared" ca="1" si="17"/>
        <v>0.63994959792579487</v>
      </c>
      <c r="J80" s="254">
        <f t="shared" ca="1" si="17"/>
        <v>0.63994959792579487</v>
      </c>
      <c r="K80" s="254">
        <f t="shared" si="17"/>
        <v>0.65</v>
      </c>
      <c r="L80" s="252">
        <f ca="1">OtherData2!O152</f>
        <v>0</v>
      </c>
      <c r="M80" s="252">
        <f ca="1">OtherData2!P152</f>
        <v>0</v>
      </c>
      <c r="N80" s="181">
        <f ca="1">OtherData2!Q152</f>
        <v>0</v>
      </c>
      <c r="O80" s="252" t="str">
        <f ca="1">IF(SUM(N80),OtherData2!R152,"")</f>
        <v/>
      </c>
      <c r="P80" s="252" t="str">
        <f ca="1">IF(SUM(O80),OtherData2!S152,"")</f>
        <v/>
      </c>
      <c r="Q80" s="252" t="str">
        <f ca="1">IF(SUM(P80),OtherData2!T152,"")</f>
        <v/>
      </c>
      <c r="R80" s="252" t="str">
        <f ca="1">IF(SUM(Q80),OtherData2!U152,"")</f>
        <v/>
      </c>
      <c r="S80" s="252" t="str">
        <f ca="1">IF(SUM(R80),OtherData2!V152,"")</f>
        <v/>
      </c>
      <c r="T80" s="252"/>
      <c r="U80" s="252"/>
      <c r="V80" s="335">
        <f t="shared" ca="1" si="15"/>
        <v>31.536000000000001</v>
      </c>
      <c r="W80" s="6"/>
      <c r="X80" s="6"/>
      <c r="Y80" s="6"/>
      <c r="Z80" s="6"/>
      <c r="AA80" s="6"/>
    </row>
    <row r="84" spans="2:24" ht="15">
      <c r="C84" s="105"/>
      <c r="H84" s="308" t="str">
        <f>"~FI_T: "&amp;Region</f>
        <v>~FI_T: FIM</v>
      </c>
      <c r="I84" s="226"/>
    </row>
    <row r="85" spans="2:24" ht="23.25" customHeight="1" thickBot="1">
      <c r="B85" s="174" t="s">
        <v>212</v>
      </c>
      <c r="C85" s="174" t="s">
        <v>213</v>
      </c>
      <c r="D85" s="174" t="s">
        <v>214</v>
      </c>
      <c r="E85" s="174" t="s">
        <v>215</v>
      </c>
      <c r="F85" s="174" t="s">
        <v>312</v>
      </c>
      <c r="G85" s="174" t="s">
        <v>65</v>
      </c>
      <c r="H85" s="250" t="s">
        <v>600</v>
      </c>
      <c r="I85" s="183" t="s">
        <v>601</v>
      </c>
      <c r="J85" s="183" t="str">
        <f ca="1">AuxYear&amp;"~UP"</f>
        <v>2017~UP</v>
      </c>
      <c r="K85" s="183" t="str">
        <f ca="1">CEILING(AuxYear+7,5)&amp;"~UP"</f>
        <v>2025~UP</v>
      </c>
      <c r="L85" s="255" t="str">
        <f ca="1">"CHPR~"&amp;BaseYear</f>
        <v>CHPR~2010</v>
      </c>
      <c r="M85" s="174" t="str">
        <f ca="1">"CHPR~"&amp;AuxYear</f>
        <v>CHPR~2017</v>
      </c>
      <c r="N85" s="255" t="s">
        <v>556</v>
      </c>
      <c r="O85" s="183" t="str">
        <f ca="1">"AFA~LO~"&amp;AuxYear</f>
        <v>AFA~LO~2017</v>
      </c>
      <c r="P85" s="183" t="s">
        <v>557</v>
      </c>
      <c r="Q85" s="183" t="s">
        <v>561</v>
      </c>
      <c r="R85" s="183" t="str">
        <f ca="1">"AFA~FX~"&amp;AuxYear</f>
        <v>AFA~FX~2017</v>
      </c>
      <c r="S85" s="183" t="str">
        <f ca="1">"AFA~FX~"&amp;CEILING(AuxYear+2,5)</f>
        <v>AFA~FX~2020</v>
      </c>
      <c r="T85" s="183" t="str">
        <f ca="1">"AFAC~"&amp;CEILING(AuxYear+2,5)</f>
        <v>AFAC~2020</v>
      </c>
      <c r="U85" s="183" t="str">
        <f>"AFAC~0"</f>
        <v>AFAC~0</v>
      </c>
      <c r="V85" s="183" t="s">
        <v>565</v>
      </c>
      <c r="W85" s="358" t="s">
        <v>679</v>
      </c>
      <c r="X85" s="183" t="str">
        <f ca="1">"VA_Attrib_TC~HET~"&amp;AuxYear</f>
        <v>VA_Attrib_TC~HET~2017</v>
      </c>
    </row>
    <row r="86" spans="2:24">
      <c r="B86" s="6" t="s">
        <v>265</v>
      </c>
      <c r="C86" s="6"/>
      <c r="D86" s="6"/>
      <c r="E86" s="6" t="s">
        <v>198</v>
      </c>
      <c r="F86" s="6"/>
      <c r="G86" s="6"/>
      <c r="H86" s="361" t="s">
        <v>558</v>
      </c>
      <c r="I86" s="284">
        <v>1</v>
      </c>
      <c r="J86" s="6"/>
      <c r="K86" s="6"/>
      <c r="L86" s="353"/>
      <c r="M86" s="162"/>
      <c r="N86" s="256"/>
      <c r="O86" s="41"/>
      <c r="P86" s="6"/>
      <c r="Q86" s="253">
        <f ca="1">OtherData2!G27</f>
        <v>0</v>
      </c>
      <c r="R86" s="253">
        <f ca="1">OtherData2!H27</f>
        <v>0</v>
      </c>
      <c r="S86" s="253">
        <f ca="1">OtherData2!I27</f>
        <v>0.30303030303030304</v>
      </c>
      <c r="T86" s="6"/>
      <c r="U86" s="162"/>
      <c r="V86" s="6"/>
      <c r="W86" s="256"/>
      <c r="X86" s="6"/>
    </row>
    <row r="87" spans="2:24">
      <c r="B87" s="6" t="s">
        <v>545</v>
      </c>
      <c r="C87" s="6"/>
      <c r="D87" s="6"/>
      <c r="E87" s="6" t="s">
        <v>198</v>
      </c>
      <c r="F87" s="6"/>
      <c r="G87" s="6"/>
      <c r="H87" s="251" t="s">
        <v>558</v>
      </c>
      <c r="I87" s="284">
        <v>1</v>
      </c>
      <c r="J87" s="6"/>
      <c r="K87" s="6"/>
      <c r="L87" s="353"/>
      <c r="M87" s="162"/>
      <c r="N87" s="256"/>
      <c r="O87" s="41"/>
      <c r="P87" s="6"/>
      <c r="Q87" s="253">
        <f ca="1">OtherData2!G28</f>
        <v>0</v>
      </c>
      <c r="R87" s="253">
        <f ca="1">OtherData2!H28</f>
        <v>0</v>
      </c>
      <c r="S87" s="253">
        <f ca="1">OtherData2!I28</f>
        <v>0.12557077625570776</v>
      </c>
      <c r="T87" s="6"/>
      <c r="U87" s="162"/>
      <c r="V87" s="6"/>
      <c r="W87" s="256"/>
      <c r="X87" s="6"/>
    </row>
    <row r="88" spans="2:24">
      <c r="B88" s="6" t="s">
        <v>260</v>
      </c>
      <c r="C88" s="6"/>
      <c r="D88" s="6"/>
      <c r="E88" s="6"/>
      <c r="F88" s="6"/>
      <c r="G88" s="6"/>
      <c r="H88" s="251"/>
      <c r="I88" s="41"/>
      <c r="J88" s="6"/>
      <c r="K88" s="6"/>
      <c r="L88" s="353"/>
      <c r="M88" s="162"/>
      <c r="N88" s="247">
        <f ca="1">MAX(0,OtherData2!G19-0.001)</f>
        <v>0.19900000000000001</v>
      </c>
      <c r="O88" s="249">
        <f ca="1">MAX(0,OtherData2!H19-0.001)</f>
        <v>0.19900000000000001</v>
      </c>
      <c r="P88" s="162">
        <v>1</v>
      </c>
      <c r="Q88" s="6"/>
      <c r="R88" s="6"/>
      <c r="S88" s="6"/>
      <c r="T88" s="6"/>
      <c r="U88" s="162"/>
      <c r="V88" s="6"/>
      <c r="W88" s="256"/>
      <c r="X88" s="6"/>
    </row>
    <row r="89" spans="2:24">
      <c r="B89" s="6" t="s">
        <v>261</v>
      </c>
      <c r="C89" s="6"/>
      <c r="D89" s="6"/>
      <c r="E89" s="6"/>
      <c r="F89" s="6"/>
      <c r="G89" s="6"/>
      <c r="H89" s="251"/>
      <c r="I89" s="41"/>
      <c r="J89" s="6"/>
      <c r="K89" s="6"/>
      <c r="L89" s="353"/>
      <c r="M89" s="162"/>
      <c r="N89" s="247">
        <f ca="1">MAX(0,OtherData2!G20-0.001)</f>
        <v>0.69899999999999995</v>
      </c>
      <c r="O89" s="249">
        <f ca="1">MAX(0,OtherData2!H20-0.001)</f>
        <v>0.69899999999999995</v>
      </c>
      <c r="P89" s="162">
        <v>1</v>
      </c>
      <c r="Q89" s="6"/>
      <c r="R89" s="6"/>
      <c r="S89" s="6"/>
      <c r="T89" s="6"/>
      <c r="U89" s="162"/>
      <c r="V89" s="6"/>
      <c r="W89" s="256"/>
      <c r="X89" s="6"/>
    </row>
    <row r="90" spans="2:24">
      <c r="B90" s="6" t="s">
        <v>262</v>
      </c>
      <c r="C90" s="6"/>
      <c r="D90" s="6" t="s">
        <v>516</v>
      </c>
      <c r="E90" s="6"/>
      <c r="F90" s="6"/>
      <c r="G90" s="6"/>
      <c r="H90" s="251"/>
      <c r="I90" s="41"/>
      <c r="J90" s="6"/>
      <c r="K90" s="6"/>
      <c r="L90" s="353"/>
      <c r="M90" s="162"/>
      <c r="N90" s="247">
        <f ca="1">MAX(0,OtherData2!G21-0.001)</f>
        <v>0.749</v>
      </c>
      <c r="O90" s="249">
        <f ca="1">MAX(0,OtherData2!H21-0.001)</f>
        <v>0.749</v>
      </c>
      <c r="P90" s="162">
        <v>1</v>
      </c>
      <c r="Q90" s="6"/>
      <c r="R90" s="6"/>
      <c r="S90" s="6"/>
      <c r="T90" s="6"/>
      <c r="U90" s="162"/>
      <c r="V90" s="6"/>
      <c r="W90" s="256"/>
      <c r="X90" s="6"/>
    </row>
    <row r="91" spans="2:24">
      <c r="B91" s="6" t="s">
        <v>390</v>
      </c>
      <c r="C91" s="6"/>
      <c r="D91" s="6"/>
      <c r="E91" s="6"/>
      <c r="F91" s="6"/>
      <c r="G91" s="6"/>
      <c r="H91" s="251"/>
      <c r="I91" s="41"/>
      <c r="J91" s="6"/>
      <c r="K91" s="6"/>
      <c r="L91" s="353"/>
      <c r="M91" s="162"/>
      <c r="N91" s="247">
        <f ca="1">MAX(0,OtherData2!G22-0.001)</f>
        <v>0.69899999999999995</v>
      </c>
      <c r="O91" s="249">
        <f ca="1">MAX(0,OtherData2!H22-0.001)</f>
        <v>0.69899999999999995</v>
      </c>
      <c r="P91" s="162">
        <v>1</v>
      </c>
      <c r="Q91" s="6"/>
      <c r="R91" s="6"/>
      <c r="S91" s="6"/>
      <c r="T91" s="6"/>
      <c r="U91" s="162"/>
      <c r="V91" s="6"/>
      <c r="W91" s="256"/>
      <c r="X91" s="6"/>
    </row>
    <row r="92" spans="2:24">
      <c r="B92" s="6" t="s">
        <v>263</v>
      </c>
      <c r="C92" s="6"/>
      <c r="D92" s="6"/>
      <c r="E92" s="6"/>
      <c r="F92" s="6"/>
      <c r="G92" s="6"/>
      <c r="H92" s="251"/>
      <c r="I92" s="41"/>
      <c r="J92" s="6"/>
      <c r="K92" s="6"/>
      <c r="L92" s="353"/>
      <c r="M92" s="162"/>
      <c r="N92" s="247">
        <f ca="1">MAX(0,OtherData2!G23-0.001)</f>
        <v>0.69899999999999995</v>
      </c>
      <c r="O92" s="249">
        <f ca="1">MAX(0,OtherData2!H23-0.001)</f>
        <v>0.69899999999999995</v>
      </c>
      <c r="P92" s="162">
        <v>1</v>
      </c>
      <c r="Q92" s="6"/>
      <c r="R92" s="6"/>
      <c r="S92" s="6"/>
      <c r="T92" s="6"/>
      <c r="U92" s="162"/>
      <c r="V92" s="6"/>
      <c r="W92" s="256"/>
      <c r="X92" s="6"/>
    </row>
    <row r="93" spans="2:24">
      <c r="B93" s="6" t="s">
        <v>653</v>
      </c>
      <c r="C93" s="6"/>
      <c r="D93" s="6"/>
      <c r="E93" s="6" t="s">
        <v>409</v>
      </c>
      <c r="F93" s="6"/>
      <c r="G93" s="162" t="s">
        <v>336</v>
      </c>
      <c r="H93" s="251"/>
      <c r="I93" s="284"/>
      <c r="J93" s="6"/>
      <c r="K93" s="6"/>
      <c r="L93" s="354">
        <f ca="1">OtherData2!I38</f>
        <v>1.8</v>
      </c>
      <c r="M93" s="253">
        <f ca="1">OtherData2!J38</f>
        <v>1.8</v>
      </c>
      <c r="N93" s="247">
        <f ca="1">MAX(0,OtherData2!G38-0.02)</f>
        <v>0</v>
      </c>
      <c r="O93" s="249">
        <f ca="1">MAX(0,OtherData2!H38-0.02)</f>
        <v>0.34334382680934677</v>
      </c>
      <c r="P93" s="162">
        <v>1</v>
      </c>
      <c r="Q93" s="6"/>
      <c r="R93" s="6"/>
      <c r="S93" s="6"/>
      <c r="T93" s="6"/>
      <c r="U93" s="162"/>
      <c r="V93" s="6"/>
      <c r="W93" s="256"/>
      <c r="X93" s="6"/>
    </row>
    <row r="94" spans="2:24">
      <c r="B94" s="6" t="s">
        <v>654</v>
      </c>
      <c r="C94" s="6"/>
      <c r="D94" s="6"/>
      <c r="E94" s="6" t="s">
        <v>410</v>
      </c>
      <c r="F94" s="6"/>
      <c r="G94" s="162" t="s">
        <v>336</v>
      </c>
      <c r="H94" s="251"/>
      <c r="I94" s="284"/>
      <c r="J94" s="6"/>
      <c r="K94" s="6"/>
      <c r="L94" s="354">
        <f t="shared" ref="L94:M96" si="18">L$93</f>
        <v>1.8</v>
      </c>
      <c r="M94" s="253">
        <f t="shared" si="18"/>
        <v>1.8</v>
      </c>
      <c r="N94" s="247">
        <f t="shared" ref="N94:O96" ca="1" si="19">N$93</f>
        <v>0</v>
      </c>
      <c r="O94" s="249">
        <f t="shared" ca="1" si="19"/>
        <v>0.34334382680934677</v>
      </c>
      <c r="P94" s="162">
        <v>1</v>
      </c>
      <c r="Q94" s="6"/>
      <c r="R94" s="6"/>
      <c r="S94" s="6"/>
      <c r="T94" s="6"/>
      <c r="U94" s="162"/>
      <c r="V94" s="6"/>
      <c r="W94" s="256"/>
      <c r="X94" s="6"/>
    </row>
    <row r="95" spans="2:24">
      <c r="B95" s="6" t="s">
        <v>655</v>
      </c>
      <c r="C95" s="6"/>
      <c r="D95" s="6"/>
      <c r="E95" s="6" t="s">
        <v>411</v>
      </c>
      <c r="F95" s="6"/>
      <c r="G95" s="162" t="s">
        <v>336</v>
      </c>
      <c r="H95" s="251"/>
      <c r="I95" s="284"/>
      <c r="J95" s="6"/>
      <c r="K95" s="6"/>
      <c r="L95" s="354">
        <f t="shared" si="18"/>
        <v>1.8</v>
      </c>
      <c r="M95" s="253">
        <f t="shared" si="18"/>
        <v>1.8</v>
      </c>
      <c r="N95" s="247">
        <f t="shared" ca="1" si="19"/>
        <v>0</v>
      </c>
      <c r="O95" s="249">
        <f t="shared" ca="1" si="19"/>
        <v>0.34334382680934677</v>
      </c>
      <c r="P95" s="162">
        <v>1</v>
      </c>
      <c r="Q95" s="6"/>
      <c r="R95" s="6"/>
      <c r="S95" s="6"/>
      <c r="T95" s="6"/>
      <c r="U95" s="162"/>
      <c r="V95" s="6"/>
      <c r="W95" s="256"/>
      <c r="X95" s="6"/>
    </row>
    <row r="96" spans="2:24">
      <c r="B96" s="6" t="s">
        <v>656</v>
      </c>
      <c r="C96" s="6"/>
      <c r="D96" s="6"/>
      <c r="E96" s="6" t="s">
        <v>412</v>
      </c>
      <c r="F96" s="6"/>
      <c r="G96" s="162" t="s">
        <v>336</v>
      </c>
      <c r="H96" s="251"/>
      <c r="I96" s="284"/>
      <c r="J96" s="6"/>
      <c r="K96" s="6"/>
      <c r="L96" s="354">
        <f t="shared" si="18"/>
        <v>1.8</v>
      </c>
      <c r="M96" s="253">
        <f t="shared" si="18"/>
        <v>1.8</v>
      </c>
      <c r="N96" s="247">
        <f t="shared" ca="1" si="19"/>
        <v>0</v>
      </c>
      <c r="O96" s="249">
        <f t="shared" ca="1" si="19"/>
        <v>0.34334382680934677</v>
      </c>
      <c r="P96" s="162">
        <v>1</v>
      </c>
      <c r="Q96" s="6"/>
      <c r="R96" s="6"/>
      <c r="S96" s="6"/>
      <c r="T96" s="6"/>
      <c r="U96" s="162"/>
      <c r="V96" s="6"/>
      <c r="W96" s="256"/>
      <c r="X96" s="6"/>
    </row>
    <row r="97" spans="2:29">
      <c r="B97" s="6" t="s">
        <v>493</v>
      </c>
      <c r="C97" s="6"/>
      <c r="D97" s="6" t="s">
        <v>570</v>
      </c>
      <c r="E97" s="6" t="s">
        <v>53</v>
      </c>
      <c r="F97" s="6"/>
      <c r="G97" s="162" t="s">
        <v>336</v>
      </c>
      <c r="H97" s="251" t="s">
        <v>564</v>
      </c>
      <c r="I97" s="284">
        <v>0.6</v>
      </c>
      <c r="J97" s="6"/>
      <c r="K97" s="6"/>
      <c r="L97" s="353">
        <f ca="1">OtherData2!I39</f>
        <v>0.01</v>
      </c>
      <c r="M97" s="162">
        <f ca="1">OtherData2!J39</f>
        <v>0.01</v>
      </c>
      <c r="N97" s="256"/>
      <c r="O97" s="41"/>
      <c r="P97" s="6"/>
      <c r="Q97" s="6"/>
      <c r="R97" s="6"/>
      <c r="S97" s="6"/>
      <c r="T97" s="6"/>
      <c r="U97" s="162"/>
      <c r="V97" s="6"/>
      <c r="W97" s="256"/>
      <c r="X97" s="6"/>
    </row>
    <row r="98" spans="2:29">
      <c r="B98" s="6" t="s">
        <v>593</v>
      </c>
      <c r="C98" s="6" t="str">
        <f>"HET: Existing " &amp;MID(B98,4,3)&amp; "-based capacity"</f>
        <v>HET: Existing REC-based capacity</v>
      </c>
      <c r="D98" s="6" t="s">
        <v>570</v>
      </c>
      <c r="E98" s="6" t="s">
        <v>53</v>
      </c>
      <c r="F98" s="6"/>
      <c r="G98" s="6"/>
      <c r="H98" s="251" t="s">
        <v>564</v>
      </c>
      <c r="I98" s="284">
        <v>0.6</v>
      </c>
      <c r="J98" s="6"/>
      <c r="K98" s="6"/>
      <c r="L98" s="353"/>
      <c r="M98" s="162"/>
      <c r="N98" s="256"/>
      <c r="O98" s="41"/>
      <c r="P98" s="6"/>
      <c r="Q98" s="6"/>
      <c r="R98" s="6"/>
      <c r="S98" s="6"/>
      <c r="T98" s="6"/>
      <c r="U98" s="162"/>
      <c r="V98" s="6"/>
      <c r="W98" s="256"/>
      <c r="X98" s="6"/>
    </row>
    <row r="99" spans="2:29">
      <c r="B99" s="6" t="s">
        <v>593</v>
      </c>
      <c r="C99" s="6" t="str">
        <f>"HET: Existing " &amp;MID(B99,4,3)&amp; "-based capacity"</f>
        <v>HET: Existing REC-based capacity</v>
      </c>
      <c r="D99" s="6" t="s">
        <v>591</v>
      </c>
      <c r="E99" s="6"/>
      <c r="F99" s="6"/>
      <c r="G99" s="6"/>
      <c r="H99" s="251" t="s">
        <v>564</v>
      </c>
      <c r="I99" s="284">
        <v>1</v>
      </c>
      <c r="J99" s="6"/>
      <c r="K99" s="6"/>
      <c r="L99" s="353"/>
      <c r="M99" s="162"/>
      <c r="N99" s="256"/>
      <c r="O99" s="41"/>
      <c r="P99" s="6"/>
      <c r="Q99" s="6"/>
      <c r="R99" s="6"/>
      <c r="S99" s="6"/>
      <c r="T99" s="6"/>
      <c r="U99" s="162"/>
      <c r="V99" s="6"/>
      <c r="W99" s="256"/>
      <c r="X99" s="6"/>
      <c r="AC99" s="243"/>
    </row>
    <row r="100" spans="2:29">
      <c r="B100" s="257" t="s">
        <v>59</v>
      </c>
      <c r="C100" s="257"/>
      <c r="D100" s="257"/>
      <c r="E100" s="257"/>
      <c r="F100" s="257"/>
      <c r="G100" s="257"/>
      <c r="H100" s="258"/>
      <c r="I100" s="42"/>
      <c r="J100" s="257"/>
      <c r="K100" s="257"/>
      <c r="L100" s="355"/>
      <c r="M100" s="182"/>
      <c r="N100" s="187"/>
      <c r="O100" s="186"/>
      <c r="P100" s="257"/>
      <c r="Q100" s="257"/>
      <c r="R100" s="257"/>
      <c r="S100" s="257"/>
      <c r="T100" s="257"/>
      <c r="U100" s="182"/>
      <c r="V100" s="257"/>
      <c r="W100" s="259"/>
      <c r="X100" s="257"/>
      <c r="AA100" s="257"/>
    </row>
    <row r="101" spans="2:29">
      <c r="B101" s="6" t="s">
        <v>494</v>
      </c>
      <c r="C101" s="6"/>
      <c r="D101" s="6"/>
      <c r="E101" s="6" t="s">
        <v>409</v>
      </c>
      <c r="F101" s="6"/>
      <c r="G101" s="162" t="s">
        <v>336</v>
      </c>
      <c r="H101" s="251"/>
      <c r="I101" s="41"/>
      <c r="J101" s="6"/>
      <c r="K101" s="6"/>
      <c r="L101" s="354">
        <f t="shared" ref="L101:M105" ca="1" si="20">AD25</f>
        <v>1.7142462611993099</v>
      </c>
      <c r="M101" s="253">
        <f t="shared" ca="1" si="20"/>
        <v>1.8856691471314526</v>
      </c>
      <c r="N101" s="256"/>
      <c r="O101" s="41"/>
      <c r="P101" s="6"/>
      <c r="Q101" s="6"/>
      <c r="R101" s="6"/>
      <c r="S101" s="6"/>
      <c r="T101" s="254" t="str">
        <f>IF(Y25&lt;0,1/(1-K25)/(1+1/M101/ABS(Y25)),"")</f>
        <v/>
      </c>
      <c r="U101" s="339" t="str">
        <f>IF(SUM(T101),5,"")</f>
        <v/>
      </c>
      <c r="V101" s="6"/>
      <c r="W101" s="256"/>
      <c r="X101" s="6"/>
      <c r="AA101" s="135">
        <v>1</v>
      </c>
    </row>
    <row r="102" spans="2:29">
      <c r="B102" s="6" t="s">
        <v>495</v>
      </c>
      <c r="C102" s="6"/>
      <c r="D102" s="6"/>
      <c r="E102" s="6" t="s">
        <v>409</v>
      </c>
      <c r="F102" s="6"/>
      <c r="G102" s="162" t="s">
        <v>599</v>
      </c>
      <c r="H102" s="251"/>
      <c r="I102" s="41"/>
      <c r="J102" s="6"/>
      <c r="K102" s="6"/>
      <c r="L102" s="354">
        <f t="shared" ca="1" si="20"/>
        <v>1.0073977886073491</v>
      </c>
      <c r="M102" s="253">
        <f t="shared" ca="1" si="20"/>
        <v>1.166662558132888</v>
      </c>
      <c r="N102" s="247">
        <f ca="1">I26*0.98</f>
        <v>0.66036718756192303</v>
      </c>
      <c r="O102" s="249">
        <f ca="1">J26*0.98</f>
        <v>0.22958139381738457</v>
      </c>
      <c r="P102" s="6">
        <v>1</v>
      </c>
      <c r="Q102" s="6"/>
      <c r="R102" s="6"/>
      <c r="S102" s="6"/>
      <c r="T102" s="254">
        <f ca="1">IF(Y26&lt;0,1/(1-K26)/(1+1/M102/ABS(Y26)),"")</f>
        <v>0.23217173878235467</v>
      </c>
      <c r="U102" s="339">
        <f ca="1">IF(SUM(T102),5,"")</f>
        <v>5</v>
      </c>
      <c r="V102" s="6"/>
      <c r="W102" s="256"/>
      <c r="X102" s="6"/>
      <c r="AA102" s="135">
        <v>2</v>
      </c>
    </row>
    <row r="103" spans="2:29">
      <c r="B103" s="6" t="s">
        <v>496</v>
      </c>
      <c r="C103" s="6"/>
      <c r="D103" s="6" t="s">
        <v>152</v>
      </c>
      <c r="E103" s="6" t="s">
        <v>409</v>
      </c>
      <c r="F103" s="6" t="s">
        <v>382</v>
      </c>
      <c r="G103" s="162" t="s">
        <v>599</v>
      </c>
      <c r="H103" s="251" t="s">
        <v>607</v>
      </c>
      <c r="I103" s="41">
        <v>0.05</v>
      </c>
      <c r="J103" s="6">
        <v>0.17</v>
      </c>
      <c r="K103" s="6">
        <v>0.25</v>
      </c>
      <c r="L103" s="354">
        <f t="shared" ca="1" si="20"/>
        <v>1.8380826719811227</v>
      </c>
      <c r="M103" s="253">
        <f t="shared" ca="1" si="20"/>
        <v>2.1286747463658156</v>
      </c>
      <c r="N103" s="256"/>
      <c r="O103" s="41"/>
      <c r="P103" s="6"/>
      <c r="Q103" s="6"/>
      <c r="R103" s="6"/>
      <c r="S103" s="6"/>
      <c r="T103" s="254">
        <f ca="1">IF(Y27&lt;0,1/(1-K27)/(1+1/M103/ABS(Y27)),"")</f>
        <v>0.65141213545745891</v>
      </c>
      <c r="U103" s="339">
        <f ca="1">IF(SUM(T103),5,"")</f>
        <v>5</v>
      </c>
      <c r="V103" s="6"/>
      <c r="W103" s="256"/>
      <c r="X103" s="6"/>
      <c r="AA103" s="135">
        <v>3</v>
      </c>
    </row>
    <row r="104" spans="2:29">
      <c r="B104" s="6" t="s">
        <v>497</v>
      </c>
      <c r="C104" s="6"/>
      <c r="D104" s="6" t="s">
        <v>152</v>
      </c>
      <c r="E104" s="6" t="s">
        <v>409</v>
      </c>
      <c r="F104" s="6" t="s">
        <v>382</v>
      </c>
      <c r="G104" s="162" t="s">
        <v>336</v>
      </c>
      <c r="H104" s="251" t="s">
        <v>607</v>
      </c>
      <c r="I104" s="41">
        <v>0.15</v>
      </c>
      <c r="J104" s="6">
        <v>0.3</v>
      </c>
      <c r="K104" s="6">
        <v>0.4</v>
      </c>
      <c r="L104" s="354">
        <f t="shared" ca="1" si="20"/>
        <v>2.0303030303030298</v>
      </c>
      <c r="M104" s="253">
        <f t="shared" ca="1" si="20"/>
        <v>2.0303030303030298</v>
      </c>
      <c r="N104" s="256"/>
      <c r="O104" s="41"/>
      <c r="P104" s="6"/>
      <c r="Q104" s="6"/>
      <c r="R104" s="6"/>
      <c r="S104" s="6"/>
      <c r="T104" s="254" t="str">
        <f>IF(Y28&lt;0,1/(1-K28)/(1+1/M104/ABS(Y28)),"")</f>
        <v/>
      </c>
      <c r="U104" s="339" t="str">
        <f>IF(SUM(T104),5,"")</f>
        <v/>
      </c>
      <c r="V104" s="6"/>
      <c r="W104" s="256"/>
      <c r="X104" s="6"/>
      <c r="AA104" s="135">
        <v>4</v>
      </c>
    </row>
    <row r="105" spans="2:29">
      <c r="B105" s="6" t="s">
        <v>498</v>
      </c>
      <c r="C105" s="6"/>
      <c r="D105" s="6" t="s">
        <v>354</v>
      </c>
      <c r="E105" s="6" t="s">
        <v>409</v>
      </c>
      <c r="F105" s="6"/>
      <c r="G105" s="162" t="s">
        <v>336</v>
      </c>
      <c r="H105" s="251"/>
      <c r="I105" s="41"/>
      <c r="J105" s="6"/>
      <c r="K105" s="6"/>
      <c r="L105" s="354">
        <f t="shared" ca="1" si="20"/>
        <v>2.4122230077303333</v>
      </c>
      <c r="M105" s="253">
        <f t="shared" ca="1" si="20"/>
        <v>2.7935839216762259</v>
      </c>
      <c r="N105" s="256"/>
      <c r="O105" s="41"/>
      <c r="P105" s="6"/>
      <c r="Q105" s="6"/>
      <c r="R105" s="6"/>
      <c r="S105" s="6"/>
      <c r="T105" s="254" t="str">
        <f>IF(Y29&lt;0,1/(1-K29)/(1+1/M105/ABS(Y29)),"")</f>
        <v/>
      </c>
      <c r="U105" s="339" t="str">
        <f>IF(SUM(T105),5,"")</f>
        <v/>
      </c>
      <c r="V105" s="6"/>
      <c r="W105" s="256"/>
      <c r="X105" s="6"/>
      <c r="AA105" s="135">
        <v>5</v>
      </c>
    </row>
    <row r="106" spans="2:29">
      <c r="B106" s="257" t="s">
        <v>59</v>
      </c>
      <c r="C106" s="257"/>
      <c r="D106" s="257"/>
      <c r="E106" s="257"/>
      <c r="F106" s="257"/>
      <c r="G106" s="257"/>
      <c r="H106" s="258"/>
      <c r="I106" s="42"/>
      <c r="J106" s="257"/>
      <c r="K106" s="257"/>
      <c r="L106" s="355"/>
      <c r="M106" s="182"/>
      <c r="N106" s="187"/>
      <c r="O106" s="186"/>
      <c r="P106" s="257"/>
      <c r="Q106" s="257"/>
      <c r="R106" s="257"/>
      <c r="S106" s="257"/>
      <c r="T106" s="257"/>
      <c r="U106" s="182"/>
      <c r="V106" s="257"/>
      <c r="W106" s="259"/>
      <c r="X106" s="257"/>
      <c r="AA106" s="257"/>
    </row>
    <row r="107" spans="2:29">
      <c r="B107" s="6" t="s">
        <v>499</v>
      </c>
      <c r="C107" s="6"/>
      <c r="D107" s="6"/>
      <c r="E107" s="6" t="s">
        <v>410</v>
      </c>
      <c r="F107" s="6"/>
      <c r="G107" s="162" t="s">
        <v>336</v>
      </c>
      <c r="H107" s="251"/>
      <c r="I107" s="41"/>
      <c r="J107" s="6"/>
      <c r="K107" s="6"/>
      <c r="L107" s="354">
        <f t="shared" ref="L107:M111" ca="1" si="21">AD31</f>
        <v>1.908959774589245</v>
      </c>
      <c r="M107" s="253">
        <f t="shared" ca="1" si="21"/>
        <v>2.1150263516804699</v>
      </c>
      <c r="N107" s="256"/>
      <c r="O107" s="41"/>
      <c r="P107" s="6"/>
      <c r="Q107" s="6"/>
      <c r="R107" s="6"/>
      <c r="S107" s="6"/>
      <c r="T107" s="6"/>
      <c r="U107" s="162"/>
      <c r="V107" s="6"/>
      <c r="W107" s="256"/>
      <c r="X107" s="6"/>
      <c r="AA107" s="135">
        <v>1</v>
      </c>
    </row>
    <row r="108" spans="2:29">
      <c r="B108" s="6" t="s">
        <v>500</v>
      </c>
      <c r="C108" s="6"/>
      <c r="D108" s="6"/>
      <c r="E108" s="6" t="s">
        <v>410</v>
      </c>
      <c r="F108" s="6"/>
      <c r="G108" s="162" t="s">
        <v>336</v>
      </c>
      <c r="H108" s="251"/>
      <c r="I108" s="41"/>
      <c r="J108" s="6"/>
      <c r="K108" s="6"/>
      <c r="L108" s="354">
        <f t="shared" ca="1" si="21"/>
        <v>1.5495589502006679</v>
      </c>
      <c r="M108" s="253">
        <f t="shared" ca="1" si="21"/>
        <v>1.8745787002666454</v>
      </c>
      <c r="N108" s="247">
        <f ca="1">I32*0.98</f>
        <v>0</v>
      </c>
      <c r="O108" s="249">
        <f ca="1">J32*0.98</f>
        <v>0</v>
      </c>
      <c r="P108" s="6">
        <v>1</v>
      </c>
      <c r="Q108" s="6"/>
      <c r="R108" s="6"/>
      <c r="S108" s="6"/>
      <c r="T108" s="6"/>
      <c r="U108" s="162"/>
      <c r="V108" s="6"/>
      <c r="W108" s="256"/>
      <c r="X108" s="6"/>
      <c r="AA108" s="135">
        <v>2</v>
      </c>
    </row>
    <row r="109" spans="2:29">
      <c r="B109" s="6" t="s">
        <v>501</v>
      </c>
      <c r="C109" s="6"/>
      <c r="D109" s="6" t="s">
        <v>152</v>
      </c>
      <c r="E109" s="6" t="s">
        <v>410</v>
      </c>
      <c r="F109" s="6" t="s">
        <v>382</v>
      </c>
      <c r="G109" s="162" t="s">
        <v>336</v>
      </c>
      <c r="H109" s="251" t="s">
        <v>607</v>
      </c>
      <c r="I109" s="41">
        <v>0.1</v>
      </c>
      <c r="J109" s="6">
        <v>0.25</v>
      </c>
      <c r="K109" s="6">
        <v>0.3</v>
      </c>
      <c r="L109" s="354">
        <f t="shared" ca="1" si="21"/>
        <v>3.6373606552394091</v>
      </c>
      <c r="M109" s="253">
        <f t="shared" ca="1" si="21"/>
        <v>4.6816449990235212</v>
      </c>
      <c r="N109" s="256"/>
      <c r="O109" s="41"/>
      <c r="P109" s="6"/>
      <c r="Q109" s="6"/>
      <c r="R109" s="6"/>
      <c r="S109" s="6"/>
      <c r="T109" s="6"/>
      <c r="U109" s="162"/>
      <c r="V109" s="6"/>
      <c r="W109" s="256"/>
      <c r="X109" s="6"/>
      <c r="AA109" s="135">
        <v>3</v>
      </c>
    </row>
    <row r="110" spans="2:29">
      <c r="B110" s="6" t="s">
        <v>502</v>
      </c>
      <c r="C110" s="6"/>
      <c r="D110" s="6" t="s">
        <v>152</v>
      </c>
      <c r="E110" s="6" t="s">
        <v>410</v>
      </c>
      <c r="F110" s="6" t="s">
        <v>382</v>
      </c>
      <c r="G110" s="162" t="s">
        <v>336</v>
      </c>
      <c r="H110" s="251" t="s">
        <v>607</v>
      </c>
      <c r="I110" s="41">
        <v>0.2</v>
      </c>
      <c r="J110" s="6">
        <v>0.4</v>
      </c>
      <c r="K110" s="6">
        <v>0.5</v>
      </c>
      <c r="L110" s="354">
        <f t="shared" ca="1" si="21"/>
        <v>4.3030303030303001</v>
      </c>
      <c r="M110" s="253">
        <f t="shared" ca="1" si="21"/>
        <v>4.3030303030303001</v>
      </c>
      <c r="N110" s="256"/>
      <c r="O110" s="41"/>
      <c r="P110" s="6"/>
      <c r="Q110" s="6"/>
      <c r="R110" s="6"/>
      <c r="S110" s="6"/>
      <c r="T110" s="6"/>
      <c r="U110" s="162"/>
      <c r="V110" s="6"/>
      <c r="W110" s="256"/>
      <c r="X110" s="6"/>
      <c r="AA110" s="135">
        <v>4</v>
      </c>
    </row>
    <row r="111" spans="2:29">
      <c r="B111" s="6" t="s">
        <v>503</v>
      </c>
      <c r="C111" s="6"/>
      <c r="D111" s="6" t="s">
        <v>354</v>
      </c>
      <c r="E111" s="6" t="s">
        <v>410</v>
      </c>
      <c r="F111" s="6"/>
      <c r="G111" s="162" t="s">
        <v>336</v>
      </c>
      <c r="H111" s="251"/>
      <c r="I111" s="41"/>
      <c r="J111" s="6"/>
      <c r="K111" s="6"/>
      <c r="L111" s="354">
        <f t="shared" ca="1" si="21"/>
        <v>5.9522269919091375</v>
      </c>
      <c r="M111" s="253">
        <f t="shared" ca="1" si="21"/>
        <v>8.2456626204841328</v>
      </c>
      <c r="N111" s="256"/>
      <c r="O111" s="41"/>
      <c r="P111" s="6"/>
      <c r="Q111" s="6"/>
      <c r="R111" s="6"/>
      <c r="S111" s="6"/>
      <c r="T111" s="6"/>
      <c r="U111" s="162"/>
      <c r="V111" s="6"/>
      <c r="W111" s="256"/>
      <c r="X111" s="6"/>
      <c r="AA111" s="135">
        <v>5</v>
      </c>
    </row>
    <row r="112" spans="2:29">
      <c r="B112" s="257" t="s">
        <v>59</v>
      </c>
      <c r="C112" s="257"/>
      <c r="D112" s="257"/>
      <c r="E112" s="257"/>
      <c r="F112" s="257"/>
      <c r="G112" s="257"/>
      <c r="H112" s="258"/>
      <c r="I112" s="42"/>
      <c r="J112" s="257"/>
      <c r="K112" s="257"/>
      <c r="L112" s="355"/>
      <c r="M112" s="182"/>
      <c r="N112" s="187"/>
      <c r="O112" s="186"/>
      <c r="P112" s="257"/>
      <c r="Q112" s="257"/>
      <c r="R112" s="257"/>
      <c r="S112" s="257"/>
      <c r="T112" s="257"/>
      <c r="U112" s="182"/>
      <c r="V112" s="257"/>
      <c r="W112" s="259"/>
      <c r="X112" s="257"/>
      <c r="AA112" s="257"/>
    </row>
    <row r="113" spans="2:27">
      <c r="B113" s="6" t="s">
        <v>504</v>
      </c>
      <c r="C113" s="6"/>
      <c r="D113" s="6"/>
      <c r="E113" s="6" t="s">
        <v>411</v>
      </c>
      <c r="F113" s="6"/>
      <c r="G113" s="162" t="s">
        <v>336</v>
      </c>
      <c r="H113" s="251"/>
      <c r="I113" s="41"/>
      <c r="J113" s="6"/>
      <c r="K113" s="6"/>
      <c r="L113" s="354">
        <f t="shared" ref="L113:M117" ca="1" si="22">AD37</f>
        <v>1.7142462611993099</v>
      </c>
      <c r="M113" s="253">
        <f t="shared" ca="1" si="22"/>
        <v>1.8856691471314526</v>
      </c>
      <c r="N113" s="256"/>
      <c r="O113" s="41"/>
      <c r="P113" s="6"/>
      <c r="Q113" s="6"/>
      <c r="R113" s="6"/>
      <c r="S113" s="6"/>
      <c r="T113" s="254" t="str">
        <f>IF(Y37&lt;0,1/(1-K37)/(1+1/M113/ABS(Y37)),"")</f>
        <v/>
      </c>
      <c r="U113" s="339" t="str">
        <f>IF(SUM(T113),5,"")</f>
        <v/>
      </c>
      <c r="V113" s="6"/>
      <c r="W113" s="256"/>
      <c r="X113" s="6"/>
      <c r="AA113" s="135">
        <v>1</v>
      </c>
    </row>
    <row r="114" spans="2:27">
      <c r="B114" s="6" t="s">
        <v>505</v>
      </c>
      <c r="C114" s="6"/>
      <c r="D114" s="6"/>
      <c r="E114" s="6" t="s">
        <v>411</v>
      </c>
      <c r="F114" s="6"/>
      <c r="G114" s="162" t="s">
        <v>336</v>
      </c>
      <c r="H114" s="251"/>
      <c r="I114" s="41"/>
      <c r="J114" s="6"/>
      <c r="K114" s="6"/>
      <c r="L114" s="354">
        <f t="shared" ca="1" si="22"/>
        <v>1.0073977886073491</v>
      </c>
      <c r="M114" s="253">
        <f t="shared" ca="1" si="22"/>
        <v>1.166662558132888</v>
      </c>
      <c r="N114" s="256"/>
      <c r="O114" s="41"/>
      <c r="P114" s="6"/>
      <c r="Q114" s="6"/>
      <c r="R114" s="6"/>
      <c r="S114" s="6"/>
      <c r="T114" s="254" t="str">
        <f>IF(Y38&lt;0,1/(1-K38)/(1+1/M114/ABS(Y38)),"")</f>
        <v/>
      </c>
      <c r="U114" s="339" t="str">
        <f>IF(SUM(T114),5,"")</f>
        <v/>
      </c>
      <c r="V114" s="6"/>
      <c r="W114" s="256"/>
      <c r="X114" s="6"/>
      <c r="AA114" s="135">
        <v>2</v>
      </c>
    </row>
    <row r="115" spans="2:27">
      <c r="B115" s="6" t="s">
        <v>506</v>
      </c>
      <c r="C115" s="6"/>
      <c r="D115" s="6" t="s">
        <v>152</v>
      </c>
      <c r="E115" s="6" t="s">
        <v>411</v>
      </c>
      <c r="F115" s="6" t="s">
        <v>382</v>
      </c>
      <c r="G115" s="162" t="s">
        <v>599</v>
      </c>
      <c r="H115" s="251" t="s">
        <v>607</v>
      </c>
      <c r="I115" s="41">
        <v>0.15</v>
      </c>
      <c r="J115" s="6">
        <v>0.3</v>
      </c>
      <c r="K115" s="6">
        <v>0.4</v>
      </c>
      <c r="L115" s="354">
        <f t="shared" ca="1" si="22"/>
        <v>1.8380826719811227</v>
      </c>
      <c r="M115" s="253">
        <f t="shared" ca="1" si="22"/>
        <v>2.1286747463658156</v>
      </c>
      <c r="N115" s="256"/>
      <c r="O115" s="41"/>
      <c r="P115" s="6"/>
      <c r="Q115" s="6"/>
      <c r="R115" s="6"/>
      <c r="S115" s="6"/>
      <c r="T115" s="254">
        <f ca="1">IF(Y39&lt;0,1/(1-K39)/(1+1/M115/ABS(Y39)),"")</f>
        <v>0.51819003926507146</v>
      </c>
      <c r="U115" s="339">
        <f ca="1">IF(SUM(T115),5,"")</f>
        <v>5</v>
      </c>
      <c r="V115" s="6"/>
      <c r="W115" s="256"/>
      <c r="X115" s="6"/>
      <c r="AA115" s="135">
        <v>3</v>
      </c>
    </row>
    <row r="116" spans="2:27">
      <c r="B116" s="6" t="s">
        <v>507</v>
      </c>
      <c r="C116" s="6"/>
      <c r="D116" s="6" t="s">
        <v>152</v>
      </c>
      <c r="E116" s="6" t="s">
        <v>411</v>
      </c>
      <c r="F116" s="6" t="s">
        <v>382</v>
      </c>
      <c r="G116" s="162" t="s">
        <v>599</v>
      </c>
      <c r="H116" s="251" t="s">
        <v>607</v>
      </c>
      <c r="I116" s="41">
        <v>0.25</v>
      </c>
      <c r="J116" s="6">
        <v>0.5</v>
      </c>
      <c r="K116" s="6">
        <v>0.6</v>
      </c>
      <c r="L116" s="354">
        <f t="shared" ca="1" si="22"/>
        <v>2.0303030303030298</v>
      </c>
      <c r="M116" s="253">
        <f t="shared" ca="1" si="22"/>
        <v>2.0303030303030298</v>
      </c>
      <c r="N116" s="256"/>
      <c r="O116" s="41"/>
      <c r="P116" s="6"/>
      <c r="Q116" s="6"/>
      <c r="R116" s="6"/>
      <c r="S116" s="6"/>
      <c r="T116" s="254">
        <f ca="1">IF(Y40&lt;0,1/(1-K40)/(1+1/M116/ABS(Y40)),"")</f>
        <v>0.49962714392244584</v>
      </c>
      <c r="U116" s="339">
        <f ca="1">IF(SUM(T116),5,"")</f>
        <v>5</v>
      </c>
      <c r="V116" s="6"/>
      <c r="W116" s="256"/>
      <c r="X116" s="6"/>
      <c r="AA116" s="135">
        <v>4</v>
      </c>
    </row>
    <row r="117" spans="2:27">
      <c r="B117" s="6" t="s">
        <v>508</v>
      </c>
      <c r="C117" s="6"/>
      <c r="D117" s="6" t="s">
        <v>354</v>
      </c>
      <c r="E117" s="6" t="s">
        <v>411</v>
      </c>
      <c r="F117" s="6"/>
      <c r="G117" s="162" t="s">
        <v>336</v>
      </c>
      <c r="H117" s="251"/>
      <c r="I117" s="41"/>
      <c r="J117" s="6"/>
      <c r="K117" s="6"/>
      <c r="L117" s="354">
        <f t="shared" ca="1" si="22"/>
        <v>2.4122230077303333</v>
      </c>
      <c r="M117" s="253">
        <f t="shared" ca="1" si="22"/>
        <v>2.7935839216762259</v>
      </c>
      <c r="N117" s="256"/>
      <c r="O117" s="41"/>
      <c r="P117" s="6"/>
      <c r="Q117" s="6"/>
      <c r="R117" s="6"/>
      <c r="S117" s="6"/>
      <c r="T117" s="254" t="str">
        <f>IF(Y41&lt;0,1/(1-K41)/(1+1/M117/ABS(Y41)),"")</f>
        <v/>
      </c>
      <c r="U117" s="339" t="str">
        <f>IF(SUM(T117),5,"")</f>
        <v/>
      </c>
      <c r="V117" s="6"/>
      <c r="W117" s="256"/>
      <c r="X117" s="6"/>
      <c r="AA117" s="135">
        <v>5</v>
      </c>
    </row>
    <row r="118" spans="2:27">
      <c r="B118" s="257" t="s">
        <v>59</v>
      </c>
      <c r="C118" s="257"/>
      <c r="D118" s="257"/>
      <c r="E118" s="257"/>
      <c r="F118" s="257"/>
      <c r="G118" s="257"/>
      <c r="H118" s="258"/>
      <c r="I118" s="42"/>
      <c r="J118" s="257"/>
      <c r="K118" s="257"/>
      <c r="L118" s="355"/>
      <c r="M118" s="182"/>
      <c r="N118" s="187"/>
      <c r="O118" s="186"/>
      <c r="P118" s="257"/>
      <c r="Q118" s="257"/>
      <c r="R118" s="257"/>
      <c r="S118" s="257"/>
      <c r="T118" s="257"/>
      <c r="U118" s="182"/>
      <c r="V118" s="257"/>
      <c r="W118" s="259"/>
      <c r="X118" s="257"/>
      <c r="AA118" s="257"/>
    </row>
    <row r="119" spans="2:27">
      <c r="B119" s="6" t="s">
        <v>509</v>
      </c>
      <c r="C119" s="6"/>
      <c r="D119" s="6"/>
      <c r="E119" s="6" t="s">
        <v>412</v>
      </c>
      <c r="F119" s="6"/>
      <c r="G119" s="162" t="s">
        <v>336</v>
      </c>
      <c r="H119" s="251"/>
      <c r="I119" s="41"/>
      <c r="J119" s="6"/>
      <c r="K119" s="6"/>
      <c r="L119" s="354">
        <f t="shared" ref="L119:M123" ca="1" si="23">AD43</f>
        <v>1.8443481417537784</v>
      </c>
      <c r="M119" s="253">
        <f t="shared" ca="1" si="23"/>
        <v>2.0385523711383837</v>
      </c>
      <c r="N119" s="256"/>
      <c r="O119" s="41"/>
      <c r="P119" s="6"/>
      <c r="Q119" s="6"/>
      <c r="R119" s="6"/>
      <c r="S119" s="6"/>
      <c r="T119" s="6"/>
      <c r="U119" s="162"/>
      <c r="V119" s="6"/>
      <c r="W119" s="256"/>
      <c r="X119" s="6"/>
      <c r="AA119" s="135">
        <v>1</v>
      </c>
    </row>
    <row r="120" spans="2:27">
      <c r="B120" s="6" t="s">
        <v>510</v>
      </c>
      <c r="C120" s="6"/>
      <c r="D120" s="6"/>
      <c r="E120" s="6" t="s">
        <v>412</v>
      </c>
      <c r="F120" s="6"/>
      <c r="G120" s="162" t="s">
        <v>336</v>
      </c>
      <c r="H120" s="251"/>
      <c r="I120" s="41"/>
      <c r="J120" s="6"/>
      <c r="K120" s="6"/>
      <c r="L120" s="354">
        <f t="shared" ca="1" si="23"/>
        <v>1.3389865571011612</v>
      </c>
      <c r="M120" s="253">
        <f t="shared" ca="1" si="23"/>
        <v>1.5922551960204945</v>
      </c>
      <c r="N120" s="256"/>
      <c r="O120" s="41"/>
      <c r="P120" s="6"/>
      <c r="Q120" s="6"/>
      <c r="R120" s="6"/>
      <c r="S120" s="6"/>
      <c r="T120" s="6"/>
      <c r="U120" s="162"/>
      <c r="V120" s="6"/>
      <c r="W120" s="256"/>
      <c r="X120" s="6"/>
      <c r="AA120" s="135">
        <v>2</v>
      </c>
    </row>
    <row r="121" spans="2:27">
      <c r="B121" s="6" t="s">
        <v>511</v>
      </c>
      <c r="C121" s="6"/>
      <c r="D121" s="6" t="s">
        <v>152</v>
      </c>
      <c r="E121" s="6" t="s">
        <v>412</v>
      </c>
      <c r="F121" s="6" t="s">
        <v>382</v>
      </c>
      <c r="G121" s="162" t="s">
        <v>336</v>
      </c>
      <c r="H121" s="251" t="s">
        <v>607</v>
      </c>
      <c r="I121" s="41">
        <v>0.15</v>
      </c>
      <c r="J121" s="6">
        <v>0.3</v>
      </c>
      <c r="K121" s="6">
        <v>0.4</v>
      </c>
      <c r="L121" s="354">
        <f t="shared" ca="1" si="23"/>
        <v>2.8283356013396683</v>
      </c>
      <c r="M121" s="253">
        <f t="shared" ca="1" si="23"/>
        <v>3.4667126461620299</v>
      </c>
      <c r="N121" s="256"/>
      <c r="O121" s="41"/>
      <c r="P121" s="6"/>
      <c r="Q121" s="6"/>
      <c r="R121" s="6"/>
      <c r="S121" s="6"/>
      <c r="T121" s="6"/>
      <c r="U121" s="162"/>
      <c r="V121" s="6"/>
      <c r="W121" s="256"/>
      <c r="X121" s="6"/>
      <c r="AA121" s="135">
        <v>3</v>
      </c>
    </row>
    <row r="122" spans="2:27">
      <c r="B122" s="6" t="s">
        <v>512</v>
      </c>
      <c r="C122" s="6"/>
      <c r="D122" s="6" t="s">
        <v>152</v>
      </c>
      <c r="E122" s="6" t="s">
        <v>412</v>
      </c>
      <c r="F122" s="6" t="s">
        <v>382</v>
      </c>
      <c r="G122" s="162" t="s">
        <v>336</v>
      </c>
      <c r="H122" s="251" t="s">
        <v>607</v>
      </c>
      <c r="I122" s="41">
        <v>0.25</v>
      </c>
      <c r="J122" s="6">
        <v>0.5</v>
      </c>
      <c r="K122" s="6">
        <v>0.6</v>
      </c>
      <c r="L122" s="354">
        <f t="shared" ca="1" si="23"/>
        <v>3.2424242424242409</v>
      </c>
      <c r="M122" s="253">
        <f t="shared" ca="1" si="23"/>
        <v>3.2424242424242409</v>
      </c>
      <c r="N122" s="256"/>
      <c r="O122" s="41"/>
      <c r="P122" s="6"/>
      <c r="Q122" s="6"/>
      <c r="R122" s="6"/>
      <c r="S122" s="6"/>
      <c r="T122" s="6"/>
      <c r="U122" s="162"/>
      <c r="V122" s="6"/>
      <c r="W122" s="256"/>
      <c r="X122" s="6"/>
      <c r="AA122" s="135">
        <v>4</v>
      </c>
    </row>
    <row r="123" spans="2:27">
      <c r="B123" s="6" t="s">
        <v>513</v>
      </c>
      <c r="C123" s="6"/>
      <c r="D123" s="6" t="s">
        <v>354</v>
      </c>
      <c r="E123" s="6" t="s">
        <v>412</v>
      </c>
      <c r="F123" s="6"/>
      <c r="G123" s="162" t="s">
        <v>336</v>
      </c>
      <c r="H123" s="251"/>
      <c r="I123" s="41"/>
      <c r="J123" s="6"/>
      <c r="K123" s="6"/>
      <c r="L123" s="354">
        <f t="shared" ca="1" si="23"/>
        <v>4.1658079314358147</v>
      </c>
      <c r="M123" s="253">
        <f t="shared" ca="1" si="23"/>
        <v>5.2510337410569958</v>
      </c>
      <c r="N123" s="256"/>
      <c r="O123" s="41"/>
      <c r="P123" s="6"/>
      <c r="Q123" s="6"/>
      <c r="R123" s="6"/>
      <c r="S123" s="6"/>
      <c r="T123" s="6"/>
      <c r="U123" s="162"/>
      <c r="V123" s="6"/>
      <c r="W123" s="256"/>
      <c r="X123" s="6"/>
      <c r="AA123" s="135">
        <v>5</v>
      </c>
    </row>
    <row r="124" spans="2:27">
      <c r="B124" s="257" t="s">
        <v>59</v>
      </c>
      <c r="C124" s="257"/>
      <c r="D124" s="257"/>
      <c r="E124" s="257"/>
      <c r="F124" s="257"/>
      <c r="G124" s="257"/>
      <c r="H124" s="258"/>
      <c r="I124" s="42"/>
      <c r="J124" s="257"/>
      <c r="K124" s="257"/>
      <c r="L124" s="259"/>
      <c r="M124" s="257"/>
      <c r="N124" s="187"/>
      <c r="O124" s="186"/>
      <c r="P124" s="257"/>
      <c r="Q124" s="257"/>
      <c r="R124" s="257"/>
      <c r="S124" s="257"/>
      <c r="T124" s="257"/>
      <c r="U124" s="182"/>
      <c r="V124" s="257"/>
      <c r="W124" s="259"/>
      <c r="X124" s="257"/>
      <c r="AA124" s="257"/>
    </row>
    <row r="125" spans="2:27">
      <c r="B125" s="6" t="s">
        <v>356</v>
      </c>
      <c r="C125" s="6"/>
      <c r="D125" s="6"/>
      <c r="E125" s="6"/>
      <c r="F125" s="6"/>
      <c r="G125" s="6"/>
      <c r="H125" s="251"/>
      <c r="I125" s="41"/>
      <c r="J125" s="6"/>
      <c r="K125" s="6"/>
      <c r="L125" s="256"/>
      <c r="M125" s="6"/>
      <c r="N125" s="247">
        <f ca="1">I50/1.2</f>
        <v>6.068751336407676E-2</v>
      </c>
      <c r="O125" s="249">
        <f ca="1">J50/1.2</f>
        <v>2.8452150341153327E-2</v>
      </c>
      <c r="P125" s="6"/>
      <c r="Q125" s="6"/>
      <c r="R125" s="6"/>
      <c r="S125" s="6"/>
      <c r="T125" s="6"/>
      <c r="U125" s="162"/>
      <c r="V125" s="6"/>
      <c r="W125" s="256"/>
      <c r="X125" s="6"/>
    </row>
    <row r="126" spans="2:27">
      <c r="B126" s="6" t="s">
        <v>360</v>
      </c>
      <c r="C126" s="6"/>
      <c r="D126" s="6"/>
      <c r="E126" s="6"/>
      <c r="F126" s="6"/>
      <c r="G126" s="6"/>
      <c r="H126" s="251"/>
      <c r="I126" s="41"/>
      <c r="J126" s="6"/>
      <c r="K126" s="6"/>
      <c r="L126" s="256"/>
      <c r="M126" s="6"/>
      <c r="N126" s="247" t="str">
        <f ca="1">IF(L56,I56*0.8,"")</f>
        <v/>
      </c>
      <c r="O126" s="249" t="str">
        <f ca="1">IF(M56,J56*0.8,"")</f>
        <v/>
      </c>
      <c r="P126" s="6"/>
      <c r="Q126" s="6"/>
      <c r="R126" s="6"/>
      <c r="S126" s="6"/>
      <c r="T126" s="6"/>
      <c r="U126" s="162"/>
      <c r="V126" s="6"/>
      <c r="W126" s="256"/>
      <c r="X126" s="6"/>
    </row>
    <row r="127" spans="2:27">
      <c r="B127" s="6" t="s">
        <v>649</v>
      </c>
      <c r="C127" s="6"/>
      <c r="D127" s="6" t="s">
        <v>684</v>
      </c>
      <c r="E127" s="6"/>
      <c r="F127" s="6"/>
      <c r="G127" s="6"/>
      <c r="H127" s="251" t="s">
        <v>564</v>
      </c>
      <c r="I127" s="360">
        <f ca="1">IF(OtherData2!O39&gt;2,MIN((OtherData2!O39-1)/2,1-1/OtherData2!O39),MAX(0,1-1/OtherData2!O39))</f>
        <v>0.33646798455374971</v>
      </c>
      <c r="J127" s="348">
        <f ca="1">IF(OtherData2!P39&gt;2,MIN((OtherData2!P39-1)/2,1-1/OtherData2!P39),MAX(0,1-1/OtherData2!P39))</f>
        <v>0.31249999967782549</v>
      </c>
      <c r="K127" s="6"/>
      <c r="L127" s="256"/>
      <c r="M127" s="6"/>
      <c r="N127" s="256"/>
      <c r="O127" s="41"/>
      <c r="P127" s="6"/>
      <c r="Q127" s="6"/>
      <c r="R127" s="6"/>
      <c r="S127" s="6"/>
      <c r="T127" s="162"/>
      <c r="U127" s="162"/>
      <c r="V127" s="162">
        <v>0</v>
      </c>
      <c r="W127" s="353"/>
      <c r="X127" s="162"/>
    </row>
    <row r="128" spans="2:27">
      <c r="B128" s="6" t="s">
        <v>650</v>
      </c>
      <c r="C128" s="6"/>
      <c r="D128" s="6" t="s">
        <v>684</v>
      </c>
      <c r="E128" s="6"/>
      <c r="F128" s="6"/>
      <c r="G128" s="6"/>
      <c r="H128" s="251" t="s">
        <v>564</v>
      </c>
      <c r="I128" s="360">
        <f t="shared" ref="I128:J130" si="24">I$127</f>
        <v>0.33646798455374971</v>
      </c>
      <c r="J128" s="348">
        <f t="shared" si="24"/>
        <v>0.31249999967782549</v>
      </c>
      <c r="K128" s="6"/>
      <c r="L128" s="256"/>
      <c r="M128" s="6"/>
      <c r="N128" s="256"/>
      <c r="O128" s="41"/>
      <c r="P128" s="6"/>
      <c r="Q128" s="6"/>
      <c r="R128" s="6"/>
      <c r="S128" s="6"/>
      <c r="T128" s="162"/>
      <c r="U128" s="162"/>
      <c r="V128" s="162">
        <v>0</v>
      </c>
      <c r="W128" s="353"/>
      <c r="X128" s="162"/>
    </row>
    <row r="129" spans="2:24">
      <c r="B129" s="6" t="s">
        <v>652</v>
      </c>
      <c r="C129" s="6"/>
      <c r="D129" s="6" t="s">
        <v>684</v>
      </c>
      <c r="E129" s="6"/>
      <c r="F129" s="6"/>
      <c r="G129" s="6"/>
      <c r="H129" s="251" t="s">
        <v>564</v>
      </c>
      <c r="I129" s="360">
        <f t="shared" si="24"/>
        <v>0.33646798455374971</v>
      </c>
      <c r="J129" s="348">
        <f t="shared" si="24"/>
        <v>0.31249999967782549</v>
      </c>
      <c r="K129" s="6"/>
      <c r="L129" s="256"/>
      <c r="M129" s="6"/>
      <c r="N129" s="256"/>
      <c r="O129" s="41"/>
      <c r="P129" s="6"/>
      <c r="Q129" s="6"/>
      <c r="R129" s="6"/>
      <c r="S129" s="6"/>
      <c r="T129" s="162"/>
      <c r="U129" s="162"/>
      <c r="V129" s="162">
        <v>0</v>
      </c>
      <c r="W129" s="353"/>
      <c r="X129" s="162"/>
    </row>
    <row r="130" spans="2:24">
      <c r="B130" s="6" t="s">
        <v>651</v>
      </c>
      <c r="C130" s="6"/>
      <c r="D130" s="6" t="s">
        <v>684</v>
      </c>
      <c r="E130" s="6"/>
      <c r="F130" s="6"/>
      <c r="G130" s="6"/>
      <c r="H130" s="251" t="s">
        <v>564</v>
      </c>
      <c r="I130" s="360">
        <f t="shared" si="24"/>
        <v>0.33646798455374971</v>
      </c>
      <c r="J130" s="348">
        <f t="shared" si="24"/>
        <v>0.31249999967782549</v>
      </c>
      <c r="K130" s="6"/>
      <c r="L130" s="256"/>
      <c r="M130" s="6"/>
      <c r="N130" s="256"/>
      <c r="O130" s="41"/>
      <c r="P130" s="6"/>
      <c r="Q130" s="6"/>
      <c r="R130" s="6"/>
      <c r="S130" s="6"/>
      <c r="T130" s="162"/>
      <c r="U130" s="162"/>
      <c r="V130" s="162">
        <v>0</v>
      </c>
      <c r="W130" s="353"/>
      <c r="X130" s="162"/>
    </row>
    <row r="131" spans="2:24">
      <c r="B131" s="257" t="s">
        <v>59</v>
      </c>
      <c r="C131" s="257"/>
      <c r="D131" s="257"/>
      <c r="E131" s="257"/>
      <c r="F131" s="257"/>
      <c r="G131" s="257"/>
      <c r="H131" s="258"/>
      <c r="I131" s="42"/>
      <c r="J131" s="257"/>
      <c r="K131" s="257"/>
      <c r="L131" s="259"/>
      <c r="M131" s="257"/>
      <c r="N131" s="187"/>
      <c r="O131" s="186"/>
      <c r="P131" s="257"/>
      <c r="Q131" s="257"/>
      <c r="R131" s="257"/>
      <c r="S131" s="257"/>
      <c r="T131" s="257"/>
      <c r="U131" s="182"/>
      <c r="V131" s="257"/>
      <c r="W131" s="259"/>
      <c r="X131" s="257"/>
    </row>
    <row r="132" spans="2:24">
      <c r="B132" s="6" t="s">
        <v>494</v>
      </c>
      <c r="C132" s="6"/>
      <c r="D132" s="6"/>
      <c r="E132" s="6"/>
      <c r="F132" s="6"/>
      <c r="G132" s="162" t="s">
        <v>599</v>
      </c>
      <c r="H132" s="251"/>
      <c r="I132" s="41"/>
      <c r="J132" s="6"/>
      <c r="K132" s="6"/>
      <c r="L132" s="354"/>
      <c r="M132" s="253"/>
      <c r="N132" s="256"/>
      <c r="O132" s="41"/>
      <c r="P132" s="6"/>
      <c r="Q132" s="6"/>
      <c r="R132" s="6"/>
      <c r="S132" s="6"/>
      <c r="T132" s="254"/>
      <c r="U132" s="339"/>
      <c r="V132" s="6"/>
      <c r="W132" s="354">
        <f t="shared" ref="W132:X136" ca="1" si="25">L101*G25/(1+L101*MAX(0,X25))</f>
        <v>0.53767411605307891</v>
      </c>
      <c r="X132" s="359">
        <f t="shared" ca="1" si="25"/>
        <v>0.5748990790318973</v>
      </c>
    </row>
    <row r="133" spans="2:24">
      <c r="B133" s="6" t="s">
        <v>495</v>
      </c>
      <c r="C133" s="6"/>
      <c r="D133" s="6" t="s">
        <v>676</v>
      </c>
      <c r="E133" s="6"/>
      <c r="F133" s="6" t="s">
        <v>676</v>
      </c>
      <c r="G133" s="162" t="s">
        <v>599</v>
      </c>
      <c r="H133" s="251" t="s">
        <v>699</v>
      </c>
      <c r="I133" s="359">
        <f t="shared" ref="I133:J135" ca="1" si="26">(1+L102*MAX(0,X26))/L102</f>
        <v>0.99265653678118948</v>
      </c>
      <c r="J133" s="359">
        <f t="shared" ca="1" si="26"/>
        <v>0.85714587566810008</v>
      </c>
      <c r="K133" s="6"/>
      <c r="L133" s="354"/>
      <c r="M133" s="253"/>
      <c r="N133" s="247"/>
      <c r="O133" s="249"/>
      <c r="P133" s="6"/>
      <c r="Q133" s="6"/>
      <c r="R133" s="6"/>
      <c r="S133" s="6"/>
      <c r="T133" s="254"/>
      <c r="U133" s="339"/>
      <c r="V133" s="6"/>
      <c r="W133" s="354">
        <f t="shared" ca="1" si="25"/>
        <v>0.44731611192963477</v>
      </c>
      <c r="X133" s="359">
        <f t="shared" ca="1" si="25"/>
        <v>0.47828529048828033</v>
      </c>
    </row>
    <row r="134" spans="2:24">
      <c r="B134" s="6" t="s">
        <v>496</v>
      </c>
      <c r="C134" s="6"/>
      <c r="D134" s="6" t="s">
        <v>677</v>
      </c>
      <c r="E134" s="6"/>
      <c r="F134" s="6" t="s">
        <v>677</v>
      </c>
      <c r="G134" s="162" t="s">
        <v>599</v>
      </c>
      <c r="H134" s="251" t="s">
        <v>699</v>
      </c>
      <c r="I134" s="359">
        <f t="shared" ca="1" si="26"/>
        <v>0.54404517013491005</v>
      </c>
      <c r="J134" s="359">
        <f t="shared" ca="1" si="26"/>
        <v>0.46977585547404654</v>
      </c>
      <c r="K134" s="6"/>
      <c r="L134" s="354"/>
      <c r="M134" s="253"/>
      <c r="N134" s="256"/>
      <c r="O134" s="41"/>
      <c r="P134" s="6"/>
      <c r="Q134" s="6"/>
      <c r="R134" s="6"/>
      <c r="S134" s="6"/>
      <c r="T134" s="254"/>
      <c r="U134" s="339"/>
      <c r="V134" s="6"/>
      <c r="W134" s="354">
        <f t="shared" ca="1" si="25"/>
        <v>0.54876436395769945</v>
      </c>
      <c r="X134" s="359">
        <f t="shared" ca="1" si="25"/>
        <v>0.58675714159478365</v>
      </c>
    </row>
    <row r="135" spans="2:24">
      <c r="B135" s="6" t="s">
        <v>497</v>
      </c>
      <c r="C135" s="6"/>
      <c r="D135" s="6" t="s">
        <v>678</v>
      </c>
      <c r="E135" s="6"/>
      <c r="F135" s="6" t="s">
        <v>678</v>
      </c>
      <c r="G135" s="162" t="s">
        <v>599</v>
      </c>
      <c r="H135" s="251" t="s">
        <v>699</v>
      </c>
      <c r="I135" s="359">
        <f t="shared" ca="1" si="26"/>
        <v>0.49253731343283591</v>
      </c>
      <c r="J135" s="359">
        <f t="shared" ca="1" si="26"/>
        <v>0.49253731343283591</v>
      </c>
      <c r="K135" s="6"/>
      <c r="L135" s="354"/>
      <c r="M135" s="253"/>
      <c r="N135" s="256"/>
      <c r="O135" s="41"/>
      <c r="P135" s="6"/>
      <c r="Q135" s="6"/>
      <c r="R135" s="6"/>
      <c r="S135" s="6"/>
      <c r="T135" s="254"/>
      <c r="U135" s="339"/>
      <c r="V135" s="6"/>
      <c r="W135" s="354">
        <f t="shared" ca="1" si="25"/>
        <v>0.55415962083189485</v>
      </c>
      <c r="X135" s="359">
        <f t="shared" ca="1" si="25"/>
        <v>0.59252593000305642</v>
      </c>
    </row>
    <row r="136" spans="2:24">
      <c r="B136" s="6" t="s">
        <v>498</v>
      </c>
      <c r="C136" s="6"/>
      <c r="D136" s="6"/>
      <c r="E136" s="6"/>
      <c r="F136" s="6"/>
      <c r="G136" s="162" t="s">
        <v>599</v>
      </c>
      <c r="H136" s="251"/>
      <c r="I136" s="41"/>
      <c r="J136" s="6"/>
      <c r="K136" s="6"/>
      <c r="L136" s="354"/>
      <c r="M136" s="253"/>
      <c r="N136" s="256"/>
      <c r="O136" s="41"/>
      <c r="P136" s="6"/>
      <c r="Q136" s="6"/>
      <c r="R136" s="6"/>
      <c r="S136" s="6"/>
      <c r="T136" s="254"/>
      <c r="U136" s="339"/>
      <c r="V136" s="6"/>
      <c r="W136" s="354">
        <f t="shared" ca="1" si="25"/>
        <v>0.59078850834956831</v>
      </c>
      <c r="X136" s="359">
        <f t="shared" ca="1" si="25"/>
        <v>0.63169075693289589</v>
      </c>
    </row>
    <row r="137" spans="2:24">
      <c r="B137" s="257" t="s">
        <v>59</v>
      </c>
      <c r="C137" s="257"/>
      <c r="D137" s="257"/>
      <c r="E137" s="257"/>
      <c r="F137" s="257"/>
      <c r="G137" s="257"/>
      <c r="H137" s="258"/>
      <c r="I137" s="42"/>
      <c r="J137" s="257"/>
      <c r="K137" s="257"/>
      <c r="L137" s="355"/>
      <c r="M137" s="182"/>
      <c r="N137" s="187"/>
      <c r="O137" s="186"/>
      <c r="P137" s="257"/>
      <c r="Q137" s="257"/>
      <c r="R137" s="257"/>
      <c r="S137" s="257"/>
      <c r="T137" s="257"/>
      <c r="U137" s="182"/>
      <c r="V137" s="257"/>
      <c r="W137" s="259"/>
      <c r="X137" s="42"/>
    </row>
    <row r="138" spans="2:24">
      <c r="B138" s="6" t="s">
        <v>499</v>
      </c>
      <c r="C138" s="6"/>
      <c r="D138" s="6"/>
      <c r="E138" s="6"/>
      <c r="F138" s="6"/>
      <c r="G138" s="162" t="s">
        <v>599</v>
      </c>
      <c r="H138" s="251"/>
      <c r="I138" s="41"/>
      <c r="J138" s="6"/>
      <c r="K138" s="6"/>
      <c r="L138" s="354"/>
      <c r="M138" s="253"/>
      <c r="N138" s="256"/>
      <c r="O138" s="41"/>
      <c r="P138" s="6"/>
      <c r="Q138" s="6"/>
      <c r="R138" s="6"/>
      <c r="S138" s="6"/>
      <c r="T138" s="6"/>
      <c r="U138" s="162"/>
      <c r="V138" s="6"/>
      <c r="W138" s="354">
        <f t="shared" ref="W138:X142" ca="1" si="27">L107*G31/(1+L107*MAX(0,X31))</f>
        <v>0.55866855611941157</v>
      </c>
      <c r="X138" s="359">
        <f t="shared" ca="1" si="27"/>
        <v>0.59734703384051913</v>
      </c>
    </row>
    <row r="139" spans="2:24">
      <c r="B139" s="6" t="s">
        <v>500</v>
      </c>
      <c r="C139" s="6"/>
      <c r="D139" s="6"/>
      <c r="E139" s="6"/>
      <c r="F139" s="6"/>
      <c r="G139" s="162" t="s">
        <v>599</v>
      </c>
      <c r="H139" s="251"/>
      <c r="I139" s="359"/>
      <c r="J139" s="253"/>
      <c r="K139" s="6"/>
      <c r="L139" s="354"/>
      <c r="M139" s="253"/>
      <c r="N139" s="247"/>
      <c r="O139" s="249"/>
      <c r="P139" s="6"/>
      <c r="Q139" s="6"/>
      <c r="R139" s="6"/>
      <c r="S139" s="6"/>
      <c r="T139" s="6"/>
      <c r="U139" s="162"/>
      <c r="V139" s="6"/>
      <c r="W139" s="354">
        <f t="shared" ca="1" si="27"/>
        <v>0.54173891594036805</v>
      </c>
      <c r="X139" s="359">
        <f t="shared" ca="1" si="27"/>
        <v>0.57924529850179796</v>
      </c>
    </row>
    <row r="140" spans="2:24">
      <c r="B140" s="6" t="s">
        <v>501</v>
      </c>
      <c r="C140" s="6"/>
      <c r="D140" s="6"/>
      <c r="E140" s="6"/>
      <c r="F140" s="6"/>
      <c r="G140" s="162" t="s">
        <v>599</v>
      </c>
      <c r="H140" s="251"/>
      <c r="I140" s="359"/>
      <c r="J140" s="253"/>
      <c r="K140" s="6"/>
      <c r="L140" s="354"/>
      <c r="M140" s="253"/>
      <c r="N140" s="256"/>
      <c r="O140" s="41"/>
      <c r="P140" s="6"/>
      <c r="Q140" s="6"/>
      <c r="R140" s="6"/>
      <c r="S140" s="6"/>
      <c r="T140" s="6"/>
      <c r="U140" s="162"/>
      <c r="V140" s="6"/>
      <c r="W140" s="354">
        <f t="shared" ca="1" si="27"/>
        <v>0.66460161775687288</v>
      </c>
      <c r="X140" s="359">
        <f t="shared" ca="1" si="27"/>
        <v>0.71061419280562288</v>
      </c>
    </row>
    <row r="141" spans="2:24">
      <c r="B141" s="6" t="s">
        <v>502</v>
      </c>
      <c r="C141" s="6"/>
      <c r="D141" s="6"/>
      <c r="E141" s="6"/>
      <c r="F141" s="6"/>
      <c r="G141" s="162" t="s">
        <v>599</v>
      </c>
      <c r="H141" s="251"/>
      <c r="I141" s="359"/>
      <c r="J141" s="253"/>
      <c r="K141" s="6"/>
      <c r="L141" s="354"/>
      <c r="M141" s="253"/>
      <c r="N141" s="256"/>
      <c r="O141" s="41"/>
      <c r="P141" s="6"/>
      <c r="Q141" s="6"/>
      <c r="R141" s="6"/>
      <c r="S141" s="6"/>
      <c r="T141" s="6"/>
      <c r="U141" s="162"/>
      <c r="V141" s="6"/>
      <c r="W141" s="354">
        <f t="shared" ca="1" si="27"/>
        <v>0.67113574548510924</v>
      </c>
      <c r="X141" s="359">
        <f t="shared" ca="1" si="27"/>
        <v>0.7176006998757698</v>
      </c>
    </row>
    <row r="142" spans="2:24">
      <c r="B142" s="6" t="s">
        <v>503</v>
      </c>
      <c r="C142" s="6"/>
      <c r="D142" s="6"/>
      <c r="E142" s="6"/>
      <c r="F142" s="6"/>
      <c r="G142" s="162" t="s">
        <v>599</v>
      </c>
      <c r="H142" s="251"/>
      <c r="I142" s="41"/>
      <c r="J142" s="6"/>
      <c r="K142" s="6"/>
      <c r="L142" s="354"/>
      <c r="M142" s="253"/>
      <c r="N142" s="256"/>
      <c r="O142" s="41"/>
      <c r="P142" s="6"/>
      <c r="Q142" s="6"/>
      <c r="R142" s="6"/>
      <c r="S142" s="6"/>
      <c r="T142" s="6"/>
      <c r="U142" s="162"/>
      <c r="V142" s="6"/>
      <c r="W142" s="354">
        <f t="shared" ca="1" si="27"/>
        <v>0.7154965303679206</v>
      </c>
      <c r="X142" s="359">
        <f t="shared" ca="1" si="27"/>
        <v>0.76503272907864572</v>
      </c>
    </row>
    <row r="143" spans="2:24">
      <c r="B143" s="257" t="s">
        <v>59</v>
      </c>
      <c r="C143" s="257"/>
      <c r="D143" s="257"/>
      <c r="E143" s="257"/>
      <c r="F143" s="257"/>
      <c r="G143" s="257"/>
      <c r="H143" s="258"/>
      <c r="I143" s="42"/>
      <c r="J143" s="257"/>
      <c r="K143" s="257"/>
      <c r="L143" s="355"/>
      <c r="M143" s="182"/>
      <c r="N143" s="187"/>
      <c r="O143" s="186"/>
      <c r="P143" s="257"/>
      <c r="Q143" s="257"/>
      <c r="R143" s="257"/>
      <c r="S143" s="257"/>
      <c r="T143" s="257"/>
      <c r="U143" s="182"/>
      <c r="V143" s="257"/>
      <c r="W143" s="259"/>
      <c r="X143" s="42"/>
    </row>
    <row r="144" spans="2:24">
      <c r="B144" s="6" t="s">
        <v>504</v>
      </c>
      <c r="C144" s="6"/>
      <c r="D144" s="6"/>
      <c r="E144" s="6"/>
      <c r="F144" s="6"/>
      <c r="G144" s="162" t="s">
        <v>599</v>
      </c>
      <c r="H144" s="251"/>
      <c r="I144" s="41"/>
      <c r="J144" s="6"/>
      <c r="K144" s="6"/>
      <c r="L144" s="354"/>
      <c r="M144" s="253"/>
      <c r="N144" s="256"/>
      <c r="O144" s="41"/>
      <c r="P144" s="6"/>
      <c r="Q144" s="6"/>
      <c r="R144" s="6"/>
      <c r="S144" s="6"/>
      <c r="T144" s="254"/>
      <c r="U144" s="339"/>
      <c r="V144" s="6"/>
      <c r="W144" s="354">
        <f t="shared" ref="W144:X148" ca="1" si="28">L113*G37/(1+L113*MAX(0,X37))</f>
        <v>0.53767411605307891</v>
      </c>
      <c r="X144" s="359">
        <f t="shared" ca="1" si="28"/>
        <v>0.5748990790318973</v>
      </c>
    </row>
    <row r="145" spans="2:24">
      <c r="B145" s="6" t="s">
        <v>505</v>
      </c>
      <c r="C145" s="6"/>
      <c r="D145" s="6" t="s">
        <v>676</v>
      </c>
      <c r="E145" s="6"/>
      <c r="F145" s="6" t="s">
        <v>676</v>
      </c>
      <c r="G145" s="162" t="s">
        <v>599</v>
      </c>
      <c r="H145" s="251" t="s">
        <v>699</v>
      </c>
      <c r="I145" s="359">
        <f t="shared" ref="I145:J147" ca="1" si="29">(1+L114*MAX(0,X38))/L114</f>
        <v>0.99265653678118948</v>
      </c>
      <c r="J145" s="359">
        <f t="shared" ca="1" si="29"/>
        <v>0.85714587566810008</v>
      </c>
      <c r="K145" s="6"/>
      <c r="L145" s="354"/>
      <c r="M145" s="253"/>
      <c r="N145" s="256"/>
      <c r="O145" s="41"/>
      <c r="P145" s="6"/>
      <c r="Q145" s="6"/>
      <c r="R145" s="6"/>
      <c r="S145" s="6"/>
      <c r="T145" s="254"/>
      <c r="U145" s="339"/>
      <c r="V145" s="6"/>
      <c r="W145" s="354">
        <f t="shared" ca="1" si="28"/>
        <v>0.44731611192963477</v>
      </c>
      <c r="X145" s="359">
        <f t="shared" ca="1" si="28"/>
        <v>0.47828529048828033</v>
      </c>
    </row>
    <row r="146" spans="2:24">
      <c r="B146" s="6" t="s">
        <v>506</v>
      </c>
      <c r="C146" s="6"/>
      <c r="D146" s="6" t="s">
        <v>677</v>
      </c>
      <c r="E146" s="6"/>
      <c r="F146" s="6" t="s">
        <v>677</v>
      </c>
      <c r="G146" s="162" t="s">
        <v>599</v>
      </c>
      <c r="H146" s="251" t="s">
        <v>699</v>
      </c>
      <c r="I146" s="359">
        <f t="shared" ca="1" si="29"/>
        <v>0.54404517013491005</v>
      </c>
      <c r="J146" s="359">
        <f t="shared" ca="1" si="29"/>
        <v>0.46977585547404654</v>
      </c>
      <c r="K146" s="6"/>
      <c r="L146" s="354"/>
      <c r="M146" s="253"/>
      <c r="N146" s="256"/>
      <c r="O146" s="41"/>
      <c r="P146" s="6"/>
      <c r="Q146" s="6"/>
      <c r="R146" s="6"/>
      <c r="S146" s="6"/>
      <c r="T146" s="254"/>
      <c r="U146" s="339"/>
      <c r="V146" s="6"/>
      <c r="W146" s="354">
        <f t="shared" ca="1" si="28"/>
        <v>0.54876436395769945</v>
      </c>
      <c r="X146" s="359">
        <f t="shared" ca="1" si="28"/>
        <v>0.58675714159478365</v>
      </c>
    </row>
    <row r="147" spans="2:24">
      <c r="B147" s="6" t="s">
        <v>507</v>
      </c>
      <c r="C147" s="6"/>
      <c r="D147" s="6" t="s">
        <v>678</v>
      </c>
      <c r="E147" s="6"/>
      <c r="F147" s="6" t="s">
        <v>678</v>
      </c>
      <c r="G147" s="162" t="s">
        <v>599</v>
      </c>
      <c r="H147" s="251" t="s">
        <v>699</v>
      </c>
      <c r="I147" s="359">
        <f t="shared" ca="1" si="29"/>
        <v>0.49253731343283591</v>
      </c>
      <c r="J147" s="359">
        <f t="shared" ca="1" si="29"/>
        <v>0.49253731343283591</v>
      </c>
      <c r="K147" s="6"/>
      <c r="L147" s="354"/>
      <c r="M147" s="253"/>
      <c r="N147" s="256"/>
      <c r="O147" s="41"/>
      <c r="P147" s="6"/>
      <c r="Q147" s="6"/>
      <c r="R147" s="6"/>
      <c r="S147" s="6"/>
      <c r="T147" s="254"/>
      <c r="U147" s="339"/>
      <c r="V147" s="6"/>
      <c r="W147" s="354">
        <f t="shared" ca="1" si="28"/>
        <v>0.55415962083189485</v>
      </c>
      <c r="X147" s="359">
        <f t="shared" ca="1" si="28"/>
        <v>0.59252593000305642</v>
      </c>
    </row>
    <row r="148" spans="2:24">
      <c r="B148" s="6" t="s">
        <v>508</v>
      </c>
      <c r="C148" s="6"/>
      <c r="D148" s="6"/>
      <c r="E148" s="6"/>
      <c r="F148" s="6"/>
      <c r="G148" s="162" t="s">
        <v>599</v>
      </c>
      <c r="H148" s="251"/>
      <c r="I148" s="41"/>
      <c r="J148" s="6"/>
      <c r="K148" s="6"/>
      <c r="L148" s="354"/>
      <c r="M148" s="253"/>
      <c r="N148" s="256"/>
      <c r="O148" s="41"/>
      <c r="P148" s="6"/>
      <c r="Q148" s="6"/>
      <c r="R148" s="6"/>
      <c r="S148" s="6"/>
      <c r="T148" s="254"/>
      <c r="U148" s="339"/>
      <c r="V148" s="6"/>
      <c r="W148" s="354">
        <f t="shared" ca="1" si="28"/>
        <v>0.59078850834956831</v>
      </c>
      <c r="X148" s="359">
        <f t="shared" ca="1" si="28"/>
        <v>0.63169075693289589</v>
      </c>
    </row>
    <row r="149" spans="2:24">
      <c r="B149" s="257" t="s">
        <v>59</v>
      </c>
      <c r="C149" s="257"/>
      <c r="D149" s="257"/>
      <c r="E149" s="257"/>
      <c r="F149" s="257"/>
      <c r="G149" s="257"/>
      <c r="H149" s="258"/>
      <c r="I149" s="42"/>
      <c r="J149" s="257"/>
      <c r="K149" s="257"/>
      <c r="L149" s="355"/>
      <c r="M149" s="182"/>
      <c r="N149" s="187"/>
      <c r="O149" s="186"/>
      <c r="P149" s="257"/>
      <c r="Q149" s="257"/>
      <c r="R149" s="257"/>
      <c r="S149" s="257"/>
      <c r="T149" s="257"/>
      <c r="U149" s="182"/>
      <c r="V149" s="257"/>
      <c r="W149" s="259"/>
      <c r="X149" s="42"/>
    </row>
    <row r="150" spans="2:24">
      <c r="B150" s="6" t="s">
        <v>509</v>
      </c>
      <c r="C150" s="6"/>
      <c r="D150" s="6"/>
      <c r="E150" s="6"/>
      <c r="F150" s="6"/>
      <c r="G150" s="162" t="s">
        <v>599</v>
      </c>
      <c r="H150" s="251"/>
      <c r="I150" s="41"/>
      <c r="J150" s="6"/>
      <c r="K150" s="6"/>
      <c r="L150" s="354"/>
      <c r="M150" s="253"/>
      <c r="N150" s="256"/>
      <c r="O150" s="41"/>
      <c r="P150" s="6"/>
      <c r="Q150" s="6"/>
      <c r="R150" s="6"/>
      <c r="S150" s="6"/>
      <c r="T150" s="6"/>
      <c r="U150" s="162"/>
      <c r="V150" s="6"/>
      <c r="W150" s="354">
        <f t="shared" ref="W150:X154" ca="1" si="30">L119*G43/(1+L119*MAX(0,X43))</f>
        <v>0.55202064176430421</v>
      </c>
      <c r="X150" s="359">
        <f t="shared" ca="1" si="30"/>
        <v>0.59023886231779532</v>
      </c>
    </row>
    <row r="151" spans="2:24">
      <c r="B151" s="6" t="s">
        <v>510</v>
      </c>
      <c r="C151" s="6"/>
      <c r="D151" s="6"/>
      <c r="E151" s="6"/>
      <c r="F151" s="6"/>
      <c r="G151" s="162" t="s">
        <v>599</v>
      </c>
      <c r="H151" s="251"/>
      <c r="I151" s="359"/>
      <c r="J151" s="253"/>
      <c r="K151" s="6"/>
      <c r="L151" s="354"/>
      <c r="M151" s="253"/>
      <c r="N151" s="256"/>
      <c r="O151" s="41"/>
      <c r="P151" s="6"/>
      <c r="Q151" s="6"/>
      <c r="R151" s="6"/>
      <c r="S151" s="6"/>
      <c r="T151" s="6"/>
      <c r="U151" s="162"/>
      <c r="V151" s="6"/>
      <c r="W151" s="354">
        <f t="shared" ca="1" si="30"/>
        <v>0.51026464793679027</v>
      </c>
      <c r="X151" s="359">
        <f t="shared" ca="1" si="30"/>
        <v>0.54559196249729192</v>
      </c>
    </row>
    <row r="152" spans="2:24">
      <c r="B152" s="6" t="s">
        <v>511</v>
      </c>
      <c r="C152" s="6"/>
      <c r="D152" s="6"/>
      <c r="E152" s="6"/>
      <c r="F152" s="6"/>
      <c r="G152" s="162" t="s">
        <v>599</v>
      </c>
      <c r="H152" s="251"/>
      <c r="I152" s="359"/>
      <c r="J152" s="253"/>
      <c r="K152" s="6"/>
      <c r="L152" s="354"/>
      <c r="M152" s="253"/>
      <c r="N152" s="256"/>
      <c r="O152" s="41"/>
      <c r="P152" s="6"/>
      <c r="Q152" s="6"/>
      <c r="R152" s="6"/>
      <c r="S152" s="6"/>
      <c r="T152" s="6"/>
      <c r="U152" s="162"/>
      <c r="V152" s="6"/>
      <c r="W152" s="354">
        <f t="shared" ca="1" si="30"/>
        <v>0.62598919982381496</v>
      </c>
      <c r="X152" s="359">
        <f t="shared" ca="1" si="30"/>
        <v>0.66932850906867647</v>
      </c>
    </row>
    <row r="153" spans="2:24">
      <c r="B153" s="6" t="s">
        <v>512</v>
      </c>
      <c r="C153" s="6"/>
      <c r="D153" s="6"/>
      <c r="E153" s="6"/>
      <c r="F153" s="6"/>
      <c r="G153" s="162" t="s">
        <v>599</v>
      </c>
      <c r="H153" s="251"/>
      <c r="I153" s="359"/>
      <c r="J153" s="253"/>
      <c r="K153" s="6"/>
      <c r="L153" s="354"/>
      <c r="M153" s="253"/>
      <c r="N153" s="256"/>
      <c r="O153" s="41"/>
      <c r="P153" s="6"/>
      <c r="Q153" s="6"/>
      <c r="R153" s="6"/>
      <c r="S153" s="6"/>
      <c r="T153" s="6"/>
      <c r="U153" s="162"/>
      <c r="V153" s="6"/>
      <c r="W153" s="354">
        <f t="shared" ca="1" si="30"/>
        <v>0.63214370393403796</v>
      </c>
      <c r="X153" s="359">
        <f t="shared" ca="1" si="30"/>
        <v>0.67590910991819875</v>
      </c>
    </row>
    <row r="154" spans="2:24">
      <c r="B154" s="6" t="s">
        <v>513</v>
      </c>
      <c r="C154" s="6"/>
      <c r="D154" s="6"/>
      <c r="E154" s="6"/>
      <c r="F154" s="6"/>
      <c r="G154" s="162" t="s">
        <v>599</v>
      </c>
      <c r="H154" s="251"/>
      <c r="I154" s="41"/>
      <c r="J154" s="6"/>
      <c r="K154" s="6"/>
      <c r="L154" s="354"/>
      <c r="M154" s="253"/>
      <c r="N154" s="256"/>
      <c r="O154" s="41"/>
      <c r="P154" s="6"/>
      <c r="Q154" s="6"/>
      <c r="R154" s="6"/>
      <c r="S154" s="6"/>
      <c r="T154" s="6"/>
      <c r="U154" s="162"/>
      <c r="V154" s="6"/>
      <c r="W154" s="354">
        <f t="shared" ca="1" si="30"/>
        <v>0.67392718969513654</v>
      </c>
      <c r="X154" s="359">
        <f t="shared" ca="1" si="30"/>
        <v>0.72058540503006263</v>
      </c>
    </row>
    <row r="155" spans="2:24">
      <c r="B155" s="257" t="s">
        <v>59</v>
      </c>
      <c r="C155" s="257"/>
      <c r="D155" s="257"/>
      <c r="E155" s="257"/>
      <c r="F155" s="257"/>
      <c r="G155" s="257"/>
      <c r="H155" s="258"/>
      <c r="I155" s="42"/>
      <c r="J155" s="257"/>
      <c r="K155" s="257"/>
      <c r="L155" s="355"/>
      <c r="M155" s="182"/>
      <c r="N155" s="187"/>
      <c r="O155" s="186"/>
      <c r="P155" s="257"/>
      <c r="Q155" s="257"/>
      <c r="R155" s="257"/>
      <c r="S155" s="257"/>
      <c r="T155" s="257"/>
      <c r="U155" s="182"/>
      <c r="V155" s="257"/>
      <c r="W155" s="259"/>
      <c r="X155" s="42"/>
    </row>
    <row r="156" spans="2:24">
      <c r="B156" s="6" t="s">
        <v>496</v>
      </c>
      <c r="C156" s="6"/>
      <c r="D156" s="6" t="s">
        <v>516</v>
      </c>
      <c r="E156" s="6"/>
      <c r="F156" s="6"/>
      <c r="G156" s="162"/>
      <c r="H156" s="251"/>
      <c r="I156" s="359"/>
      <c r="J156" s="253"/>
      <c r="K156" s="6"/>
      <c r="L156" s="354"/>
      <c r="M156" s="253"/>
      <c r="N156" s="256"/>
      <c r="O156" s="41"/>
      <c r="P156" s="6"/>
      <c r="Q156" s="6"/>
      <c r="R156" s="6"/>
      <c r="S156" s="6"/>
      <c r="T156" s="6"/>
      <c r="U156" s="162"/>
      <c r="V156" s="6"/>
      <c r="W156" s="354"/>
      <c r="X156" s="359"/>
    </row>
    <row r="157" spans="2:24">
      <c r="B157" s="6" t="s">
        <v>506</v>
      </c>
      <c r="C157" s="6"/>
      <c r="D157" s="6" t="s">
        <v>516</v>
      </c>
      <c r="E157" s="6"/>
      <c r="F157" s="6"/>
      <c r="G157" s="162"/>
      <c r="H157" s="251"/>
      <c r="I157" s="359"/>
      <c r="J157" s="253"/>
      <c r="K157" s="6"/>
      <c r="L157" s="354"/>
      <c r="M157" s="253"/>
      <c r="N157" s="256"/>
      <c r="O157" s="41"/>
      <c r="P157" s="6"/>
      <c r="Q157" s="6"/>
      <c r="R157" s="6"/>
      <c r="S157" s="6"/>
      <c r="T157" s="6"/>
      <c r="U157" s="162"/>
      <c r="V157" s="6"/>
      <c r="W157" s="354"/>
      <c r="X157" s="359"/>
    </row>
  </sheetData>
  <phoneticPr fontId="2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4"/>
  <sheetViews>
    <sheetView zoomScale="80" workbookViewId="0">
      <selection activeCell="D25" sqref="D25"/>
    </sheetView>
  </sheetViews>
  <sheetFormatPr defaultRowHeight="12.75"/>
  <cols>
    <col min="1" max="2" width="12.85546875" customWidth="1"/>
    <col min="3" max="3" width="9.28515625" bestFit="1" customWidth="1"/>
    <col min="13" max="13" width="7.5703125" customWidth="1"/>
    <col min="14" max="14" width="10.42578125" customWidth="1"/>
  </cols>
  <sheetData>
    <row r="1" spans="1:19" ht="18">
      <c r="A1" s="32" t="s">
        <v>335</v>
      </c>
      <c r="B1" s="48"/>
      <c r="C1" s="48"/>
      <c r="D1" s="48"/>
      <c r="E1" s="48"/>
      <c r="F1" s="48"/>
      <c r="G1" s="48"/>
      <c r="H1" s="48"/>
    </row>
    <row r="3" spans="1:19" ht="20.25" thickBot="1">
      <c r="A3" s="126" t="s">
        <v>394</v>
      </c>
      <c r="B3" s="126"/>
      <c r="C3" s="126"/>
      <c r="D3" s="126"/>
      <c r="E3" s="126"/>
      <c r="F3" s="126"/>
      <c r="G3" s="126"/>
      <c r="H3" s="126"/>
    </row>
    <row r="4" spans="1:19" ht="13.5" thickTop="1">
      <c r="B4">
        <f ca="1">BaseYear</f>
        <v>2010</v>
      </c>
      <c r="C4">
        <f ca="1">AuxYear</f>
        <v>2017</v>
      </c>
      <c r="L4" s="127"/>
      <c r="M4" s="143"/>
    </row>
    <row r="5" spans="1:19">
      <c r="A5" t="s">
        <v>404</v>
      </c>
      <c r="B5" s="198">
        <f ca="1">-IEAData2!F63</f>
        <v>1.0972407478869026</v>
      </c>
      <c r="C5" s="198">
        <f ca="1">-AuxData2!F63</f>
        <v>0.80842006838013658</v>
      </c>
      <c r="I5" s="143">
        <f ca="1">B5/H12</f>
        <v>0.55420375755499984</v>
      </c>
      <c r="Q5" s="143">
        <f ca="1">C5/P12</f>
        <v>0.69445777645233042</v>
      </c>
    </row>
    <row r="6" spans="1:19">
      <c r="A6" t="s">
        <v>395</v>
      </c>
      <c r="B6" s="195">
        <f ca="1">SUM(IEAData2!F86,IEAData2!F97)+IEAData2!H68-B7</f>
        <v>29.115398726197391</v>
      </c>
      <c r="C6" s="195">
        <f ca="1">SUM(AuxData2!F86,AuxData2!F97)+AuxData2!H68-C7</f>
        <v>17.739482953700708</v>
      </c>
      <c r="E6" s="185">
        <f ca="1">BaseYear</f>
        <v>2010</v>
      </c>
      <c r="F6" s="194" t="s">
        <v>400</v>
      </c>
      <c r="G6" s="194" t="s">
        <v>401</v>
      </c>
      <c r="H6" s="194" t="s">
        <v>402</v>
      </c>
      <c r="I6" s="194" t="s">
        <v>400</v>
      </c>
      <c r="J6" s="194" t="s">
        <v>401</v>
      </c>
      <c r="K6" s="194" t="s">
        <v>402</v>
      </c>
      <c r="M6" s="185">
        <f ca="1">AuxYear</f>
        <v>2017</v>
      </c>
      <c r="N6" s="194" t="s">
        <v>400</v>
      </c>
      <c r="O6" s="194" t="s">
        <v>401</v>
      </c>
      <c r="P6" s="194" t="s">
        <v>402</v>
      </c>
      <c r="Q6" s="194" t="s">
        <v>400</v>
      </c>
      <c r="R6" s="194" t="s">
        <v>401</v>
      </c>
      <c r="S6" s="194" t="s">
        <v>402</v>
      </c>
    </row>
    <row r="7" spans="1:19">
      <c r="A7" t="s">
        <v>396</v>
      </c>
      <c r="B7" s="195">
        <f ca="1">MAX(OtherData2!E99+OtherData2!G99,IEAData2!J56*0.04)</f>
        <v>1.2785670575493262</v>
      </c>
      <c r="C7" s="195">
        <f ca="1">MAX(OtherData2!E69+OtherData2!G69,AuxData2!J56*0.04)</f>
        <v>0.77603704629929215</v>
      </c>
      <c r="E7" t="s">
        <v>198</v>
      </c>
      <c r="F7" s="193">
        <v>0.02</v>
      </c>
      <c r="G7" s="195">
        <f ca="1">$B6*0.97</f>
        <v>28.24193676441147</v>
      </c>
      <c r="H7" s="195">
        <f ca="1">G7*F7</f>
        <v>0.56483873528822937</v>
      </c>
      <c r="I7" s="196">
        <f ca="1">F7*$B$5/H$12</f>
        <v>1.1084075151099996E-2</v>
      </c>
      <c r="J7" s="195">
        <f ca="1">$G$7</f>
        <v>28.24193676441147</v>
      </c>
      <c r="K7" s="195">
        <f ca="1">J7*I7</f>
        <v>0.31303574950935059</v>
      </c>
      <c r="M7" t="s">
        <v>198</v>
      </c>
      <c r="N7" s="193">
        <v>0.02</v>
      </c>
      <c r="O7" s="195">
        <f ca="1">$C6*0.97</f>
        <v>17.207298465089686</v>
      </c>
      <c r="P7" s="195">
        <f ca="1">O7*N7</f>
        <v>0.3441459693017937</v>
      </c>
      <c r="Q7" s="196">
        <f ca="1">N7*$C$5/P$12</f>
        <v>1.3889155529046609E-2</v>
      </c>
      <c r="R7" s="195">
        <f ca="1">$O$7</f>
        <v>17.207298465089686</v>
      </c>
      <c r="S7" s="195">
        <f ca="1">R7*Q7</f>
        <v>0.23899484461635565</v>
      </c>
    </row>
    <row r="8" spans="1:19">
      <c r="A8" t="s">
        <v>397</v>
      </c>
      <c r="B8" s="198">
        <f ca="1">IEAData2!E63*IEAData2!Q63</f>
        <v>0</v>
      </c>
      <c r="C8" s="198">
        <f ca="1">AuxData2!E63*AuxData2!Q63</f>
        <v>0</v>
      </c>
      <c r="E8" t="s">
        <v>396</v>
      </c>
      <c r="F8" s="193">
        <v>0.02</v>
      </c>
      <c r="G8" s="195">
        <f ca="1">$B7+G7*(1-F7)-G10</f>
        <v>25.410257205580081</v>
      </c>
      <c r="H8" s="195">
        <f ca="1">G8*F8</f>
        <v>0.50820514411160167</v>
      </c>
      <c r="I8" s="196">
        <f ca="1">F8*$B$5/H$12*G8/J8</f>
        <v>1.0965218775952806E-2</v>
      </c>
      <c r="J8" s="195">
        <f ca="1">$B7+J7*(1-I7)-J10</f>
        <v>25.685689107553287</v>
      </c>
      <c r="K8" s="195">
        <f ca="1">J8*I8</f>
        <v>0.2816492004754298</v>
      </c>
      <c r="M8" t="s">
        <v>396</v>
      </c>
      <c r="N8" s="193">
        <v>0.02</v>
      </c>
      <c r="O8" s="195">
        <f ca="1">$C7+O7*(1-N7)-O10</f>
        <v>14.744146988270536</v>
      </c>
      <c r="P8" s="195">
        <f ca="1">O8*N8</f>
        <v>0.29488293976541075</v>
      </c>
      <c r="Q8" s="196">
        <f ca="1">N8*$C$5/P$12*O8/R8</f>
        <v>1.3778532822534897E-2</v>
      </c>
      <c r="R8" s="195">
        <f ca="1">$C7+R7*(1-Q7)-R10</f>
        <v>14.862522251156395</v>
      </c>
      <c r="S8" s="195">
        <f ca="1">R8*Q8</f>
        <v>0.20478375066321364</v>
      </c>
    </row>
    <row r="9" spans="1:19">
      <c r="A9" t="s">
        <v>398</v>
      </c>
      <c r="B9" s="198">
        <f ca="1">-IEAData2!I68</f>
        <v>0</v>
      </c>
      <c r="C9" s="198">
        <f ca="1">-AuxData2!I68</f>
        <v>0</v>
      </c>
      <c r="E9" t="s">
        <v>199</v>
      </c>
      <c r="F9" s="193">
        <v>3.5000000000000003E-2</v>
      </c>
      <c r="G9" s="195">
        <f ca="1">G8*(1-F8)-$B12</f>
        <v>24.394373256799508</v>
      </c>
      <c r="H9" s="195">
        <f ca="1">G9*F9</f>
        <v>0.85380306398798289</v>
      </c>
      <c r="I9" s="196">
        <f ca="1">F9*$B$5/H$12*G9/J9</f>
        <v>1.9006025190899428E-2</v>
      </c>
      <c r="J9" s="195">
        <f ca="1">J8*(1-I8)-$B12</f>
        <v>24.896361102408889</v>
      </c>
      <c r="K9" s="195">
        <f ca="1">J9*I9</f>
        <v>0.47318086627411199</v>
      </c>
      <c r="M9" t="s">
        <v>199</v>
      </c>
      <c r="N9" s="193">
        <v>3.5000000000000003E-2</v>
      </c>
      <c r="O9" s="195">
        <f ca="1">O8*(1-N8)-$C12</f>
        <v>13.765507276386641</v>
      </c>
      <c r="P9" s="195">
        <f ca="1">O9*N9</f>
        <v>0.4817927546735325</v>
      </c>
      <c r="Q9" s="196">
        <f ca="1">N9*$C$5/P$12*O9/R9</f>
        <v>2.3943406512550218E-2</v>
      </c>
      <c r="R9" s="195">
        <f ca="1">R8*(1-Q8)-$C12</f>
        <v>13.973981728374698</v>
      </c>
      <c r="S9" s="195">
        <f ca="1">R9*Q9</f>
        <v>0.33458472512142451</v>
      </c>
    </row>
    <row r="10" spans="1:19">
      <c r="A10" t="s">
        <v>399</v>
      </c>
      <c r="B10" s="198">
        <f ca="1">SUM(B6:B8)-B9</f>
        <v>30.393965783746719</v>
      </c>
      <c r="C10" s="198">
        <f ca="1">SUM(C6:C8)-C9</f>
        <v>18.515520000000002</v>
      </c>
      <c r="E10" t="s">
        <v>417</v>
      </c>
      <c r="F10" s="193">
        <v>5.0000000000000001E-3</v>
      </c>
      <c r="G10" s="195">
        <f>($B11/(1-F11)-$B8)/(1-F10)+$B9/(1-F10)</f>
        <v>3.5454078810924852</v>
      </c>
      <c r="H10" s="195">
        <f>G10*F10</f>
        <v>1.7727039405462428E-2</v>
      </c>
      <c r="I10" s="196">
        <f ca="1">H10*I$5/(H10*I$5+($B11/(1-I11)-$B8)+$B9)</f>
        <v>2.7896105765731704E-3</v>
      </c>
      <c r="J10" s="195">
        <f ca="1">H10*I$5+($B11/(1-I11)-$B8)+$B9</f>
        <v>3.5217789648981626</v>
      </c>
      <c r="K10" s="195">
        <f ca="1">J10*I10</f>
        <v>9.824391848832827E-3</v>
      </c>
      <c r="M10" t="s">
        <v>417</v>
      </c>
      <c r="N10" s="193">
        <v>5.0000000000000001E-3</v>
      </c>
      <c r="O10" s="195">
        <f>($C11/(1-N11)-$C8)/(1-N10)+$C9/(1-N10)</f>
        <v>2.8950425538166473</v>
      </c>
      <c r="P10" s="195">
        <f>O10*N10</f>
        <v>1.4475212769083238E-2</v>
      </c>
      <c r="Q10" s="196">
        <f ca="1">P10*Q$5/(P10*Q$5+($C11/(1-Q11)-$C8)+$C9)</f>
        <v>3.4882225815544223E-3</v>
      </c>
      <c r="R10" s="195">
        <f ca="1">P10*Q$5+($C11/(1-Q11)-$C8)+$C9</f>
        <v>2.8818184156162312</v>
      </c>
      <c r="S10" s="195">
        <f ca="1">R10*Q10</f>
        <v>1.0052424073291925E-2</v>
      </c>
    </row>
    <row r="11" spans="1:19">
      <c r="A11" t="s">
        <v>393</v>
      </c>
      <c r="B11" s="198">
        <f ca="1">IEAData2!J68</f>
        <v>3.4924040332701525</v>
      </c>
      <c r="C11" s="198">
        <f ca="1">AuxData2!J68</f>
        <v>2.8517616676370885</v>
      </c>
      <c r="E11" t="s">
        <v>403</v>
      </c>
      <c r="F11" s="193">
        <v>0.01</v>
      </c>
      <c r="G11" s="195">
        <f>$B8+(G10)*(1-F10)-$B9</f>
        <v>3.5276808416870229</v>
      </c>
      <c r="H11" s="195">
        <f>G11*F11</f>
        <v>3.5276808416870233E-2</v>
      </c>
      <c r="I11" s="196">
        <f ca="1">H11*I5/(H11*I5+B11)</f>
        <v>5.5668544033023052E-3</v>
      </c>
      <c r="J11" s="195">
        <f ca="1">$B8+(J10)*(1-I10)-$B9</f>
        <v>3.51195457304933</v>
      </c>
      <c r="K11" s="195">
        <f ca="1">J11*I11</f>
        <v>1.9550539779177329E-2</v>
      </c>
      <c r="M11" t="s">
        <v>403</v>
      </c>
      <c r="N11" s="193">
        <v>0.01</v>
      </c>
      <c r="O11" s="195">
        <f>$C8+(O10)*(1-N10)-$C9</f>
        <v>2.8805673410475641</v>
      </c>
      <c r="P11" s="195">
        <f>O11*N11</f>
        <v>2.880567341047564E-2</v>
      </c>
      <c r="Q11" s="196">
        <f ca="1">P11*Q5/(P11*Q5+C11)</f>
        <v>6.9658614123719147E-3</v>
      </c>
      <c r="R11" s="195">
        <f ca="1">$C8+(R10)*(1-Q10)-$C9</f>
        <v>2.8717659915429392</v>
      </c>
      <c r="S11" s="195">
        <f ca="1">R11*Q11</f>
        <v>2.000432390585093E-2</v>
      </c>
    </row>
    <row r="12" spans="1:19">
      <c r="A12" t="s">
        <v>405</v>
      </c>
      <c r="B12" s="197">
        <f ca="1">IEAData2!K68</f>
        <v>0.50767880466897108</v>
      </c>
      <c r="C12" s="197">
        <f ca="1">AuxData2!K68</f>
        <v>0.68375677211848318</v>
      </c>
      <c r="E12" t="s">
        <v>52</v>
      </c>
      <c r="F12" s="322"/>
      <c r="G12" s="322"/>
      <c r="H12" s="323">
        <f ca="1">SUM(H7:H11)</f>
        <v>1.9798507912101466</v>
      </c>
      <c r="I12" s="322"/>
      <c r="J12" s="322"/>
      <c r="K12" s="324">
        <f ca="1">SUM(K7:K11)</f>
        <v>1.0972407478869024</v>
      </c>
      <c r="M12" t="s">
        <v>52</v>
      </c>
      <c r="N12" s="322"/>
      <c r="O12" s="322"/>
      <c r="P12" s="323">
        <f ca="1">SUM(P7:P11)</f>
        <v>1.1641025499202957</v>
      </c>
      <c r="Q12" s="322"/>
      <c r="R12" s="322"/>
      <c r="S12" s="324">
        <f ca="1">SUM(S7:S11)</f>
        <v>0.80842006838013669</v>
      </c>
    </row>
    <row r="15" spans="1:19">
      <c r="B15" s="127"/>
    </row>
    <row r="17" spans="1:19" ht="18">
      <c r="A17" s="8"/>
      <c r="B17" s="164" t="str">
        <f>"~FI_T: "&amp;Region</f>
        <v>~FI_T: FIM</v>
      </c>
      <c r="J17" s="225" t="s">
        <v>534</v>
      </c>
      <c r="K17" s="225"/>
      <c r="N17" s="60" t="s">
        <v>562</v>
      </c>
      <c r="O17" s="60"/>
      <c r="P17" s="105" t="str">
        <f>"~FI_T: ACT_BND~"&amp;Region</f>
        <v>~FI_T: ACT_BND~FIM</v>
      </c>
    </row>
    <row r="18" spans="1:19" ht="13.5" thickBot="1">
      <c r="A18" s="165" t="s">
        <v>218</v>
      </c>
      <c r="B18" s="166" t="s">
        <v>600</v>
      </c>
      <c r="C18" s="167">
        <v>2010</v>
      </c>
      <c r="D18" s="167">
        <f ca="1">AuxYear</f>
        <v>2017</v>
      </c>
      <c r="E18" s="167">
        <v>2020</v>
      </c>
      <c r="F18" s="167">
        <v>2030</v>
      </c>
      <c r="G18" s="167">
        <v>2050</v>
      </c>
      <c r="H18" s="167">
        <v>2100</v>
      </c>
      <c r="J18" s="167">
        <v>2030</v>
      </c>
      <c r="K18" s="167">
        <v>2100</v>
      </c>
      <c r="N18" s="208" t="s">
        <v>212</v>
      </c>
      <c r="O18" s="208" t="s">
        <v>218</v>
      </c>
      <c r="P18" s="208" t="s">
        <v>477</v>
      </c>
      <c r="Q18" s="208">
        <f ca="1">BaseYear</f>
        <v>2010</v>
      </c>
      <c r="R18" s="208">
        <f ca="1">AuxYear</f>
        <v>2017</v>
      </c>
      <c r="S18" s="208">
        <v>0</v>
      </c>
    </row>
    <row r="19" spans="1:19">
      <c r="A19" s="6" t="s">
        <v>198</v>
      </c>
      <c r="B19" s="19" t="s">
        <v>328</v>
      </c>
      <c r="C19" s="321">
        <f ca="1">1-I7</f>
        <v>0.98891592484890001</v>
      </c>
      <c r="D19" s="321">
        <f ca="1">1-Q7</f>
        <v>0.98611084447095343</v>
      </c>
      <c r="E19" s="321">
        <f t="shared" ref="E19:F24" ca="1" si="0">1/(1+(1/D19-1)*$J19^(D$18-E$18))</f>
        <v>0.98625367491559213</v>
      </c>
      <c r="F19" s="321">
        <f t="shared" ca="1" si="0"/>
        <v>0.98671939462237424</v>
      </c>
      <c r="G19" s="321">
        <f t="shared" ref="G19:H24" ca="1" si="1">1/(1+(1/F19-1)*$K19^(F$18-G$18))</f>
        <v>0.98865360961954674</v>
      </c>
      <c r="H19" s="321">
        <f t="shared" ca="1" si="1"/>
        <v>0.99235366296398242</v>
      </c>
      <c r="J19" s="321">
        <v>1.0035000000000001</v>
      </c>
      <c r="K19" s="6">
        <v>1.008</v>
      </c>
      <c r="N19" s="207" t="s">
        <v>563</v>
      </c>
      <c r="O19" s="207"/>
      <c r="P19" s="207"/>
      <c r="Q19" s="207"/>
      <c r="R19" s="207"/>
      <c r="S19" s="207"/>
    </row>
    <row r="20" spans="1:19">
      <c r="A20" s="6" t="s">
        <v>396</v>
      </c>
      <c r="B20" s="19" t="s">
        <v>328</v>
      </c>
      <c r="C20" s="321">
        <f ca="1">1-I8</f>
        <v>0.9890347812240472</v>
      </c>
      <c r="D20" s="321">
        <f ca="1">1-Q8</f>
        <v>0.98622146717746506</v>
      </c>
      <c r="E20" s="321">
        <f t="shared" ca="1" si="0"/>
        <v>0.98636317575477672</v>
      </c>
      <c r="F20" s="321">
        <f t="shared" ca="1" si="0"/>
        <v>0.98682523517676046</v>
      </c>
      <c r="G20" s="321">
        <f t="shared" ca="1" si="1"/>
        <v>0.98874421117684175</v>
      </c>
      <c r="H20" s="321">
        <f t="shared" ca="1" si="1"/>
        <v>0.99241494606318414</v>
      </c>
      <c r="J20" s="321">
        <v>1.0035000000000001</v>
      </c>
      <c r="K20" s="6">
        <v>1.008</v>
      </c>
      <c r="N20" s="6" t="s">
        <v>623</v>
      </c>
      <c r="O20" s="6"/>
      <c r="P20" s="162" t="s">
        <v>480</v>
      </c>
      <c r="Q20" s="254">
        <f ca="1">IEAData2!$Q$26</f>
        <v>55.591560000000001</v>
      </c>
      <c r="R20" s="254">
        <f ca="1">AuxData2!$Q$26</f>
        <v>18.540360000000003</v>
      </c>
      <c r="S20" s="162">
        <v>11</v>
      </c>
    </row>
    <row r="21" spans="1:19">
      <c r="A21" s="6" t="s">
        <v>199</v>
      </c>
      <c r="B21" s="19" t="s">
        <v>328</v>
      </c>
      <c r="C21" s="321">
        <f ca="1">1-I9</f>
        <v>0.98099397480910056</v>
      </c>
      <c r="D21" s="321">
        <f ca="1">1-Q9</f>
        <v>0.97605659348744978</v>
      </c>
      <c r="E21" s="321">
        <f t="shared" ca="1" si="0"/>
        <v>0.97630033286013618</v>
      </c>
      <c r="F21" s="321">
        <f t="shared" ca="1" si="0"/>
        <v>0.97709543618892392</v>
      </c>
      <c r="G21" s="321">
        <f t="shared" ca="1" si="1"/>
        <v>0.98040346727402006</v>
      </c>
      <c r="H21" s="321">
        <f t="shared" ca="1" si="1"/>
        <v>0.98675785360588619</v>
      </c>
      <c r="J21" s="321">
        <v>1.0035000000000001</v>
      </c>
      <c r="K21" s="6">
        <v>1.008</v>
      </c>
      <c r="N21" s="6" t="s">
        <v>624</v>
      </c>
      <c r="O21" s="6"/>
      <c r="P21" s="162" t="s">
        <v>480</v>
      </c>
      <c r="Q21" s="254">
        <f ca="1">IEAData2!$Q$36</f>
        <v>1.9565999999999999</v>
      </c>
      <c r="R21" s="254">
        <f ca="1">AuxData2!$Q$36</f>
        <v>0.41544000000000003</v>
      </c>
      <c r="S21" s="162">
        <v>11</v>
      </c>
    </row>
    <row r="22" spans="1:19">
      <c r="A22" s="6" t="s">
        <v>417</v>
      </c>
      <c r="B22" s="19" t="s">
        <v>328</v>
      </c>
      <c r="C22" s="321">
        <f ca="1">1-I10</f>
        <v>0.99721038942342688</v>
      </c>
      <c r="D22" s="321">
        <f ca="1">1-Q10</f>
        <v>0.99651177741844554</v>
      </c>
      <c r="E22" s="321">
        <f t="shared" ca="1" si="0"/>
        <v>0.99654802330558923</v>
      </c>
      <c r="F22" s="321">
        <f t="shared" ca="1" si="0"/>
        <v>0.99666615376843037</v>
      </c>
      <c r="G22" s="321">
        <f t="shared" ca="1" si="1"/>
        <v>0.9971558777098537</v>
      </c>
      <c r="H22" s="321">
        <f t="shared" ca="1" si="1"/>
        <v>0.99808870489363455</v>
      </c>
      <c r="J22" s="321">
        <v>1.0035000000000001</v>
      </c>
      <c r="K22" s="6">
        <v>1.008</v>
      </c>
      <c r="N22" s="6" t="s">
        <v>625</v>
      </c>
      <c r="O22" s="6"/>
      <c r="P22" s="162" t="s">
        <v>480</v>
      </c>
      <c r="Q22" s="254">
        <f ca="1">IEAData2!$Q$47-Q23-0.05</f>
        <v>26.953599999999998</v>
      </c>
      <c r="R22" s="254">
        <f ca="1">AuxData2!$Q$47-R23-0.1</f>
        <v>38.441959999999995</v>
      </c>
      <c r="S22" s="162">
        <v>11</v>
      </c>
    </row>
    <row r="23" spans="1:19">
      <c r="A23" s="6" t="s">
        <v>397</v>
      </c>
      <c r="B23" s="19" t="s">
        <v>328</v>
      </c>
      <c r="C23" s="321">
        <f ca="1">1-I11</f>
        <v>0.99443314559669771</v>
      </c>
      <c r="D23" s="321">
        <f ca="1">1-Q11</f>
        <v>0.99303413858762812</v>
      </c>
      <c r="E23" s="321">
        <f t="shared" ca="1" si="0"/>
        <v>0.99310627040366672</v>
      </c>
      <c r="F23" s="321">
        <f t="shared" ca="1" si="0"/>
        <v>0.99334139448874148</v>
      </c>
      <c r="G23" s="321">
        <f t="shared" ca="1" si="1"/>
        <v>0.99431672261223547</v>
      </c>
      <c r="H23" s="321">
        <f t="shared" ca="1" si="1"/>
        <v>0.996177177861298</v>
      </c>
      <c r="J23" s="321">
        <v>1.0035000000000001</v>
      </c>
      <c r="K23" s="6">
        <v>1.008</v>
      </c>
      <c r="N23" s="6" t="s">
        <v>621</v>
      </c>
      <c r="O23" s="6"/>
      <c r="P23" s="162" t="s">
        <v>480</v>
      </c>
      <c r="Q23" s="254">
        <f ca="1">IEAData2!$Q$43</f>
        <v>0.5482800000000001</v>
      </c>
      <c r="R23" s="254">
        <f ca="1">AuxData2!$Q$43</f>
        <v>0.32255999999999996</v>
      </c>
      <c r="S23" s="162">
        <v>11</v>
      </c>
    </row>
    <row r="24" spans="1:19">
      <c r="A24" s="6" t="s">
        <v>53</v>
      </c>
      <c r="B24" s="19" t="s">
        <v>328</v>
      </c>
      <c r="C24" s="321">
        <f ca="1">IEAData2!$F71</f>
        <v>0.93927781289640233</v>
      </c>
      <c r="D24" s="321">
        <f ca="1">AuxData2!$F71</f>
        <v>0.92796297206191691</v>
      </c>
      <c r="E24" s="321">
        <f t="shared" si="0"/>
        <v>0.9286605119998359</v>
      </c>
      <c r="F24" s="321">
        <f t="shared" si="0"/>
        <v>0.93094083521879423</v>
      </c>
      <c r="G24" s="321">
        <f t="shared" si="1"/>
        <v>0.93857351514996168</v>
      </c>
      <c r="H24" s="321">
        <f t="shared" si="1"/>
        <v>0.95433750084885438</v>
      </c>
      <c r="J24" s="321">
        <v>1.0035000000000001</v>
      </c>
      <c r="K24" s="321">
        <f>(1/C24)^0.1</f>
        <v>1.0062840606945793</v>
      </c>
    </row>
    <row r="25" spans="1:19">
      <c r="A25" s="6" t="s">
        <v>570</v>
      </c>
      <c r="B25" s="19" t="s">
        <v>328</v>
      </c>
      <c r="C25" s="321">
        <f ca="1">SUM(OtherData2!$V$70)/93</f>
        <v>0.48851884504291265</v>
      </c>
      <c r="D25" s="321">
        <f ca="1">MAX(C25,SUM(OtherData2!$V$100)/100)</f>
        <v>0.48851884504291265</v>
      </c>
      <c r="E25" s="6"/>
      <c r="F25" s="6"/>
      <c r="G25" s="6"/>
      <c r="H25" s="6"/>
      <c r="J25" s="6"/>
      <c r="K25" s="6"/>
    </row>
    <row r="33" spans="2:20" ht="18">
      <c r="B33" s="60" t="s">
        <v>476</v>
      </c>
      <c r="C33" s="137"/>
      <c r="D33" s="137"/>
      <c r="E33" s="105" t="str">
        <f>"~FI_T: PRC_MARK~"&amp;Region</f>
        <v>~FI_T: PRC_MARK~FIM</v>
      </c>
    </row>
    <row r="34" spans="2:20">
      <c r="B34" s="208" t="s">
        <v>212</v>
      </c>
      <c r="C34" s="208" t="s">
        <v>218</v>
      </c>
      <c r="D34" s="208" t="s">
        <v>312</v>
      </c>
      <c r="E34" s="208" t="s">
        <v>477</v>
      </c>
      <c r="F34" s="208">
        <f ca="1">BaseYear</f>
        <v>2010</v>
      </c>
      <c r="G34" s="208">
        <f ca="1">AuxYear</f>
        <v>2017</v>
      </c>
      <c r="H34" s="208">
        <v>2020</v>
      </c>
      <c r="I34" s="208">
        <v>2030</v>
      </c>
      <c r="J34" s="208">
        <v>2050</v>
      </c>
      <c r="K34" s="208">
        <v>2070</v>
      </c>
      <c r="L34" s="208">
        <v>2100</v>
      </c>
      <c r="M34" s="209" t="s">
        <v>478</v>
      </c>
    </row>
    <row r="35" spans="2:20">
      <c r="B35" s="207" t="s">
        <v>479</v>
      </c>
      <c r="C35" s="207"/>
      <c r="D35" s="207"/>
      <c r="E35" s="207"/>
      <c r="F35" s="325">
        <f t="shared" ref="F35:L35" si="2">RIGHT(F34,4)*1</f>
        <v>2010</v>
      </c>
      <c r="G35" s="325">
        <f t="shared" si="2"/>
        <v>2017</v>
      </c>
      <c r="H35" s="325">
        <f t="shared" si="2"/>
        <v>2020</v>
      </c>
      <c r="I35" s="325">
        <f t="shared" si="2"/>
        <v>2030</v>
      </c>
      <c r="J35" s="325">
        <f t="shared" si="2"/>
        <v>2050</v>
      </c>
      <c r="K35" s="325">
        <f t="shared" si="2"/>
        <v>2070</v>
      </c>
      <c r="L35" s="325">
        <f t="shared" si="2"/>
        <v>2100</v>
      </c>
      <c r="M35" s="207"/>
      <c r="P35" s="246"/>
      <c r="Q35" s="326">
        <v>1</v>
      </c>
      <c r="R35" s="326">
        <v>2</v>
      </c>
      <c r="S35" s="326">
        <v>3</v>
      </c>
      <c r="T35" s="327">
        <v>4</v>
      </c>
    </row>
    <row r="36" spans="2:20">
      <c r="B36" s="6" t="str">
        <f ca="1">ELC_New2!$B53</f>
        <v>HETBIOP100</v>
      </c>
      <c r="C36" s="6" t="s">
        <v>409</v>
      </c>
      <c r="D36" s="6" t="str">
        <f ca="1">ELC_New2!$B53</f>
        <v>HETBIOP100</v>
      </c>
      <c r="E36" s="6" t="s">
        <v>480</v>
      </c>
      <c r="F36" s="335">
        <f ca="1">IF(OtherData2!$P$70,OtherData2!$P$69/OtherData2!$P$70,0.5)</f>
        <v>0.17642532644388914</v>
      </c>
      <c r="G36" s="335">
        <f ca="1">IF(OtherData2!$P$100,OtherData2!$P$99/OtherData2!$P$100,0.5)</f>
        <v>0.20384262168603712</v>
      </c>
      <c r="H36" s="253">
        <f ca="1">1-(1-AVERAGE(F36:G36))^(0.95^(H$34-G$34)^G36)</f>
        <v>0.18484270234158284</v>
      </c>
      <c r="I36" s="253">
        <f t="shared" ref="I36:L39" ca="1" si="3">1-(1-AVERAGE(H36))^((0.96^(I$34-H$34))^H36)</f>
        <v>0.17264406514271147</v>
      </c>
      <c r="J36" s="253">
        <f t="shared" ca="1" si="3"/>
        <v>0.15177045877807871</v>
      </c>
      <c r="K36" s="253">
        <f t="shared" ca="1" si="3"/>
        <v>0.13534156758232641</v>
      </c>
      <c r="L36" s="253">
        <f t="shared" ca="1" si="3"/>
        <v>0.11592130529575362</v>
      </c>
      <c r="M36" s="6"/>
      <c r="P36" s="328">
        <v>2020</v>
      </c>
      <c r="Q36" s="329">
        <v>0.2</v>
      </c>
      <c r="R36" s="326">
        <v>0.15</v>
      </c>
      <c r="S36" s="326">
        <v>0.2</v>
      </c>
      <c r="T36" s="327">
        <v>0.15</v>
      </c>
    </row>
    <row r="37" spans="2:20">
      <c r="B37" s="6" t="str">
        <f ca="1">ELC_New2!$B59</f>
        <v>HETBIOP200</v>
      </c>
      <c r="C37" s="6" t="s">
        <v>410</v>
      </c>
      <c r="D37" s="6" t="str">
        <f ca="1">ELC_New2!$B59</f>
        <v>HETBIOP200</v>
      </c>
      <c r="E37" s="6" t="s">
        <v>480</v>
      </c>
      <c r="F37" s="335">
        <f ca="1">IF(OtherData2!$Q$70,OtherData2!$Q$69/OtherData2!$Q$70,0.5)</f>
        <v>0.5</v>
      </c>
      <c r="G37" s="335">
        <f ca="1">IF(OtherData2!$Q$100,OtherData2!$Q$99/OtherData2!$Q$100,0.5)</f>
        <v>0.5</v>
      </c>
      <c r="H37" s="253">
        <f ca="1">1-(1-AVERAGE(F37:G37))^(0.95^(H$34-G$34)^G37)</f>
        <v>0.47366452631075151</v>
      </c>
      <c r="I37" s="253">
        <f t="shared" ca="1" si="3"/>
        <v>0.41079200497557178</v>
      </c>
      <c r="J37" s="253">
        <f t="shared" ca="1" si="3"/>
        <v>0.31494098705626039</v>
      </c>
      <c r="K37" s="253">
        <f t="shared" ca="1" si="3"/>
        <v>0.25359625775797112</v>
      </c>
      <c r="L37" s="253">
        <f t="shared" ca="1" si="3"/>
        <v>0.19297676762580596</v>
      </c>
      <c r="M37" s="6"/>
      <c r="P37" s="328">
        <v>2030</v>
      </c>
      <c r="Q37" s="328">
        <f>Q36*0.8</f>
        <v>0.16000000000000003</v>
      </c>
      <c r="R37" s="330">
        <f>R36*13/15</f>
        <v>0.13</v>
      </c>
      <c r="S37" s="330">
        <f>S36*0.8</f>
        <v>0.16000000000000003</v>
      </c>
      <c r="T37" s="331">
        <f>T36*13/15</f>
        <v>0.13</v>
      </c>
    </row>
    <row r="38" spans="2:20">
      <c r="B38" s="6" t="str">
        <f ca="1">ELC_New2!$B65</f>
        <v>HETBIOP300</v>
      </c>
      <c r="C38" s="6" t="s">
        <v>411</v>
      </c>
      <c r="D38" s="6" t="str">
        <f ca="1">ELC_New2!$B65</f>
        <v>HETBIOP300</v>
      </c>
      <c r="E38" s="6" t="s">
        <v>480</v>
      </c>
      <c r="F38" s="335">
        <f ca="1">IF(OtherData2!$R$70,OtherData2!$R$69/OtherData2!$R$70,0.5)</f>
        <v>0.5</v>
      </c>
      <c r="G38" s="335">
        <f ca="1">IF(OtherData2!$R$100,OtherData2!$R$99/OtherData2!$R$100,0.5)</f>
        <v>0.5</v>
      </c>
      <c r="H38" s="253">
        <f ca="1">1-(1-AVERAGE(F38:G38))^(0.95^(H$34-G$34)^G38)</f>
        <v>0.47366452631075151</v>
      </c>
      <c r="I38" s="253">
        <f t="shared" ca="1" si="3"/>
        <v>0.41079200497557178</v>
      </c>
      <c r="J38" s="253">
        <f t="shared" ca="1" si="3"/>
        <v>0.31494098705626039</v>
      </c>
      <c r="K38" s="253">
        <f t="shared" ca="1" si="3"/>
        <v>0.25359625775797112</v>
      </c>
      <c r="L38" s="253">
        <f t="shared" ca="1" si="3"/>
        <v>0.19297676762580596</v>
      </c>
      <c r="M38" s="6"/>
      <c r="P38" s="332">
        <v>2050</v>
      </c>
      <c r="Q38" s="332">
        <f>Q37*0.75</f>
        <v>0.12000000000000002</v>
      </c>
      <c r="R38" s="333">
        <f>R37*11/13</f>
        <v>0.11000000000000001</v>
      </c>
      <c r="S38" s="333">
        <f>S37*0.75</f>
        <v>0.12000000000000002</v>
      </c>
      <c r="T38" s="334">
        <f>T37*11/13</f>
        <v>0.11000000000000001</v>
      </c>
    </row>
    <row r="39" spans="2:20">
      <c r="B39" s="6" t="str">
        <f ca="1">ELC_New2!$B71</f>
        <v>HETBIOP400</v>
      </c>
      <c r="C39" s="6" t="s">
        <v>412</v>
      </c>
      <c r="D39" s="6" t="str">
        <f ca="1">ELC_New2!$B71</f>
        <v>HETBIOP400</v>
      </c>
      <c r="E39" s="6" t="s">
        <v>480</v>
      </c>
      <c r="F39" s="335">
        <f ca="1">IF(OtherData2!$S$70,OtherData2!$S$69/OtherData2!$S$70,0.5)</f>
        <v>0.5</v>
      </c>
      <c r="G39" s="335">
        <f ca="1">IF(OtherData2!$S$100,OtherData2!$S$99/OtherData2!$S$100,0.5)</f>
        <v>0.5</v>
      </c>
      <c r="H39" s="253">
        <f ca="1">1-(1-AVERAGE(F39:G39))^(0.95^(H$34-G$34)^G39)</f>
        <v>0.47366452631075151</v>
      </c>
      <c r="I39" s="253">
        <f t="shared" ca="1" si="3"/>
        <v>0.41079200497557178</v>
      </c>
      <c r="J39" s="253">
        <f t="shared" ca="1" si="3"/>
        <v>0.31494098705626039</v>
      </c>
      <c r="K39" s="253">
        <f t="shared" ca="1" si="3"/>
        <v>0.25359625775797112</v>
      </c>
      <c r="L39" s="253">
        <f t="shared" ca="1" si="3"/>
        <v>0.19297676762580596</v>
      </c>
      <c r="M39" s="6"/>
    </row>
    <row r="40" spans="2:20">
      <c r="B40" s="336" t="str">
        <f ca="1">ELC_New2!$B60</f>
        <v>\I:</v>
      </c>
      <c r="C40" s="336"/>
      <c r="D40" s="336"/>
      <c r="E40" s="336"/>
      <c r="F40" s="336"/>
      <c r="G40" s="336"/>
      <c r="H40" s="336"/>
      <c r="I40" s="336"/>
      <c r="J40" s="336"/>
      <c r="K40" s="336"/>
      <c r="L40" s="336"/>
      <c r="M40" s="336"/>
    </row>
    <row r="41" spans="2:20">
      <c r="B41" s="6" t="str">
        <f ca="1">ELC_New2!$B49</f>
        <v>HETOILP100</v>
      </c>
      <c r="C41" s="6" t="s">
        <v>409</v>
      </c>
      <c r="D41" s="6" t="str">
        <f ca="1">ELC_New2!$B49</f>
        <v>HETOILP100</v>
      </c>
      <c r="E41" s="6" t="s">
        <v>480</v>
      </c>
      <c r="F41" s="6"/>
      <c r="G41" s="6"/>
      <c r="H41" s="253">
        <f t="shared" ref="H41:J44" ca="1" si="4">VLOOKUP(H$34,$P$36:$T$38,RIGHT($C41,1)+1)*H36</f>
        <v>3.6968540468316567E-2</v>
      </c>
      <c r="I41" s="253">
        <f t="shared" ca="1" si="4"/>
        <v>2.7623050422833841E-2</v>
      </c>
      <c r="J41" s="253">
        <f t="shared" ca="1" si="4"/>
        <v>1.821245505336945E-2</v>
      </c>
      <c r="K41" s="6"/>
      <c r="L41" s="6"/>
      <c r="M41" s="6"/>
    </row>
    <row r="42" spans="2:20">
      <c r="B42" s="6" t="str">
        <f ca="1">ELC_New2!$B55</f>
        <v>HETOILP200</v>
      </c>
      <c r="C42" s="6" t="s">
        <v>410</v>
      </c>
      <c r="D42" s="6" t="str">
        <f ca="1">ELC_New2!$B55</f>
        <v>HETOILP200</v>
      </c>
      <c r="E42" s="6" t="s">
        <v>480</v>
      </c>
      <c r="F42" s="6"/>
      <c r="G42" s="6"/>
      <c r="H42" s="253">
        <f t="shared" ca="1" si="4"/>
        <v>7.1049678946612724E-2</v>
      </c>
      <c r="I42" s="253">
        <f t="shared" ca="1" si="4"/>
        <v>5.3402960646824336E-2</v>
      </c>
      <c r="J42" s="253">
        <f t="shared" ca="1" si="4"/>
        <v>3.4643508576188649E-2</v>
      </c>
      <c r="K42" s="6"/>
      <c r="L42" s="6"/>
      <c r="M42" s="6"/>
    </row>
    <row r="43" spans="2:20">
      <c r="B43" s="6" t="str">
        <f ca="1">ELC_New2!$B61</f>
        <v>HETOILP300</v>
      </c>
      <c r="C43" s="6" t="s">
        <v>411</v>
      </c>
      <c r="D43" s="6" t="str">
        <f ca="1">ELC_New2!$B61</f>
        <v>HETOILP300</v>
      </c>
      <c r="E43" s="6" t="s">
        <v>480</v>
      </c>
      <c r="F43" s="6"/>
      <c r="G43" s="6"/>
      <c r="H43" s="253">
        <f t="shared" ca="1" si="4"/>
        <v>9.4732905262150308E-2</v>
      </c>
      <c r="I43" s="253">
        <f t="shared" ca="1" si="4"/>
        <v>6.5726720796091501E-2</v>
      </c>
      <c r="J43" s="253">
        <f t="shared" ca="1" si="4"/>
        <v>3.7792918446751256E-2</v>
      </c>
      <c r="K43" s="6"/>
      <c r="L43" s="6"/>
      <c r="M43" s="6"/>
    </row>
    <row r="44" spans="2:20">
      <c r="B44" s="6" t="str">
        <f ca="1">ELC_New2!$B67</f>
        <v>HETOILP400</v>
      </c>
      <c r="C44" s="6" t="s">
        <v>412</v>
      </c>
      <c r="D44" s="6" t="str">
        <f ca="1">ELC_New2!$B67</f>
        <v>HETOILP400</v>
      </c>
      <c r="E44" s="6" t="s">
        <v>480</v>
      </c>
      <c r="F44" s="6"/>
      <c r="G44" s="6"/>
      <c r="H44" s="253">
        <f t="shared" ca="1" si="4"/>
        <v>7.1049678946612724E-2</v>
      </c>
      <c r="I44" s="253">
        <f t="shared" ca="1" si="4"/>
        <v>5.3402960646824336E-2</v>
      </c>
      <c r="J44" s="253">
        <f t="shared" ca="1" si="4"/>
        <v>3.4643508576188649E-2</v>
      </c>
      <c r="K44" s="6"/>
      <c r="L44" s="6"/>
      <c r="M44" s="6"/>
    </row>
  </sheetData>
  <phoneticPr fontId="27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13</vt:i4>
      </vt:variant>
    </vt:vector>
  </HeadingPairs>
  <TitlesOfParts>
    <vt:vector size="27" baseType="lpstr">
      <vt:lpstr>IEAData</vt:lpstr>
      <vt:lpstr>AuxData</vt:lpstr>
      <vt:lpstr>COMM</vt:lpstr>
      <vt:lpstr>Processes</vt:lpstr>
      <vt:lpstr>ELC_FUELS</vt:lpstr>
      <vt:lpstr>ELC_New</vt:lpstr>
      <vt:lpstr>ELC_EMI</vt:lpstr>
      <vt:lpstr>General</vt:lpstr>
      <vt:lpstr>IEAData2</vt:lpstr>
      <vt:lpstr>AuxData2</vt:lpstr>
      <vt:lpstr>COMM2</vt:lpstr>
      <vt:lpstr>ELC_FUELS2</vt:lpstr>
      <vt:lpstr>ELC_New2</vt:lpstr>
      <vt:lpstr>General2</vt:lpstr>
      <vt:lpstr>AuxYear</vt:lpstr>
      <vt:lpstr>BaseYear</vt:lpstr>
      <vt:lpstr>CalIndex</vt:lpstr>
      <vt:lpstr>ECAP</vt:lpstr>
      <vt:lpstr>SCAP</vt:lpstr>
      <vt:lpstr>SHCAP</vt:lpstr>
      <vt:lpstr>AuxData!Tiny</vt:lpstr>
      <vt:lpstr>AuxData2!Tiny</vt:lpstr>
      <vt:lpstr>Tiny</vt:lpstr>
      <vt:lpstr>AuxData!ToeTJ</vt:lpstr>
      <vt:lpstr>AuxData2!ToeTJ</vt:lpstr>
      <vt:lpstr>IEAData!ToeTJ</vt:lpstr>
      <vt:lpstr>IEAData2!ToeTJ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Kapilow-Cohen</dc:creator>
  <cp:lastModifiedBy>Antti-L</cp:lastModifiedBy>
  <cp:lastPrinted>2002-07-23T12:20:36Z</cp:lastPrinted>
  <dcterms:created xsi:type="dcterms:W3CDTF">2000-12-13T15:53:11Z</dcterms:created>
  <dcterms:modified xsi:type="dcterms:W3CDTF">2021-03-03T12:19:14Z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">
    <vt:lpwstr>TIAM</vt:lpwstr>
  </property>
  <property fmtid="{D5CDD505-2E9C-101B-9397-08002B2CF9AE}" pid="3" name="TmplVersion">
    <vt:lpwstr>Vrsn000001</vt:lpwstr>
  </property>
  <property fmtid="{D5CDD505-2E9C-101B-9397-08002B2CF9AE}" pid="4" name="Base_Yr_Bal">
    <vt:lpwstr>IEAStats.MDB</vt:lpwstr>
  </property>
  <property fmtid="{D5CDD505-2E9C-101B-9397-08002B2CF9AE}" pid="5" name="ImportCode:IEAStats.MDB">
    <vt:lpwstr>97389898986339.8</vt:lpwstr>
  </property>
  <property fmtid="{D5CDD505-2E9C-101B-9397-08002B2CF9AE}" pid="6" name="SaveCode">
    <vt:r8>772174835205078</vt:r8>
  </property>
</Properties>
</file>