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29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omments18.xml" ContentType="application/vnd.openxmlformats-officedocument.spreadsheetml.comments+xml"/>
  <Override PartName="/xl/comments27.xml" ContentType="application/vnd.openxmlformats-officedocument.spreadsheetml.comments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16.xml" ContentType="application/vnd.openxmlformats-officedocument.spreadsheetml.comments+xml"/>
  <Override PartName="/xl/comments25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comments14.xml" ContentType="application/vnd.openxmlformats-officedocument.spreadsheetml.comments+xml"/>
  <Override PartName="/xl/comments23.xml" ContentType="application/vnd.openxmlformats-officedocument.spreadsheetml.comments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21.xml" ContentType="application/vnd.openxmlformats-officedocument.spreadsheetml.comment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omments7.xml" ContentType="application/vnd.openxmlformats-officedocument.spreadsheetml.comments+xml"/>
  <Override PartName="/xl/charts/chart3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19.xml" ContentType="application/vnd.openxmlformats-officedocument.spreadsheetml.comments+xml"/>
  <Override PartName="/xl/comments28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17.xml" ContentType="application/vnd.openxmlformats-officedocument.spreadsheetml.comments+xml"/>
  <Override PartName="/xl/comments26.xml" ContentType="application/vnd.openxmlformats-officedocument.spreadsheetml.comments+xml"/>
  <Default Extension="vml" ContentType="application/vnd.openxmlformats-officedocument.vmlDrawing"/>
  <Override PartName="/xl/comments1.xml" ContentType="application/vnd.openxmlformats-officedocument.spreadsheetml.comments+xml"/>
  <Override PartName="/xl/comments15.xml" ContentType="application/vnd.openxmlformats-officedocument.spreadsheetml.comments+xml"/>
  <Override PartName="/xl/comments24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comments13.xml" ContentType="application/vnd.openxmlformats-officedocument.spreadsheetml.comments+xml"/>
  <Override PartName="/xl/comments22.xml" ContentType="application/vnd.openxmlformats-officedocument.spreadsheetml.comments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comments11.xml" ContentType="application/vnd.openxmlformats-officedocument.spreadsheetml.comments+xml"/>
  <Override PartName="/xl/comments20.xml" ContentType="application/vnd.openxmlformats-officedocument.spreadsheetml.comments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7770" yWindow="180" windowWidth="20970" windowHeight="14145" tabRatio="782" activeTab="6"/>
  </bookViews>
  <sheets>
    <sheet name="IEAData" sheetId="307" r:id="rId1"/>
    <sheet name="Drivers" sheetId="308" state="veryHidden" r:id="rId2"/>
    <sheet name="Calibration" sheetId="309" state="veryHidden" r:id="rId3"/>
    <sheet name="AuxData" sheetId="310" r:id="rId4"/>
    <sheet name="Driver2" sheetId="311" state="veryHidden" r:id="rId5"/>
    <sheet name="Calibrati2" sheetId="312" state="veryHidden" r:id="rId6"/>
    <sheet name="COMM" sheetId="313" r:id="rId7"/>
    <sheet name="Processes" sheetId="314" r:id="rId8"/>
    <sheet name="IND_Fuels" sheetId="315" r:id="rId9"/>
    <sheet name="IND_Emi" sheetId="316" r:id="rId10"/>
    <sheet name="CHP" sheetId="317" r:id="rId11"/>
    <sheet name="IIS000" sheetId="318" r:id="rId12"/>
    <sheet name="INF000" sheetId="319" r:id="rId13"/>
    <sheet name="ICH000" sheetId="320" r:id="rId14"/>
    <sheet name="IOCH" sheetId="321" r:id="rId15"/>
    <sheet name="INM000" sheetId="322" r:id="rId16"/>
    <sheet name="ILP000" sheetId="323" r:id="rId17"/>
    <sheet name="IOLP" sheetId="324" r:id="rId18"/>
    <sheet name="INDSTM" sheetId="325" r:id="rId19"/>
    <sheet name="INDMAC" sheetId="326" r:id="rId20"/>
    <sheet name="IOI000" sheetId="327" r:id="rId21"/>
    <sheet name="ISOI" sheetId="328" r:id="rId22"/>
    <sheet name="IPOI" sheetId="329" r:id="rId23"/>
    <sheet name="IOOI" sheetId="330" r:id="rId24"/>
    <sheet name="ONO" sheetId="331" r:id="rId25"/>
    <sheet name="Market" sheetId="332" r:id="rId26"/>
    <sheet name="ElastPar" sheetId="333" r:id="rId27"/>
    <sheet name="IEAData2" sheetId="1" r:id="rId28"/>
    <sheet name="Drivers2" sheetId="288" state="veryHidden" r:id="rId29"/>
    <sheet name="Calibration2" sheetId="287" state="veryHidden" r:id="rId30"/>
    <sheet name="AuxData2" sheetId="304" r:id="rId31"/>
    <sheet name="Driver22" sheetId="305" state="veryHidden" r:id="rId32"/>
    <sheet name="Calibrati22" sheetId="306" state="veryHidden" r:id="rId33"/>
    <sheet name="COMM2" sheetId="286" r:id="rId34"/>
    <sheet name="IND_Fuels2" sheetId="4" r:id="rId35"/>
    <sheet name="IND_Emi2" sheetId="5" r:id="rId36"/>
    <sheet name="CHP2" sheetId="285" r:id="rId37"/>
    <sheet name="IIS0002" sheetId="12" r:id="rId38"/>
    <sheet name="INF0002" sheetId="6" r:id="rId39"/>
    <sheet name="ICH0002" sheetId="19" r:id="rId40"/>
    <sheet name="IOCH2" sheetId="302" r:id="rId41"/>
    <sheet name="INM0002" sheetId="26" r:id="rId42"/>
    <sheet name="ILP0002" sheetId="32" r:id="rId43"/>
    <sheet name="IOLP2" sheetId="298" r:id="rId44"/>
    <sheet name="INDSTM2" sheetId="291" r:id="rId45"/>
    <sheet name="INDMAC2" sheetId="292" r:id="rId46"/>
    <sheet name="IOI0002" sheetId="38" r:id="rId47"/>
    <sheet name="ISOI2" sheetId="39" r:id="rId48"/>
    <sheet name="IPOI2" sheetId="40" r:id="rId49"/>
    <sheet name="IOOI2" sheetId="42" r:id="rId50"/>
    <sheet name="ONO2" sheetId="283" r:id="rId51"/>
    <sheet name="Market2" sheetId="46" r:id="rId52"/>
  </sheets>
  <definedNames>
    <definedName name="AuxYear">AuxData2!$D$2</definedName>
    <definedName name="BaseYear">Drivers2!$C$5</definedName>
    <definedName name="IEA_Year">IEAData2!$D$2</definedName>
    <definedName name="NON_ETS" localSheetId="3" hidden="1">Drivers!$W$4</definedName>
    <definedName name="NON_ETS" localSheetId="5" hidden="1">Drivers!$W$4</definedName>
    <definedName name="NON_ETS" localSheetId="2" hidden="1">Drivers!$W$4</definedName>
    <definedName name="NON_ETS" localSheetId="10" hidden="1">Drivers!$W$4</definedName>
    <definedName name="NON_ETS" localSheetId="6" hidden="1">Drivers!$W$4</definedName>
    <definedName name="NON_ETS" localSheetId="4" hidden="1">Drivers!$W$4</definedName>
    <definedName name="NON_ETS" localSheetId="1" hidden="1">Drivers!$W$4</definedName>
    <definedName name="NON_ETS" localSheetId="26" hidden="1">Drivers!$W$4</definedName>
    <definedName name="NON_ETS" localSheetId="13" hidden="1">Drivers!$W$4</definedName>
    <definedName name="NON_ETS" localSheetId="0" hidden="1">Drivers!$W$4</definedName>
    <definedName name="NON_ETS" localSheetId="11" hidden="1">Drivers!$W$4</definedName>
    <definedName name="NON_ETS" localSheetId="16" hidden="1">Drivers!$W$4</definedName>
    <definedName name="NON_ETS" localSheetId="9" hidden="1">Drivers!$W$4</definedName>
    <definedName name="NON_ETS" localSheetId="8" hidden="1">Drivers!$W$4</definedName>
    <definedName name="NON_ETS" localSheetId="19" hidden="1">Drivers!$W$4</definedName>
    <definedName name="NON_ETS" localSheetId="18" hidden="1">Drivers!$W$4</definedName>
    <definedName name="NON_ETS" localSheetId="12" hidden="1">Drivers!$W$4</definedName>
    <definedName name="NON_ETS" localSheetId="15" hidden="1">Drivers!$W$4</definedName>
    <definedName name="NON_ETS" localSheetId="14" hidden="1">Drivers!$W$4</definedName>
    <definedName name="NON_ETS" localSheetId="20" hidden="1">Drivers!$W$4</definedName>
    <definedName name="NON_ETS" localSheetId="17" hidden="1">Drivers!$W$4</definedName>
    <definedName name="NON_ETS" localSheetId="23" hidden="1">Drivers!$W$4</definedName>
    <definedName name="NON_ETS" localSheetId="22" hidden="1">Drivers!$W$4</definedName>
    <definedName name="NON_ETS" localSheetId="21" hidden="1">Drivers!$W$4</definedName>
    <definedName name="NON_ETS" localSheetId="25" hidden="1">Drivers!$W$4</definedName>
    <definedName name="NON_ETS" localSheetId="24" hidden="1">Drivers!$W$4</definedName>
    <definedName name="NON_ETS" localSheetId="7" hidden="1">Drivers!$W$4</definedName>
    <definedName name="Non_ETS">Drivers2!$W$4</definedName>
    <definedName name="RegIndex" localSheetId="3" hidden="1">15</definedName>
    <definedName name="RegIndex" localSheetId="5" hidden="1">15</definedName>
    <definedName name="RegIndex" localSheetId="2" hidden="1">15</definedName>
    <definedName name="RegIndex" localSheetId="10" hidden="1">15</definedName>
    <definedName name="RegIndex" localSheetId="6" hidden="1">15</definedName>
    <definedName name="RegIndex" localSheetId="4" hidden="1">15</definedName>
    <definedName name="RegIndex" localSheetId="1" hidden="1">15</definedName>
    <definedName name="RegIndex" localSheetId="26" hidden="1">15</definedName>
    <definedName name="RegIndex" localSheetId="13" hidden="1">15</definedName>
    <definedName name="RegIndex" localSheetId="0" hidden="1">15</definedName>
    <definedName name="RegIndex" localSheetId="11" hidden="1">15</definedName>
    <definedName name="RegIndex" localSheetId="16" hidden="1">15</definedName>
    <definedName name="RegIndex" localSheetId="9" hidden="1">15</definedName>
    <definedName name="RegIndex" localSheetId="8" hidden="1">15</definedName>
    <definedName name="RegIndex" localSheetId="19" hidden="1">15</definedName>
    <definedName name="RegIndex" localSheetId="18" hidden="1">15</definedName>
    <definedName name="RegIndex" localSheetId="12" hidden="1">15</definedName>
    <definedName name="RegIndex" localSheetId="15" hidden="1">15</definedName>
    <definedName name="RegIndex" localSheetId="14" hidden="1">15</definedName>
    <definedName name="RegIndex" localSheetId="20" hidden="1">15</definedName>
    <definedName name="RegIndex" localSheetId="17" hidden="1">15</definedName>
    <definedName name="RegIndex" localSheetId="23" hidden="1">15</definedName>
    <definedName name="RegIndex" localSheetId="22" hidden="1">15</definedName>
    <definedName name="RegIndex" localSheetId="21" hidden="1">15</definedName>
    <definedName name="RegIndex" localSheetId="25" hidden="1">15</definedName>
    <definedName name="RegIndex" localSheetId="24" hidden="1">15</definedName>
    <definedName name="RegIndex" localSheetId="7" hidden="1">15</definedName>
    <definedName name="RegIndex">18</definedName>
    <definedName name="Region" localSheetId="3" hidden="1">"FIN"</definedName>
    <definedName name="Region" localSheetId="5" hidden="1">"FIN"</definedName>
    <definedName name="Region" localSheetId="2" hidden="1">"FIN"</definedName>
    <definedName name="Region" localSheetId="10" hidden="1">"FIN"</definedName>
    <definedName name="Region" localSheetId="6" hidden="1">"FIN"</definedName>
    <definedName name="Region" localSheetId="4" hidden="1">"FIN"</definedName>
    <definedName name="Region" localSheetId="1" hidden="1">"FIN"</definedName>
    <definedName name="Region" localSheetId="26" hidden="1">"FIN"</definedName>
    <definedName name="Region" localSheetId="13" hidden="1">"FIN"</definedName>
    <definedName name="Region" localSheetId="0" hidden="1">"FIN"</definedName>
    <definedName name="Region" localSheetId="11" hidden="1">"FIN"</definedName>
    <definedName name="Region" localSheetId="16" hidden="1">"FIN"</definedName>
    <definedName name="Region" localSheetId="9" hidden="1">"FIN"</definedName>
    <definedName name="Region" localSheetId="8" hidden="1">"FIN"</definedName>
    <definedName name="Region" localSheetId="19" hidden="1">"FIN"</definedName>
    <definedName name="Region" localSheetId="18" hidden="1">"FIN"</definedName>
    <definedName name="Region" localSheetId="12" hidden="1">"FIN"</definedName>
    <definedName name="Region" localSheetId="15" hidden="1">"FIN"</definedName>
    <definedName name="Region" localSheetId="14" hidden="1">"FIN"</definedName>
    <definedName name="Region" localSheetId="20" hidden="1">"FIN"</definedName>
    <definedName name="Region" localSheetId="17" hidden="1">"FIN"</definedName>
    <definedName name="Region" localSheetId="23" hidden="1">"FIN"</definedName>
    <definedName name="Region" localSheetId="22" hidden="1">"FIN"</definedName>
    <definedName name="Region" localSheetId="21" hidden="1">"FIN"</definedName>
    <definedName name="Region" localSheetId="25" hidden="1">"FIN"</definedName>
    <definedName name="Region" localSheetId="24" hidden="1">"FIN"</definedName>
    <definedName name="Region" localSheetId="7" hidden="1">"FIN"</definedName>
    <definedName name="Region">"FIM"</definedName>
    <definedName name="Tiny">IEAData2!$BA$1</definedName>
  </definedNames>
  <calcPr calcId="114210" calcMode="manual"/>
</workbook>
</file>

<file path=xl/calcChain.xml><?xml version="1.0" encoding="utf-8"?>
<calcChain xmlns="http://schemas.openxmlformats.org/spreadsheetml/2006/main">
  <c r="D1" i="307"/>
  <c r="AY1"/>
  <c r="AZ4"/>
  <c r="AX7"/>
  <c r="AY7"/>
  <c r="AZ7"/>
  <c r="BA7"/>
  <c r="BB7"/>
  <c r="BC7"/>
  <c r="AX8"/>
  <c r="AY8"/>
  <c r="AZ8"/>
  <c r="BA8"/>
  <c r="BB8"/>
  <c r="BC8"/>
  <c r="BE8"/>
  <c r="AX9"/>
  <c r="AY9"/>
  <c r="AZ9"/>
  <c r="BA9"/>
  <c r="BB9"/>
  <c r="BC9"/>
  <c r="BE9"/>
  <c r="AX10"/>
  <c r="AY10"/>
  <c r="AZ10"/>
  <c r="BA10"/>
  <c r="BB10"/>
  <c r="BC10"/>
  <c r="BE10"/>
  <c r="AX11"/>
  <c r="AY11"/>
  <c r="AZ11"/>
  <c r="BA11"/>
  <c r="BB11"/>
  <c r="BC11"/>
  <c r="AX12"/>
  <c r="AY12"/>
  <c r="AZ12"/>
  <c r="BA12"/>
  <c r="BB12"/>
  <c r="BC12"/>
  <c r="AX13"/>
  <c r="AY13"/>
  <c r="AZ13"/>
  <c r="BA13"/>
  <c r="BB13"/>
  <c r="BC13"/>
  <c r="AX14"/>
  <c r="AY14"/>
  <c r="AZ14"/>
  <c r="BA14"/>
  <c r="BB14"/>
  <c r="BC14"/>
  <c r="AX15"/>
  <c r="AY15"/>
  <c r="AZ15"/>
  <c r="BA15"/>
  <c r="BB15"/>
  <c r="BC15"/>
  <c r="AX16"/>
  <c r="AY16"/>
  <c r="AZ16"/>
  <c r="BA16"/>
  <c r="BB16"/>
  <c r="BC16"/>
  <c r="AX17"/>
  <c r="AY17"/>
  <c r="AZ17"/>
  <c r="BA17"/>
  <c r="BB17"/>
  <c r="BC17"/>
  <c r="AX18"/>
  <c r="AY18"/>
  <c r="AZ18"/>
  <c r="BA18"/>
  <c r="BB18"/>
  <c r="BC18"/>
  <c r="AX19"/>
  <c r="AY19"/>
  <c r="AZ19"/>
  <c r="BA19"/>
  <c r="BB19"/>
  <c r="BC19"/>
  <c r="AX20"/>
  <c r="AY20"/>
  <c r="AZ20"/>
  <c r="BA20"/>
  <c r="BB20"/>
  <c r="BC20"/>
  <c r="BJ20"/>
  <c r="AX21"/>
  <c r="AY21"/>
  <c r="AZ21"/>
  <c r="BA21"/>
  <c r="BB21"/>
  <c r="BC21"/>
  <c r="AY22"/>
  <c r="AZ22"/>
  <c r="BA22"/>
  <c r="BB22"/>
  <c r="BC22"/>
  <c r="AZ23"/>
  <c r="AZ23" a="1"/>
  <c r="BA23"/>
  <c r="BA23" a="1"/>
  <c r="BD24"/>
  <c r="AX25"/>
  <c r="AZ25"/>
  <c r="BA25"/>
  <c r="BB25"/>
  <c r="BD25"/>
  <c r="AX26"/>
  <c r="AZ26"/>
  <c r="BA26"/>
  <c r="BB26"/>
  <c r="BD26"/>
  <c r="AX27"/>
  <c r="AZ27"/>
  <c r="BA27"/>
  <c r="BB27"/>
  <c r="BD27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AX28"/>
  <c r="AZ28"/>
  <c r="BA28"/>
  <c r="BB28"/>
  <c r="BD28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AX29"/>
  <c r="AZ29"/>
  <c r="BA29"/>
  <c r="BB29"/>
  <c r="BD29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AX30"/>
  <c r="AZ30"/>
  <c r="BA30"/>
  <c r="BB30"/>
  <c r="BD30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AX31"/>
  <c r="AZ31"/>
  <c r="BA31"/>
  <c r="BB31"/>
  <c r="BD31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AX32"/>
  <c r="AZ32"/>
  <c r="BA32"/>
  <c r="BB32"/>
  <c r="BD32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AX33"/>
  <c r="AZ33"/>
  <c r="BA33"/>
  <c r="BB33"/>
  <c r="BD33"/>
  <c r="A34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AX34"/>
  <c r="AZ34"/>
  <c r="BA34"/>
  <c r="BB34"/>
  <c r="BD34"/>
  <c r="BG34"/>
  <c r="BH34"/>
  <c r="T47"/>
  <c r="T64"/>
  <c r="U64"/>
  <c r="BH39"/>
  <c r="BI40"/>
  <c r="BA35"/>
  <c r="BB35"/>
  <c r="BA36"/>
  <c r="BB36"/>
  <c r="BA37"/>
  <c r="BB37"/>
  <c r="BA38"/>
  <c r="BB38"/>
  <c r="BA39"/>
  <c r="BB39"/>
  <c r="BB40"/>
  <c r="BD35"/>
  <c r="BD36"/>
  <c r="BD37"/>
  <c r="BD38"/>
  <c r="BD39"/>
  <c r="BD40"/>
  <c r="BB42"/>
  <c r="BJ34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AX35"/>
  <c r="AZ35"/>
  <c r="BG35"/>
  <c r="BH35"/>
  <c r="BJ35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AX36"/>
  <c r="AZ36"/>
  <c r="BG36"/>
  <c r="BH36"/>
  <c r="BJ36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AX37"/>
  <c r="AZ37"/>
  <c r="BG37"/>
  <c r="BH37"/>
  <c r="BJ37"/>
  <c r="AZ38"/>
  <c r="BG38"/>
  <c r="BH38"/>
  <c r="BJ38"/>
  <c r="AX39"/>
  <c r="AZ39"/>
  <c r="BG39"/>
  <c r="BJ39"/>
  <c r="T52"/>
  <c r="T69"/>
  <c r="BL39"/>
  <c r="AZ40"/>
  <c r="BG40"/>
  <c r="BH40"/>
  <c r="BJ40"/>
  <c r="D41"/>
  <c r="E41"/>
  <c r="F41"/>
  <c r="G41"/>
  <c r="H41"/>
  <c r="I41"/>
  <c r="J41"/>
  <c r="K41"/>
  <c r="L41"/>
  <c r="M41"/>
  <c r="N41"/>
  <c r="O41"/>
  <c r="P41"/>
  <c r="Q41"/>
  <c r="R41"/>
  <c r="S41"/>
  <c r="T41"/>
  <c r="BB41"/>
  <c r="AW43"/>
  <c r="R45"/>
  <c r="J47"/>
  <c r="AF48"/>
  <c r="AG48"/>
  <c r="AH48"/>
  <c r="AI48"/>
  <c r="AJ48"/>
  <c r="AK48"/>
  <c r="AL48"/>
  <c r="AN48"/>
  <c r="BK49"/>
  <c r="AO48"/>
  <c r="AQ48"/>
  <c r="AF49"/>
  <c r="AG49"/>
  <c r="AH49"/>
  <c r="AI49"/>
  <c r="AJ49"/>
  <c r="AK49"/>
  <c r="AL49"/>
  <c r="AN49"/>
  <c r="AO49"/>
  <c r="AX49"/>
  <c r="AY49"/>
  <c r="AZ49"/>
  <c r="BA49"/>
  <c r="BB49"/>
  <c r="BC49"/>
  <c r="BD49"/>
  <c r="BE49"/>
  <c r="BF49"/>
  <c r="BG49"/>
  <c r="BH49"/>
  <c r="BJ49"/>
  <c r="BL49"/>
  <c r="AF50"/>
  <c r="AG50"/>
  <c r="AH50"/>
  <c r="AI50"/>
  <c r="AJ50"/>
  <c r="AK50"/>
  <c r="AL50"/>
  <c r="AN50"/>
  <c r="BK50"/>
  <c r="AO50"/>
  <c r="AX50"/>
  <c r="AY50"/>
  <c r="AZ50"/>
  <c r="BA50"/>
  <c r="BB50"/>
  <c r="BC50"/>
  <c r="BD50"/>
  <c r="BE50"/>
  <c r="BF50"/>
  <c r="BG50"/>
  <c r="BH50"/>
  <c r="BJ50"/>
  <c r="BL50"/>
  <c r="AF51"/>
  <c r="AG51"/>
  <c r="AH51"/>
  <c r="AI51"/>
  <c r="AJ51"/>
  <c r="AK51"/>
  <c r="AL51"/>
  <c r="AN51"/>
  <c r="BK51"/>
  <c r="AO51"/>
  <c r="AX51"/>
  <c r="AY51"/>
  <c r="AZ51"/>
  <c r="BA51"/>
  <c r="BB51"/>
  <c r="BC51"/>
  <c r="BD51"/>
  <c r="BE51"/>
  <c r="BF51"/>
  <c r="BG51"/>
  <c r="BH51"/>
  <c r="BJ51"/>
  <c r="BL51"/>
  <c r="D52"/>
  <c r="E52"/>
  <c r="F52"/>
  <c r="G52"/>
  <c r="H52"/>
  <c r="I52"/>
  <c r="J52"/>
  <c r="K52"/>
  <c r="L52"/>
  <c r="M52"/>
  <c r="N52"/>
  <c r="O52"/>
  <c r="P52"/>
  <c r="Q52"/>
  <c r="R52"/>
  <c r="S52"/>
  <c r="AF52"/>
  <c r="AG52"/>
  <c r="AH52"/>
  <c r="AI52"/>
  <c r="AJ52"/>
  <c r="AK52"/>
  <c r="AL52"/>
  <c r="AN52"/>
  <c r="BK52"/>
  <c r="AO52"/>
  <c r="AX52"/>
  <c r="AY52"/>
  <c r="AZ52"/>
  <c r="BA52"/>
  <c r="BB52"/>
  <c r="BC52"/>
  <c r="BD52"/>
  <c r="BE52"/>
  <c r="BF52"/>
  <c r="BG52"/>
  <c r="BH52"/>
  <c r="BJ52"/>
  <c r="BL52"/>
  <c r="D53"/>
  <c r="E53"/>
  <c r="F53"/>
  <c r="G53"/>
  <c r="H53"/>
  <c r="I53"/>
  <c r="J53"/>
  <c r="K53"/>
  <c r="L53"/>
  <c r="M53"/>
  <c r="N53"/>
  <c r="O53"/>
  <c r="P53"/>
  <c r="Q53"/>
  <c r="R53"/>
  <c r="S53"/>
  <c r="T53"/>
  <c r="AF53"/>
  <c r="AG53"/>
  <c r="AH53"/>
  <c r="AI53"/>
  <c r="AJ53"/>
  <c r="AK53"/>
  <c r="AL53"/>
  <c r="AN53"/>
  <c r="BK56"/>
  <c r="AO53"/>
  <c r="AX53"/>
  <c r="AY53"/>
  <c r="AZ53"/>
  <c r="BA53"/>
  <c r="BB53"/>
  <c r="BC53"/>
  <c r="BD53"/>
  <c r="BE53"/>
  <c r="BF53"/>
  <c r="BG53"/>
  <c r="BH53"/>
  <c r="BJ53"/>
  <c r="BK53"/>
  <c r="BL53"/>
  <c r="N54"/>
  <c r="AF54"/>
  <c r="AG54"/>
  <c r="AH54"/>
  <c r="AI54"/>
  <c r="AJ54"/>
  <c r="AK54"/>
  <c r="AL54"/>
  <c r="AN54"/>
  <c r="AO54"/>
  <c r="AX54"/>
  <c r="AY54"/>
  <c r="AZ54"/>
  <c r="BA54"/>
  <c r="BB54"/>
  <c r="BC54"/>
  <c r="BD54"/>
  <c r="BE54"/>
  <c r="BF54"/>
  <c r="BG54"/>
  <c r="BH54"/>
  <c r="BJ54"/>
  <c r="BK54"/>
  <c r="BL54"/>
  <c r="N55"/>
  <c r="AF55"/>
  <c r="AG55"/>
  <c r="AH55"/>
  <c r="AI55"/>
  <c r="AJ55"/>
  <c r="AK55"/>
  <c r="AL55"/>
  <c r="AN55"/>
  <c r="AO55"/>
  <c r="AX55"/>
  <c r="AY55"/>
  <c r="AZ55"/>
  <c r="BA55"/>
  <c r="BB55"/>
  <c r="BC55"/>
  <c r="BD55"/>
  <c r="BE55"/>
  <c r="BF55"/>
  <c r="BG55"/>
  <c r="BH55"/>
  <c r="BJ55"/>
  <c r="BK55"/>
  <c r="BL55"/>
  <c r="AF56"/>
  <c r="AG56"/>
  <c r="AH56"/>
  <c r="AI56"/>
  <c r="AJ56"/>
  <c r="AK56"/>
  <c r="AL56"/>
  <c r="AN56"/>
  <c r="AO56"/>
  <c r="AX56"/>
  <c r="AY56"/>
  <c r="AZ56"/>
  <c r="BA56"/>
  <c r="BB56"/>
  <c r="BC56"/>
  <c r="BD56"/>
  <c r="BE56"/>
  <c r="BF56"/>
  <c r="BG56"/>
  <c r="BH56"/>
  <c r="BJ56"/>
  <c r="BL56"/>
  <c r="AF57"/>
  <c r="AG57"/>
  <c r="AH57"/>
  <c r="AI57"/>
  <c r="AJ57"/>
  <c r="AK57"/>
  <c r="AL57"/>
  <c r="AN57"/>
  <c r="AO57"/>
  <c r="AX57"/>
  <c r="AY57"/>
  <c r="AZ57"/>
  <c r="BA57"/>
  <c r="BB57"/>
  <c r="BC57"/>
  <c r="BD57"/>
  <c r="BE57"/>
  <c r="BF57"/>
  <c r="BG57"/>
  <c r="BH57"/>
  <c r="BJ57"/>
  <c r="BK57"/>
  <c r="BL57"/>
  <c r="D58"/>
  <c r="E58"/>
  <c r="F58"/>
  <c r="G58"/>
  <c r="H58"/>
  <c r="I58"/>
  <c r="J58"/>
  <c r="K58"/>
  <c r="L58"/>
  <c r="M58"/>
  <c r="N58"/>
  <c r="O58"/>
  <c r="P58"/>
  <c r="Q58"/>
  <c r="R58"/>
  <c r="S58"/>
  <c r="T58"/>
  <c r="AF58"/>
  <c r="AG58"/>
  <c r="AH58"/>
  <c r="AI58"/>
  <c r="AJ58"/>
  <c r="AK58"/>
  <c r="AL58"/>
  <c r="AN58"/>
  <c r="AO58"/>
  <c r="AX58"/>
  <c r="AY58"/>
  <c r="AZ58"/>
  <c r="BA58"/>
  <c r="BB58"/>
  <c r="BC58"/>
  <c r="BD58"/>
  <c r="BE58"/>
  <c r="BF58"/>
  <c r="BG58"/>
  <c r="BH58"/>
  <c r="BJ58"/>
  <c r="BK58"/>
  <c r="BL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AF59"/>
  <c r="AG59"/>
  <c r="AH59"/>
  <c r="AI59"/>
  <c r="AJ59"/>
  <c r="AK59"/>
  <c r="AL59"/>
  <c r="AN59"/>
  <c r="AO59"/>
  <c r="AX59"/>
  <c r="AY59"/>
  <c r="AZ59"/>
  <c r="BA59"/>
  <c r="BB59"/>
  <c r="BC59"/>
  <c r="BD59"/>
  <c r="BE59"/>
  <c r="BF59"/>
  <c r="BG59"/>
  <c r="BH59"/>
  <c r="BJ59"/>
  <c r="BK59"/>
  <c r="BL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AF60"/>
  <c r="AG60"/>
  <c r="AH60"/>
  <c r="AI60"/>
  <c r="AJ60"/>
  <c r="AK60"/>
  <c r="AL60"/>
  <c r="AN60"/>
  <c r="AO60"/>
  <c r="AX60"/>
  <c r="AY60"/>
  <c r="AZ60"/>
  <c r="BA60"/>
  <c r="BB60"/>
  <c r="BC60"/>
  <c r="BD60"/>
  <c r="BE60"/>
  <c r="BF60"/>
  <c r="BG60"/>
  <c r="BH60"/>
  <c r="BJ60"/>
  <c r="BK60"/>
  <c r="BL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AF61"/>
  <c r="AG61"/>
  <c r="AH61"/>
  <c r="AI61"/>
  <c r="AJ61"/>
  <c r="AK61"/>
  <c r="AL61"/>
  <c r="AN61"/>
  <c r="AO61"/>
  <c r="AX61"/>
  <c r="AY61"/>
  <c r="AZ61"/>
  <c r="BA61"/>
  <c r="BB61"/>
  <c r="BC61"/>
  <c r="BD61"/>
  <c r="BE61"/>
  <c r="BF61"/>
  <c r="BG61"/>
  <c r="BH61"/>
  <c r="BJ61"/>
  <c r="BK61"/>
  <c r="BL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AF62"/>
  <c r="AG62"/>
  <c r="AH62"/>
  <c r="AI62"/>
  <c r="AJ62"/>
  <c r="AK62"/>
  <c r="AL62"/>
  <c r="AN62"/>
  <c r="AO62"/>
  <c r="AX62"/>
  <c r="AY62"/>
  <c r="AZ62"/>
  <c r="BA62"/>
  <c r="BB62"/>
  <c r="BC62"/>
  <c r="BD62"/>
  <c r="BE62"/>
  <c r="BF62"/>
  <c r="BG62"/>
  <c r="BH62"/>
  <c r="BJ62"/>
  <c r="BK62"/>
  <c r="L100" i="308"/>
  <c r="L106"/>
  <c r="P117"/>
  <c r="A79"/>
  <c r="A80"/>
  <c r="H78"/>
  <c r="H80"/>
  <c r="P126"/>
  <c r="P127"/>
  <c r="F75" i="317"/>
  <c r="F69"/>
  <c r="F72"/>
  <c r="BL62" i="307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AF63"/>
  <c r="AG63"/>
  <c r="AH63"/>
  <c r="AI63"/>
  <c r="AJ63"/>
  <c r="AK63"/>
  <c r="AL63"/>
  <c r="AN63"/>
  <c r="AO63"/>
  <c r="AX63"/>
  <c r="AY63"/>
  <c r="AZ63"/>
  <c r="BA63"/>
  <c r="BB63"/>
  <c r="BC63"/>
  <c r="BD63"/>
  <c r="BE63"/>
  <c r="BF63"/>
  <c r="BG63"/>
  <c r="BH63"/>
  <c r="BJ63"/>
  <c r="BK63"/>
  <c r="BL63"/>
  <c r="A64"/>
  <c r="B64"/>
  <c r="C64"/>
  <c r="D64"/>
  <c r="E64"/>
  <c r="F64"/>
  <c r="G64"/>
  <c r="H64"/>
  <c r="I64"/>
  <c r="J64"/>
  <c r="K64"/>
  <c r="L64"/>
  <c r="M64"/>
  <c r="N64"/>
  <c r="O64"/>
  <c r="P64"/>
  <c r="Q64"/>
  <c r="R64"/>
  <c r="S64"/>
  <c r="U69"/>
  <c r="U70"/>
  <c r="V64"/>
  <c r="AF64"/>
  <c r="AG64"/>
  <c r="AH64"/>
  <c r="AI64"/>
  <c r="AJ64"/>
  <c r="AK64"/>
  <c r="AL64"/>
  <c r="AN64"/>
  <c r="AO64"/>
  <c r="AY64"/>
  <c r="BA64"/>
  <c r="BC64"/>
  <c r="BE64"/>
  <c r="BJ64"/>
  <c r="BK64"/>
  <c r="A65"/>
  <c r="B65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AF65"/>
  <c r="AG65"/>
  <c r="AH65"/>
  <c r="AI65"/>
  <c r="AJ65"/>
  <c r="AK65"/>
  <c r="AL65"/>
  <c r="AN65"/>
  <c r="AO65"/>
  <c r="AY65"/>
  <c r="BA65"/>
  <c r="BC65"/>
  <c r="BE65"/>
  <c r="A66"/>
  <c r="B66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AF66"/>
  <c r="AG66"/>
  <c r="AH66"/>
  <c r="AI66"/>
  <c r="AJ66"/>
  <c r="AK66"/>
  <c r="AL66"/>
  <c r="AN66"/>
  <c r="AO66"/>
  <c r="AY66"/>
  <c r="BA66"/>
  <c r="BC66"/>
  <c r="BE66"/>
  <c r="A67"/>
  <c r="B67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AF67"/>
  <c r="AG67"/>
  <c r="AH67"/>
  <c r="AI67"/>
  <c r="AJ67"/>
  <c r="AK67"/>
  <c r="AL67"/>
  <c r="AN67"/>
  <c r="AO67"/>
  <c r="AY67"/>
  <c r="BA67"/>
  <c r="BC67"/>
  <c r="BE67"/>
  <c r="A68"/>
  <c r="B68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AF68"/>
  <c r="AG68"/>
  <c r="AH68"/>
  <c r="AI68"/>
  <c r="AJ68"/>
  <c r="AK68"/>
  <c r="AL68"/>
  <c r="AN68"/>
  <c r="AO68"/>
  <c r="AY68"/>
  <c r="AZ68"/>
  <c r="BA68"/>
  <c r="BB68"/>
  <c r="BC68"/>
  <c r="BD68"/>
  <c r="BE68"/>
  <c r="BF68"/>
  <c r="BG68"/>
  <c r="A69"/>
  <c r="B69"/>
  <c r="C69"/>
  <c r="D69"/>
  <c r="E69"/>
  <c r="F69"/>
  <c r="G69"/>
  <c r="H69"/>
  <c r="I69"/>
  <c r="J69"/>
  <c r="K69"/>
  <c r="L69"/>
  <c r="M69"/>
  <c r="N69"/>
  <c r="O69"/>
  <c r="P69"/>
  <c r="Q69"/>
  <c r="R69"/>
  <c r="S69"/>
  <c r="V69"/>
  <c r="AF69"/>
  <c r="AG69"/>
  <c r="AH69"/>
  <c r="AI69"/>
  <c r="AJ69"/>
  <c r="AK69"/>
  <c r="AL69"/>
  <c r="AN69"/>
  <c r="AO69"/>
  <c r="AY69"/>
  <c r="AZ69"/>
  <c r="BA69"/>
  <c r="BB69"/>
  <c r="BC69"/>
  <c r="BD69"/>
  <c r="BE69"/>
  <c r="BF69"/>
  <c r="BG69"/>
  <c r="D70"/>
  <c r="E70"/>
  <c r="F70"/>
  <c r="G70"/>
  <c r="H70"/>
  <c r="I70"/>
  <c r="J70"/>
  <c r="K70"/>
  <c r="L70"/>
  <c r="M70"/>
  <c r="N70"/>
  <c r="O70"/>
  <c r="P70"/>
  <c r="Q70"/>
  <c r="R70"/>
  <c r="S70"/>
  <c r="T70"/>
  <c r="AF70"/>
  <c r="AG70"/>
  <c r="AH70"/>
  <c r="AI70"/>
  <c r="AJ70"/>
  <c r="AK70"/>
  <c r="AL70"/>
  <c r="AN70"/>
  <c r="AO70"/>
  <c r="BA70"/>
  <c r="BE70"/>
  <c r="D71"/>
  <c r="F71"/>
  <c r="N71"/>
  <c r="U71"/>
  <c r="AF71"/>
  <c r="AG71"/>
  <c r="AH71"/>
  <c r="AI71"/>
  <c r="AJ71"/>
  <c r="AK71"/>
  <c r="AL71"/>
  <c r="AN71"/>
  <c r="AO71"/>
  <c r="D72"/>
  <c r="F72"/>
  <c r="N72"/>
  <c r="U72"/>
  <c r="AF72"/>
  <c r="AG72"/>
  <c r="AH72"/>
  <c r="AI72"/>
  <c r="AJ72"/>
  <c r="AK72"/>
  <c r="AL72"/>
  <c r="AN72"/>
  <c r="AO72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AF73"/>
  <c r="AG73"/>
  <c r="AH73"/>
  <c r="AI73"/>
  <c r="AJ73"/>
  <c r="AK73"/>
  <c r="AL73"/>
  <c r="AN73"/>
  <c r="AO73"/>
  <c r="AF74"/>
  <c r="AG74"/>
  <c r="AH74"/>
  <c r="AI74"/>
  <c r="AJ74"/>
  <c r="AK74"/>
  <c r="AL74"/>
  <c r="AN74"/>
  <c r="AO74"/>
  <c r="AF75"/>
  <c r="AG75"/>
  <c r="AH75"/>
  <c r="AI75"/>
  <c r="AJ75"/>
  <c r="AK75"/>
  <c r="AL75"/>
  <c r="AN75"/>
  <c r="AO75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AF76"/>
  <c r="AG76"/>
  <c r="AH76"/>
  <c r="AI76"/>
  <c r="AJ76"/>
  <c r="AK76"/>
  <c r="AL76"/>
  <c r="AN76"/>
  <c r="AO76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AJ77"/>
  <c r="AL77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C3" i="308"/>
  <c r="C4"/>
  <c r="W4"/>
  <c r="D9"/>
  <c r="D10"/>
  <c r="D11"/>
  <c r="D12"/>
  <c r="D13"/>
  <c r="D14"/>
  <c r="D15"/>
  <c r="D16"/>
  <c r="D17"/>
  <c r="D18"/>
  <c r="D19"/>
  <c r="D20"/>
  <c r="D21"/>
  <c r="D22"/>
  <c r="N23"/>
  <c r="N22"/>
  <c r="D23"/>
  <c r="D24"/>
  <c r="N24"/>
  <c r="D25"/>
  <c r="N25"/>
  <c r="D26"/>
  <c r="H27"/>
  <c r="I27"/>
  <c r="J27"/>
  <c r="K27"/>
  <c r="M27"/>
  <c r="N27"/>
  <c r="O27"/>
  <c r="P27"/>
  <c r="S27"/>
  <c r="T27"/>
  <c r="X27"/>
  <c r="D28" a="1"/>
  <c r="D28"/>
  <c r="E28"/>
  <c r="F28"/>
  <c r="G28"/>
  <c r="H28"/>
  <c r="I28"/>
  <c r="J28"/>
  <c r="K28"/>
  <c r="L28"/>
  <c r="M28"/>
  <c r="N28"/>
  <c r="O28"/>
  <c r="P28"/>
  <c r="Q28" a="1"/>
  <c r="Q28"/>
  <c r="R28"/>
  <c r="S28"/>
  <c r="U28"/>
  <c r="F29"/>
  <c r="G29"/>
  <c r="H29"/>
  <c r="I29"/>
  <c r="J29"/>
  <c r="K29"/>
  <c r="L29"/>
  <c r="M29"/>
  <c r="N29"/>
  <c r="O29"/>
  <c r="P29"/>
  <c r="T29"/>
  <c r="C31"/>
  <c r="U49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B58"/>
  <c r="F58"/>
  <c r="G58"/>
  <c r="H58"/>
  <c r="J58"/>
  <c r="K58"/>
  <c r="M58"/>
  <c r="N58"/>
  <c r="O58"/>
  <c r="R58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A59"/>
  <c r="H59"/>
  <c r="F59"/>
  <c r="G59"/>
  <c r="J59"/>
  <c r="N59"/>
  <c r="A60"/>
  <c r="H60"/>
  <c r="F60"/>
  <c r="G60"/>
  <c r="J60"/>
  <c r="N60"/>
  <c r="A61"/>
  <c r="H61"/>
  <c r="F61"/>
  <c r="G61"/>
  <c r="J61"/>
  <c r="N61"/>
  <c r="A57" i="309"/>
  <c r="C57" a="1"/>
  <c r="U47"/>
  <c r="S57"/>
  <c r="T57"/>
  <c r="M59" i="308"/>
  <c r="K59"/>
  <c r="O59"/>
  <c r="M60"/>
  <c r="K60"/>
  <c r="O60"/>
  <c r="M61"/>
  <c r="K61"/>
  <c r="O61"/>
  <c r="G62"/>
  <c r="F62"/>
  <c r="J62"/>
  <c r="N62"/>
  <c r="U58"/>
  <c r="I62"/>
  <c r="K62"/>
  <c r="O62"/>
  <c r="V58"/>
  <c r="AB58"/>
  <c r="R59"/>
  <c r="U59"/>
  <c r="V59"/>
  <c r="Y59"/>
  <c r="AB59"/>
  <c r="R60"/>
  <c r="U60"/>
  <c r="V60"/>
  <c r="AB60"/>
  <c r="R61"/>
  <c r="U61"/>
  <c r="V61"/>
  <c r="AB61"/>
  <c r="M62"/>
  <c r="R62"/>
  <c r="U62"/>
  <c r="V62"/>
  <c r="A63"/>
  <c r="F63"/>
  <c r="G63"/>
  <c r="H63"/>
  <c r="J63"/>
  <c r="K63"/>
  <c r="M63"/>
  <c r="N63"/>
  <c r="O63"/>
  <c r="B80"/>
  <c r="B79"/>
  <c r="B78"/>
  <c r="B77"/>
  <c r="M84"/>
  <c r="R63"/>
  <c r="A64"/>
  <c r="H64"/>
  <c r="F64"/>
  <c r="G64"/>
  <c r="J64"/>
  <c r="N64"/>
  <c r="A65"/>
  <c r="H65"/>
  <c r="F65"/>
  <c r="G65"/>
  <c r="J65"/>
  <c r="N65"/>
  <c r="A66"/>
  <c r="H66"/>
  <c r="F66"/>
  <c r="G66"/>
  <c r="J66"/>
  <c r="N66"/>
  <c r="A58" i="309"/>
  <c r="C58" a="1"/>
  <c r="S58"/>
  <c r="T58"/>
  <c r="M64" i="308"/>
  <c r="K64"/>
  <c r="O64"/>
  <c r="M65"/>
  <c r="K65"/>
  <c r="O65"/>
  <c r="M66"/>
  <c r="K66"/>
  <c r="O66"/>
  <c r="G67"/>
  <c r="F67"/>
  <c r="J67"/>
  <c r="N67"/>
  <c r="U63"/>
  <c r="I67"/>
  <c r="K67"/>
  <c r="O67"/>
  <c r="V63"/>
  <c r="AB63"/>
  <c r="M89"/>
  <c r="R64"/>
  <c r="U64"/>
  <c r="V64"/>
  <c r="AB64"/>
  <c r="R65"/>
  <c r="U65"/>
  <c r="V65"/>
  <c r="R66"/>
  <c r="U66"/>
  <c r="V66"/>
  <c r="AB66"/>
  <c r="A67"/>
  <c r="M67"/>
  <c r="R67"/>
  <c r="U67"/>
  <c r="V67"/>
  <c r="AB67"/>
  <c r="A68"/>
  <c r="F68"/>
  <c r="G68"/>
  <c r="H68"/>
  <c r="J68"/>
  <c r="K68"/>
  <c r="M68"/>
  <c r="N68"/>
  <c r="O68"/>
  <c r="R68"/>
  <c r="U68"/>
  <c r="V68"/>
  <c r="Y68"/>
  <c r="AB68"/>
  <c r="A69"/>
  <c r="F69"/>
  <c r="G69"/>
  <c r="H69"/>
  <c r="J69"/>
  <c r="K69"/>
  <c r="M69"/>
  <c r="N69"/>
  <c r="O69"/>
  <c r="R69"/>
  <c r="A70"/>
  <c r="H70"/>
  <c r="F70"/>
  <c r="G70"/>
  <c r="J70"/>
  <c r="N70"/>
  <c r="A59" i="309"/>
  <c r="C59" a="1"/>
  <c r="S59"/>
  <c r="T59"/>
  <c r="M70" i="308"/>
  <c r="K70"/>
  <c r="O70"/>
  <c r="G71"/>
  <c r="F71"/>
  <c r="J71"/>
  <c r="N71"/>
  <c r="U69"/>
  <c r="I71"/>
  <c r="K71"/>
  <c r="O71"/>
  <c r="V69"/>
  <c r="Y69"/>
  <c r="AB69"/>
  <c r="M85"/>
  <c r="R70"/>
  <c r="U70"/>
  <c r="V70"/>
  <c r="Y70"/>
  <c r="AB70"/>
  <c r="A71"/>
  <c r="M71"/>
  <c r="M90"/>
  <c r="R71"/>
  <c r="U71"/>
  <c r="V71"/>
  <c r="Y71"/>
  <c r="AB71"/>
  <c r="A72"/>
  <c r="F72"/>
  <c r="G72"/>
  <c r="H72"/>
  <c r="J72"/>
  <c r="K72"/>
  <c r="M72"/>
  <c r="N72"/>
  <c r="O72"/>
  <c r="R72"/>
  <c r="A73"/>
  <c r="H73"/>
  <c r="F73"/>
  <c r="G73"/>
  <c r="J73"/>
  <c r="N73"/>
  <c r="A74"/>
  <c r="H74"/>
  <c r="F74"/>
  <c r="G74"/>
  <c r="J74"/>
  <c r="N74"/>
  <c r="A75"/>
  <c r="H75"/>
  <c r="K73"/>
  <c r="O73"/>
  <c r="K74"/>
  <c r="O74"/>
  <c r="AB72"/>
  <c r="M73"/>
  <c r="R73"/>
  <c r="AB73"/>
  <c r="M74"/>
  <c r="R74"/>
  <c r="AB74"/>
  <c r="G75"/>
  <c r="R75"/>
  <c r="A76"/>
  <c r="F76"/>
  <c r="G76"/>
  <c r="H76"/>
  <c r="J76"/>
  <c r="K76"/>
  <c r="M76"/>
  <c r="N76"/>
  <c r="O76"/>
  <c r="M86"/>
  <c r="R76"/>
  <c r="AB76"/>
  <c r="A60" i="309"/>
  <c r="C60" a="1"/>
  <c r="S60"/>
  <c r="T60"/>
  <c r="M91" i="308"/>
  <c r="R77"/>
  <c r="L123"/>
  <c r="F78"/>
  <c r="G78"/>
  <c r="I78"/>
  <c r="J78"/>
  <c r="K78"/>
  <c r="M78"/>
  <c r="N78"/>
  <c r="O78"/>
  <c r="R78"/>
  <c r="H79"/>
  <c r="L124"/>
  <c r="F79"/>
  <c r="G79"/>
  <c r="J79"/>
  <c r="N79"/>
  <c r="L125"/>
  <c r="F80"/>
  <c r="G80"/>
  <c r="I80"/>
  <c r="J80"/>
  <c r="N80"/>
  <c r="B83"/>
  <c r="B82"/>
  <c r="B81"/>
  <c r="A81"/>
  <c r="H81"/>
  <c r="L126"/>
  <c r="F81"/>
  <c r="G81"/>
  <c r="I81"/>
  <c r="J81"/>
  <c r="N81"/>
  <c r="A61" i="309"/>
  <c r="C61" a="1"/>
  <c r="S61"/>
  <c r="U61"/>
  <c r="M79" i="308"/>
  <c r="K79"/>
  <c r="O79"/>
  <c r="M80"/>
  <c r="K80"/>
  <c r="O80"/>
  <c r="M81"/>
  <c r="K81"/>
  <c r="O81"/>
  <c r="L128"/>
  <c r="F83"/>
  <c r="L133"/>
  <c r="G83"/>
  <c r="G82"/>
  <c r="F82"/>
  <c r="J82"/>
  <c r="N82"/>
  <c r="J83"/>
  <c r="N83"/>
  <c r="U78"/>
  <c r="I82"/>
  <c r="K82"/>
  <c r="O82"/>
  <c r="K83"/>
  <c r="O83"/>
  <c r="V78"/>
  <c r="Y78"/>
  <c r="AB78"/>
  <c r="R79"/>
  <c r="U79"/>
  <c r="V79"/>
  <c r="Y79"/>
  <c r="AB79"/>
  <c r="R80"/>
  <c r="U80"/>
  <c r="V80"/>
  <c r="Y80"/>
  <c r="AB80"/>
  <c r="U81"/>
  <c r="V81"/>
  <c r="M82"/>
  <c r="R82"/>
  <c r="U82"/>
  <c r="V82"/>
  <c r="AB82"/>
  <c r="M83"/>
  <c r="U83"/>
  <c r="V83"/>
  <c r="R86"/>
  <c r="R87"/>
  <c r="M88"/>
  <c r="R88"/>
  <c r="U88"/>
  <c r="W88"/>
  <c r="R89"/>
  <c r="U89"/>
  <c r="W89"/>
  <c r="R90"/>
  <c r="U90"/>
  <c r="W90"/>
  <c r="R91"/>
  <c r="U91"/>
  <c r="W91"/>
  <c r="M93"/>
  <c r="R92"/>
  <c r="U92"/>
  <c r="V92"/>
  <c r="W92"/>
  <c r="B100"/>
  <c r="L102"/>
  <c r="T102"/>
  <c r="L121"/>
  <c r="U102"/>
  <c r="L103"/>
  <c r="T103"/>
  <c r="L122"/>
  <c r="U103"/>
  <c r="L104"/>
  <c r="L105"/>
  <c r="P105"/>
  <c r="P106"/>
  <c r="L113"/>
  <c r="T106"/>
  <c r="U106"/>
  <c r="G107"/>
  <c r="L107"/>
  <c r="L112"/>
  <c r="T107"/>
  <c r="U107"/>
  <c r="L108"/>
  <c r="P108"/>
  <c r="L116"/>
  <c r="L118"/>
  <c r="T108"/>
  <c r="U108"/>
  <c r="L109"/>
  <c r="L117"/>
  <c r="L119"/>
  <c r="T109"/>
  <c r="U109"/>
  <c r="L110"/>
  <c r="L115"/>
  <c r="T110"/>
  <c r="U110"/>
  <c r="L111"/>
  <c r="L114"/>
  <c r="T111"/>
  <c r="U111"/>
  <c r="T112"/>
  <c r="U112"/>
  <c r="T113"/>
  <c r="U113"/>
  <c r="T114"/>
  <c r="U114"/>
  <c r="T115"/>
  <c r="U115"/>
  <c r="P118"/>
  <c r="T118"/>
  <c r="L120"/>
  <c r="T119"/>
  <c r="T120"/>
  <c r="T121"/>
  <c r="T122"/>
  <c r="U118"/>
  <c r="C119"/>
  <c r="P119"/>
  <c r="U119"/>
  <c r="P120"/>
  <c r="U120"/>
  <c r="U121"/>
  <c r="P123"/>
  <c r="L132"/>
  <c r="L127"/>
  <c r="A152" i="309"/>
  <c r="L129" i="308"/>
  <c r="L130"/>
  <c r="L131"/>
  <c r="L134"/>
  <c r="T9" i="30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C57"/>
  <c r="D57"/>
  <c r="E57"/>
  <c r="F57"/>
  <c r="G57"/>
  <c r="H57"/>
  <c r="I57"/>
  <c r="J57"/>
  <c r="K57"/>
  <c r="L57"/>
  <c r="M57"/>
  <c r="N57"/>
  <c r="O57"/>
  <c r="P57"/>
  <c r="Q57"/>
  <c r="R57"/>
  <c r="U57"/>
  <c r="C58"/>
  <c r="D58"/>
  <c r="E58"/>
  <c r="F58"/>
  <c r="G58"/>
  <c r="H58"/>
  <c r="I58"/>
  <c r="J58"/>
  <c r="K58"/>
  <c r="L58"/>
  <c r="M58"/>
  <c r="N58"/>
  <c r="O58"/>
  <c r="P58"/>
  <c r="Q58"/>
  <c r="R58"/>
  <c r="U58"/>
  <c r="C59"/>
  <c r="D59"/>
  <c r="E59"/>
  <c r="F59"/>
  <c r="G59"/>
  <c r="H59"/>
  <c r="I59"/>
  <c r="J59"/>
  <c r="K59"/>
  <c r="L59"/>
  <c r="M59"/>
  <c r="N59"/>
  <c r="O59"/>
  <c r="P59"/>
  <c r="Q59"/>
  <c r="R59"/>
  <c r="U59"/>
  <c r="C60"/>
  <c r="D60"/>
  <c r="E60"/>
  <c r="F60"/>
  <c r="G60"/>
  <c r="H60"/>
  <c r="I60"/>
  <c r="J60"/>
  <c r="K60"/>
  <c r="L60"/>
  <c r="M60"/>
  <c r="N60"/>
  <c r="O60"/>
  <c r="P60"/>
  <c r="Q60"/>
  <c r="R60"/>
  <c r="U60"/>
  <c r="C61"/>
  <c r="D61"/>
  <c r="E61"/>
  <c r="F61"/>
  <c r="G61"/>
  <c r="H61"/>
  <c r="I61"/>
  <c r="J61"/>
  <c r="K61"/>
  <c r="L61"/>
  <c r="M61"/>
  <c r="N61"/>
  <c r="O61"/>
  <c r="P61"/>
  <c r="Q61"/>
  <c r="R61"/>
  <c r="T61"/>
  <c r="A62"/>
  <c r="C62" a="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F67"/>
  <c r="G67"/>
  <c r="K67"/>
  <c r="N67"/>
  <c r="O67"/>
  <c r="P67"/>
  <c r="Q67"/>
  <c r="R67"/>
  <c r="V67"/>
  <c r="F68"/>
  <c r="I68"/>
  <c r="J68"/>
  <c r="N68"/>
  <c r="O68"/>
  <c r="R68"/>
  <c r="F69"/>
  <c r="G69"/>
  <c r="H69"/>
  <c r="I69"/>
  <c r="J69"/>
  <c r="K69"/>
  <c r="N69"/>
  <c r="O69"/>
  <c r="P69"/>
  <c r="R69"/>
  <c r="F70"/>
  <c r="G70"/>
  <c r="H70"/>
  <c r="I70"/>
  <c r="J70"/>
  <c r="K70"/>
  <c r="O70"/>
  <c r="P70"/>
  <c r="R70"/>
  <c r="F71"/>
  <c r="H71"/>
  <c r="I71"/>
  <c r="J71"/>
  <c r="N71"/>
  <c r="O71"/>
  <c r="P71"/>
  <c r="R71"/>
  <c r="F94"/>
  <c r="G94"/>
  <c r="H94"/>
  <c r="I94"/>
  <c r="J94"/>
  <c r="N94"/>
  <c r="O94"/>
  <c r="P94"/>
  <c r="R94"/>
  <c r="F95"/>
  <c r="G95"/>
  <c r="H95"/>
  <c r="I95"/>
  <c r="J95"/>
  <c r="N95"/>
  <c r="O95"/>
  <c r="P95"/>
  <c r="R95"/>
  <c r="F108" i="317"/>
  <c r="X266" i="309"/>
  <c r="A118"/>
  <c r="A119"/>
  <c r="A120"/>
  <c r="A121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C163" a="1"/>
  <c r="A172"/>
  <c r="V172"/>
  <c r="A173"/>
  <c r="V173"/>
  <c r="A174"/>
  <c r="V174"/>
  <c r="A175"/>
  <c r="V175"/>
  <c r="A176"/>
  <c r="V176"/>
  <c r="A177"/>
  <c r="V177"/>
  <c r="A178"/>
  <c r="V178"/>
  <c r="A179"/>
  <c r="V179"/>
  <c r="A180"/>
  <c r="V180"/>
  <c r="A181"/>
  <c r="V181"/>
  <c r="A182"/>
  <c r="V182"/>
  <c r="A183"/>
  <c r="V183"/>
  <c r="A184"/>
  <c r="V184"/>
  <c r="A185"/>
  <c r="V185"/>
  <c r="A186"/>
  <c r="V186"/>
  <c r="A187"/>
  <c r="V187"/>
  <c r="A188"/>
  <c r="V188"/>
  <c r="A189"/>
  <c r="V189"/>
  <c r="A190"/>
  <c r="V190"/>
  <c r="A191"/>
  <c r="V191"/>
  <c r="A192"/>
  <c r="V192"/>
  <c r="A193"/>
  <c r="V193"/>
  <c r="A194"/>
  <c r="V194"/>
  <c r="A195"/>
  <c r="A196"/>
  <c r="V196"/>
  <c r="A197"/>
  <c r="A198"/>
  <c r="A199"/>
  <c r="V200"/>
  <c r="V201"/>
  <c r="V202"/>
  <c r="V203"/>
  <c r="V204"/>
  <c r="V205"/>
  <c r="V206"/>
  <c r="C210"/>
  <c r="D219" a="1"/>
  <c r="D219"/>
  <c r="E219"/>
  <c r="F219"/>
  <c r="G219"/>
  <c r="H219"/>
  <c r="I219"/>
  <c r="J219"/>
  <c r="K219"/>
  <c r="L219"/>
  <c r="M219"/>
  <c r="N219"/>
  <c r="O219"/>
  <c r="P219"/>
  <c r="Q219"/>
  <c r="R219"/>
  <c r="S219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G233"/>
  <c r="AH233"/>
  <c r="AI233"/>
  <c r="AJ233"/>
  <c r="AK233"/>
  <c r="AL237"/>
  <c r="AL238"/>
  <c r="AL239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C251"/>
  <c r="D251"/>
  <c r="E251"/>
  <c r="F251"/>
  <c r="G251"/>
  <c r="H251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C252"/>
  <c r="D252"/>
  <c r="E252"/>
  <c r="F252"/>
  <c r="G252"/>
  <c r="H2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C254"/>
  <c r="D254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C255"/>
  <c r="D255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C256"/>
  <c r="D256"/>
  <c r="E256"/>
  <c r="F256"/>
  <c r="G256"/>
  <c r="H256"/>
  <c r="I256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D257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W261"/>
  <c r="X261"/>
  <c r="W262"/>
  <c r="X262"/>
  <c r="W263"/>
  <c r="X263"/>
  <c r="W264"/>
  <c r="X264"/>
  <c r="W265"/>
  <c r="X265"/>
  <c r="W266"/>
  <c r="W267"/>
  <c r="X267"/>
  <c r="W268"/>
  <c r="X268"/>
  <c r="W269"/>
  <c r="X269"/>
  <c r="W270"/>
  <c r="X270"/>
  <c r="W271"/>
  <c r="X271"/>
  <c r="D1" i="310"/>
  <c r="AY1"/>
  <c r="AZ4"/>
  <c r="AX7"/>
  <c r="AY7"/>
  <c r="AZ7"/>
  <c r="BA7"/>
  <c r="BB7"/>
  <c r="BC7"/>
  <c r="AX8"/>
  <c r="AY8"/>
  <c r="AZ8"/>
  <c r="BA8"/>
  <c r="BB8"/>
  <c r="BC8"/>
  <c r="BE8"/>
  <c r="AX9"/>
  <c r="AY9"/>
  <c r="AZ9"/>
  <c r="BA9"/>
  <c r="BB9"/>
  <c r="BC9"/>
  <c r="BE9"/>
  <c r="AX10"/>
  <c r="AY10"/>
  <c r="AZ10"/>
  <c r="BA10"/>
  <c r="BB10"/>
  <c r="BC10"/>
  <c r="BE10"/>
  <c r="AX11"/>
  <c r="AY11"/>
  <c r="AZ11"/>
  <c r="BA11"/>
  <c r="BB11"/>
  <c r="BC11"/>
  <c r="AX12"/>
  <c r="AY12"/>
  <c r="AZ12"/>
  <c r="BA12"/>
  <c r="BB12"/>
  <c r="BC12"/>
  <c r="AX13"/>
  <c r="AY13"/>
  <c r="AZ13"/>
  <c r="BA13"/>
  <c r="BB13"/>
  <c r="BC13"/>
  <c r="AX14"/>
  <c r="AY14"/>
  <c r="AZ14"/>
  <c r="BA14"/>
  <c r="BB14"/>
  <c r="BC14"/>
  <c r="AX15"/>
  <c r="AY15"/>
  <c r="AZ15"/>
  <c r="BA15"/>
  <c r="BB15"/>
  <c r="BC15"/>
  <c r="AX16"/>
  <c r="AY16"/>
  <c r="AZ16"/>
  <c r="BA16"/>
  <c r="BB16"/>
  <c r="BC16"/>
  <c r="AX17"/>
  <c r="AY17"/>
  <c r="AZ17"/>
  <c r="BA17"/>
  <c r="BB17"/>
  <c r="BC17"/>
  <c r="AX18"/>
  <c r="AY18"/>
  <c r="AZ18"/>
  <c r="BA18"/>
  <c r="BB18"/>
  <c r="BC18"/>
  <c r="AX19"/>
  <c r="AY19"/>
  <c r="AZ19"/>
  <c r="BA19"/>
  <c r="BB19"/>
  <c r="BC19"/>
  <c r="AX20"/>
  <c r="AY20"/>
  <c r="AZ20"/>
  <c r="BA20"/>
  <c r="BB20"/>
  <c r="BC20"/>
  <c r="BJ20"/>
  <c r="AX21"/>
  <c r="AY21"/>
  <c r="AZ21"/>
  <c r="BA21"/>
  <c r="BB21"/>
  <c r="BC21"/>
  <c r="AY22"/>
  <c r="AZ22"/>
  <c r="BA22"/>
  <c r="BB22"/>
  <c r="BC22"/>
  <c r="AZ23"/>
  <c r="AZ23" a="1"/>
  <c r="BA23"/>
  <c r="BA23" a="1"/>
  <c r="BD24"/>
  <c r="AX25"/>
  <c r="AZ25"/>
  <c r="BA25"/>
  <c r="BB25"/>
  <c r="BD25"/>
  <c r="AX26"/>
  <c r="AZ26"/>
  <c r="BA26"/>
  <c r="BB26"/>
  <c r="BD26"/>
  <c r="AX27"/>
  <c r="AZ27"/>
  <c r="BA27"/>
  <c r="BB27"/>
  <c r="BD27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AX28"/>
  <c r="AZ28"/>
  <c r="BA28"/>
  <c r="BB28"/>
  <c r="BD28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AX29"/>
  <c r="AZ29"/>
  <c r="BA29"/>
  <c r="BB29"/>
  <c r="BD29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AX30"/>
  <c r="AZ30"/>
  <c r="BA30"/>
  <c r="BB30"/>
  <c r="BD30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AX31"/>
  <c r="AZ31"/>
  <c r="BA31"/>
  <c r="BB31"/>
  <c r="BD31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AX32"/>
  <c r="AZ32"/>
  <c r="BA32"/>
  <c r="BB32"/>
  <c r="BD32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AX33"/>
  <c r="AZ33"/>
  <c r="BA33"/>
  <c r="BB33"/>
  <c r="BD33"/>
  <c r="A34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AX34"/>
  <c r="AZ34"/>
  <c r="BA34"/>
  <c r="BB34"/>
  <c r="BD34"/>
  <c r="BG34"/>
  <c r="BH34"/>
  <c r="T47"/>
  <c r="T64"/>
  <c r="U64"/>
  <c r="BH39"/>
  <c r="BI40"/>
  <c r="BA35"/>
  <c r="BB35"/>
  <c r="BA36"/>
  <c r="BB36"/>
  <c r="BA37"/>
  <c r="BB37"/>
  <c r="BA38"/>
  <c r="BB38"/>
  <c r="BA39"/>
  <c r="BB39"/>
  <c r="BB40"/>
  <c r="BD35"/>
  <c r="BD36"/>
  <c r="BD37"/>
  <c r="BD38"/>
  <c r="BD39"/>
  <c r="BD40"/>
  <c r="BB42"/>
  <c r="BJ34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AX35"/>
  <c r="AZ35"/>
  <c r="BG35"/>
  <c r="BH35"/>
  <c r="BJ35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AX36"/>
  <c r="AZ36"/>
  <c r="BG36"/>
  <c r="BH36"/>
  <c r="BJ36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AX37"/>
  <c r="AZ37"/>
  <c r="BG37"/>
  <c r="BH37"/>
  <c r="BJ37"/>
  <c r="AZ38"/>
  <c r="BG38"/>
  <c r="BH38"/>
  <c r="BJ38"/>
  <c r="AX39"/>
  <c r="AZ39"/>
  <c r="BG39"/>
  <c r="BJ39"/>
  <c r="T52"/>
  <c r="T69"/>
  <c r="BL39"/>
  <c r="AZ40"/>
  <c r="BG40"/>
  <c r="BH40"/>
  <c r="BJ40"/>
  <c r="D41"/>
  <c r="E41"/>
  <c r="F41"/>
  <c r="G41"/>
  <c r="H41"/>
  <c r="I41"/>
  <c r="J41"/>
  <c r="K41"/>
  <c r="L41"/>
  <c r="M41"/>
  <c r="N41"/>
  <c r="O41"/>
  <c r="P41"/>
  <c r="Q41"/>
  <c r="R41"/>
  <c r="S41"/>
  <c r="T41"/>
  <c r="BB41"/>
  <c r="AW43"/>
  <c r="R45"/>
  <c r="J47"/>
  <c r="AF48"/>
  <c r="AG48"/>
  <c r="AH48"/>
  <c r="AI48"/>
  <c r="AJ48"/>
  <c r="AK48"/>
  <c r="AL48"/>
  <c r="AN48"/>
  <c r="BK49"/>
  <c r="AO48"/>
  <c r="AQ48"/>
  <c r="AF49"/>
  <c r="AG49"/>
  <c r="AH49"/>
  <c r="AI49"/>
  <c r="AJ49"/>
  <c r="AK49"/>
  <c r="AL49"/>
  <c r="AN49"/>
  <c r="AO49"/>
  <c r="AX49"/>
  <c r="AY49"/>
  <c r="AZ49"/>
  <c r="BA49"/>
  <c r="BB49"/>
  <c r="BC49"/>
  <c r="BD49"/>
  <c r="BE49"/>
  <c r="BF49"/>
  <c r="BG49"/>
  <c r="BH49"/>
  <c r="BJ49"/>
  <c r="BL49"/>
  <c r="AF50"/>
  <c r="AG50"/>
  <c r="AH50"/>
  <c r="AI50"/>
  <c r="AJ50"/>
  <c r="AK50"/>
  <c r="AL50"/>
  <c r="AN50"/>
  <c r="BK50"/>
  <c r="AO50"/>
  <c r="AX50"/>
  <c r="AY50"/>
  <c r="AZ50"/>
  <c r="BA50"/>
  <c r="BB50"/>
  <c r="BC50"/>
  <c r="BD50"/>
  <c r="BE50"/>
  <c r="BF50"/>
  <c r="BG50"/>
  <c r="BH50"/>
  <c r="BJ50"/>
  <c r="BL50"/>
  <c r="AF51"/>
  <c r="AG51"/>
  <c r="AH51"/>
  <c r="AI51"/>
  <c r="AJ51"/>
  <c r="AK51"/>
  <c r="AL51"/>
  <c r="AN51"/>
  <c r="BK51"/>
  <c r="AO51"/>
  <c r="AX51"/>
  <c r="AY51"/>
  <c r="AZ51"/>
  <c r="BA51"/>
  <c r="BB51"/>
  <c r="BC51"/>
  <c r="BD51"/>
  <c r="BE51"/>
  <c r="BF51"/>
  <c r="BG51"/>
  <c r="BH51"/>
  <c r="BJ51"/>
  <c r="BL51"/>
  <c r="D52"/>
  <c r="E52"/>
  <c r="F52"/>
  <c r="G52"/>
  <c r="H52"/>
  <c r="I52"/>
  <c r="J52"/>
  <c r="K52"/>
  <c r="L52"/>
  <c r="M52"/>
  <c r="N52"/>
  <c r="O52"/>
  <c r="P52"/>
  <c r="Q52"/>
  <c r="R52"/>
  <c r="S52"/>
  <c r="AF52"/>
  <c r="AG52"/>
  <c r="AH52"/>
  <c r="AI52"/>
  <c r="AJ52"/>
  <c r="AK52"/>
  <c r="AL52"/>
  <c r="AN52"/>
  <c r="BK52"/>
  <c r="AO52"/>
  <c r="AX52"/>
  <c r="AY52"/>
  <c r="AZ52"/>
  <c r="BA52"/>
  <c r="BB52"/>
  <c r="BC52"/>
  <c r="BD52"/>
  <c r="BE52"/>
  <c r="BF52"/>
  <c r="BG52"/>
  <c r="BH52"/>
  <c r="BJ52"/>
  <c r="BL52"/>
  <c r="D53"/>
  <c r="E53"/>
  <c r="F53"/>
  <c r="G53"/>
  <c r="H53"/>
  <c r="I53"/>
  <c r="J53"/>
  <c r="K53"/>
  <c r="L53"/>
  <c r="M53"/>
  <c r="N53"/>
  <c r="O53"/>
  <c r="P53"/>
  <c r="Q53"/>
  <c r="R53"/>
  <c r="S53"/>
  <c r="T53"/>
  <c r="AF53"/>
  <c r="AG53"/>
  <c r="AH53"/>
  <c r="AI53"/>
  <c r="AJ53"/>
  <c r="AK53"/>
  <c r="AL53"/>
  <c r="AN53"/>
  <c r="BK56"/>
  <c r="AO53"/>
  <c r="AX53"/>
  <c r="AY53"/>
  <c r="AZ53"/>
  <c r="BA53"/>
  <c r="BB53"/>
  <c r="BC53"/>
  <c r="BD53"/>
  <c r="BE53"/>
  <c r="BF53"/>
  <c r="BG53"/>
  <c r="BH53"/>
  <c r="BJ53"/>
  <c r="BK53"/>
  <c r="BL53"/>
  <c r="N54"/>
  <c r="AF54"/>
  <c r="AG54"/>
  <c r="AH54"/>
  <c r="AI54"/>
  <c r="AJ54"/>
  <c r="AK54"/>
  <c r="AL54"/>
  <c r="AN54"/>
  <c r="AO54"/>
  <c r="AX54"/>
  <c r="AY54"/>
  <c r="AZ54"/>
  <c r="BA54"/>
  <c r="BB54"/>
  <c r="BC54"/>
  <c r="BD54"/>
  <c r="BE54"/>
  <c r="BF54"/>
  <c r="BG54"/>
  <c r="BH54"/>
  <c r="BJ54"/>
  <c r="BK54"/>
  <c r="BL54"/>
  <c r="N55"/>
  <c r="AF55"/>
  <c r="AG55"/>
  <c r="AH55"/>
  <c r="AI55"/>
  <c r="AJ55"/>
  <c r="AK55"/>
  <c r="AL55"/>
  <c r="AN55"/>
  <c r="AO55"/>
  <c r="AX55"/>
  <c r="AY55"/>
  <c r="AZ55"/>
  <c r="BA55"/>
  <c r="BB55"/>
  <c r="BC55"/>
  <c r="BD55"/>
  <c r="BE55"/>
  <c r="BF55"/>
  <c r="BG55"/>
  <c r="BH55"/>
  <c r="BJ55"/>
  <c r="BK55"/>
  <c r="BL55"/>
  <c r="AF56"/>
  <c r="AG56"/>
  <c r="AH56"/>
  <c r="AI56"/>
  <c r="AJ56"/>
  <c r="AK56"/>
  <c r="AL56"/>
  <c r="AN56"/>
  <c r="AO56"/>
  <c r="AX56"/>
  <c r="AY56"/>
  <c r="AZ56"/>
  <c r="BA56"/>
  <c r="BB56"/>
  <c r="BC56"/>
  <c r="BD56"/>
  <c r="BE56"/>
  <c r="BF56"/>
  <c r="BG56"/>
  <c r="BH56"/>
  <c r="BJ56"/>
  <c r="BL56"/>
  <c r="AF57"/>
  <c r="AG57"/>
  <c r="AH57"/>
  <c r="AI57"/>
  <c r="AJ57"/>
  <c r="AK57"/>
  <c r="AL57"/>
  <c r="AN57"/>
  <c r="AO57"/>
  <c r="AX57"/>
  <c r="AY57"/>
  <c r="AZ57"/>
  <c r="BA57"/>
  <c r="BB57"/>
  <c r="BC57"/>
  <c r="BD57"/>
  <c r="BE57"/>
  <c r="BF57"/>
  <c r="BG57"/>
  <c r="BH57"/>
  <c r="BJ57"/>
  <c r="BK57"/>
  <c r="BL57"/>
  <c r="D58"/>
  <c r="E58"/>
  <c r="F58"/>
  <c r="G58"/>
  <c r="H58"/>
  <c r="I58"/>
  <c r="J58"/>
  <c r="K58"/>
  <c r="L58"/>
  <c r="M58"/>
  <c r="N58"/>
  <c r="O58"/>
  <c r="P58"/>
  <c r="Q58"/>
  <c r="R58"/>
  <c r="S58"/>
  <c r="T58"/>
  <c r="AF58"/>
  <c r="AG58"/>
  <c r="AH58"/>
  <c r="AI58"/>
  <c r="AJ58"/>
  <c r="AK58"/>
  <c r="AL58"/>
  <c r="AN58"/>
  <c r="AO58"/>
  <c r="AX58"/>
  <c r="AY58"/>
  <c r="AZ58"/>
  <c r="BA58"/>
  <c r="BB58"/>
  <c r="BC58"/>
  <c r="BD58"/>
  <c r="BE58"/>
  <c r="BF58"/>
  <c r="BG58"/>
  <c r="BH58"/>
  <c r="BJ58"/>
  <c r="BK58"/>
  <c r="BL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AF59"/>
  <c r="AG59"/>
  <c r="AH59"/>
  <c r="AI59"/>
  <c r="AJ59"/>
  <c r="AK59"/>
  <c r="AL59"/>
  <c r="AN59"/>
  <c r="AO59"/>
  <c r="AX59"/>
  <c r="AY59"/>
  <c r="AZ59"/>
  <c r="BA59"/>
  <c r="BB59"/>
  <c r="BC59"/>
  <c r="BD59"/>
  <c r="BE59"/>
  <c r="BF59"/>
  <c r="BG59"/>
  <c r="BH59"/>
  <c r="BJ59"/>
  <c r="BK59"/>
  <c r="BL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AF60"/>
  <c r="AG60"/>
  <c r="AH60"/>
  <c r="AI60"/>
  <c r="AJ60"/>
  <c r="AK60"/>
  <c r="AL60"/>
  <c r="AN60"/>
  <c r="AO60"/>
  <c r="AX60"/>
  <c r="AY60"/>
  <c r="AZ60"/>
  <c r="BA60"/>
  <c r="BB60"/>
  <c r="BC60"/>
  <c r="BD60"/>
  <c r="BE60"/>
  <c r="BF60"/>
  <c r="BG60"/>
  <c r="BH60"/>
  <c r="BJ60"/>
  <c r="BK60"/>
  <c r="BL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AF61"/>
  <c r="AG61"/>
  <c r="AH61"/>
  <c r="AI61"/>
  <c r="AJ61"/>
  <c r="AK61"/>
  <c r="AL61"/>
  <c r="AN61"/>
  <c r="AO61"/>
  <c r="AX61"/>
  <c r="AY61"/>
  <c r="AZ61"/>
  <c r="BA61"/>
  <c r="BB61"/>
  <c r="BC61"/>
  <c r="BD61"/>
  <c r="BE61"/>
  <c r="BF61"/>
  <c r="BG61"/>
  <c r="BH61"/>
  <c r="BJ61"/>
  <c r="BK61"/>
  <c r="BL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AF62"/>
  <c r="AG62"/>
  <c r="AH62"/>
  <c r="AI62"/>
  <c r="AJ62"/>
  <c r="AK62"/>
  <c r="AL62"/>
  <c r="AN62"/>
  <c r="AO62"/>
  <c r="AX62"/>
  <c r="AY62"/>
  <c r="AZ62"/>
  <c r="BA62"/>
  <c r="BB62"/>
  <c r="BC62"/>
  <c r="BD62"/>
  <c r="BE62"/>
  <c r="BF62"/>
  <c r="BG62"/>
  <c r="BH62"/>
  <c r="BJ62"/>
  <c r="BK62"/>
  <c r="L100" i="311"/>
  <c r="L106"/>
  <c r="P117"/>
  <c r="A79"/>
  <c r="A80"/>
  <c r="H78"/>
  <c r="H80"/>
  <c r="P126"/>
  <c r="P127"/>
  <c r="BL62" i="310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AF63"/>
  <c r="AG63"/>
  <c r="AH63"/>
  <c r="AI63"/>
  <c r="AJ63"/>
  <c r="AK63"/>
  <c r="AL63"/>
  <c r="AN63"/>
  <c r="AO63"/>
  <c r="AX63"/>
  <c r="AY63"/>
  <c r="AZ63"/>
  <c r="BA63"/>
  <c r="BB63"/>
  <c r="BC63"/>
  <c r="BD63"/>
  <c r="BE63"/>
  <c r="BF63"/>
  <c r="BG63"/>
  <c r="BH63"/>
  <c r="BJ63"/>
  <c r="BK63"/>
  <c r="BL63"/>
  <c r="A64"/>
  <c r="B64"/>
  <c r="C64"/>
  <c r="D64"/>
  <c r="E64"/>
  <c r="F64"/>
  <c r="G64"/>
  <c r="H64"/>
  <c r="I64"/>
  <c r="J64"/>
  <c r="K64"/>
  <c r="L64"/>
  <c r="M64"/>
  <c r="N64"/>
  <c r="O64"/>
  <c r="P64"/>
  <c r="Q64"/>
  <c r="R64"/>
  <c r="S64"/>
  <c r="U69"/>
  <c r="U70"/>
  <c r="V64"/>
  <c r="AF64"/>
  <c r="AG64"/>
  <c r="AH64"/>
  <c r="AI64"/>
  <c r="AJ64"/>
  <c r="AK64"/>
  <c r="AL64"/>
  <c r="AN64"/>
  <c r="AO64"/>
  <c r="AY64"/>
  <c r="BA64"/>
  <c r="BC64"/>
  <c r="BE64"/>
  <c r="BJ64"/>
  <c r="BK64"/>
  <c r="A65"/>
  <c r="B65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AF65"/>
  <c r="AG65"/>
  <c r="AH65"/>
  <c r="AI65"/>
  <c r="AJ65"/>
  <c r="AK65"/>
  <c r="AL65"/>
  <c r="AN65"/>
  <c r="AO65"/>
  <c r="AY65"/>
  <c r="BA65"/>
  <c r="BC65"/>
  <c r="BE65"/>
  <c r="A66"/>
  <c r="B66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AF66"/>
  <c r="AG66"/>
  <c r="AH66"/>
  <c r="AI66"/>
  <c r="AJ66"/>
  <c r="AK66"/>
  <c r="AL66"/>
  <c r="AN66"/>
  <c r="AO66"/>
  <c r="AY66"/>
  <c r="BA66"/>
  <c r="BC66"/>
  <c r="BE66"/>
  <c r="A67"/>
  <c r="B67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AF67"/>
  <c r="AG67"/>
  <c r="AH67"/>
  <c r="AI67"/>
  <c r="AJ67"/>
  <c r="AK67"/>
  <c r="AL67"/>
  <c r="AN67"/>
  <c r="AO67"/>
  <c r="AY67"/>
  <c r="BA67"/>
  <c r="BC67"/>
  <c r="BE67"/>
  <c r="A68"/>
  <c r="B68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AF68"/>
  <c r="AG68"/>
  <c r="AH68"/>
  <c r="AI68"/>
  <c r="AJ68"/>
  <c r="AK68"/>
  <c r="AL68"/>
  <c r="AN68"/>
  <c r="AO68"/>
  <c r="AY68"/>
  <c r="AZ68"/>
  <c r="BA68"/>
  <c r="BB68"/>
  <c r="BC68"/>
  <c r="BD68"/>
  <c r="BE68"/>
  <c r="BF68"/>
  <c r="BG68"/>
  <c r="A69"/>
  <c r="B69"/>
  <c r="C69"/>
  <c r="D69"/>
  <c r="E69"/>
  <c r="F69"/>
  <c r="G69"/>
  <c r="H69"/>
  <c r="I69"/>
  <c r="J69"/>
  <c r="K69"/>
  <c r="L69"/>
  <c r="M69"/>
  <c r="N69"/>
  <c r="O69"/>
  <c r="P69"/>
  <c r="Q69"/>
  <c r="R69"/>
  <c r="S69"/>
  <c r="V69"/>
  <c r="AF69"/>
  <c r="AG69"/>
  <c r="AH69"/>
  <c r="AI69"/>
  <c r="AJ69"/>
  <c r="AK69"/>
  <c r="AL69"/>
  <c r="AN69"/>
  <c r="AO69"/>
  <c r="AY69"/>
  <c r="AZ69"/>
  <c r="BA69"/>
  <c r="BB69"/>
  <c r="BC69"/>
  <c r="BD69"/>
  <c r="BE69"/>
  <c r="BF69"/>
  <c r="BG69"/>
  <c r="D70"/>
  <c r="E70"/>
  <c r="F70"/>
  <c r="G70"/>
  <c r="H70"/>
  <c r="I70"/>
  <c r="J70"/>
  <c r="K70"/>
  <c r="L70"/>
  <c r="M70"/>
  <c r="N70"/>
  <c r="O70"/>
  <c r="P70"/>
  <c r="Q70"/>
  <c r="R70"/>
  <c r="S70"/>
  <c r="T70"/>
  <c r="AF70"/>
  <c r="AG70"/>
  <c r="AH70"/>
  <c r="AI70"/>
  <c r="AJ70"/>
  <c r="AK70"/>
  <c r="AL70"/>
  <c r="AN70"/>
  <c r="AO70"/>
  <c r="BA70"/>
  <c r="BE70"/>
  <c r="D71"/>
  <c r="F71"/>
  <c r="N71"/>
  <c r="U71"/>
  <c r="AF71"/>
  <c r="AG71"/>
  <c r="AH71"/>
  <c r="AI71"/>
  <c r="AJ71"/>
  <c r="AK71"/>
  <c r="AL71"/>
  <c r="AN71"/>
  <c r="AO71"/>
  <c r="D72"/>
  <c r="F72"/>
  <c r="N72"/>
  <c r="U72"/>
  <c r="AF72"/>
  <c r="AG72"/>
  <c r="AH72"/>
  <c r="AI72"/>
  <c r="AJ72"/>
  <c r="AK72"/>
  <c r="AL72"/>
  <c r="AN72"/>
  <c r="AO72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AF73"/>
  <c r="AG73"/>
  <c r="AH73"/>
  <c r="AI73"/>
  <c r="AJ73"/>
  <c r="AK73"/>
  <c r="AL73"/>
  <c r="AN73"/>
  <c r="AO73"/>
  <c r="AF74"/>
  <c r="AG74"/>
  <c r="AH74"/>
  <c r="AI74"/>
  <c r="AJ74"/>
  <c r="AK74"/>
  <c r="AL74"/>
  <c r="AN74"/>
  <c r="AO74"/>
  <c r="AF75"/>
  <c r="AG75"/>
  <c r="AH75"/>
  <c r="AI75"/>
  <c r="AJ75"/>
  <c r="AK75"/>
  <c r="AL75"/>
  <c r="AN75"/>
  <c r="AO75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AF76"/>
  <c r="AG76"/>
  <c r="AH76"/>
  <c r="AI76"/>
  <c r="AJ76"/>
  <c r="AK76"/>
  <c r="AL76"/>
  <c r="AN76"/>
  <c r="AO76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AJ77"/>
  <c r="AL77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C3" i="311"/>
  <c r="C4"/>
  <c r="W4"/>
  <c r="C5"/>
  <c r="D9"/>
  <c r="D10"/>
  <c r="D11"/>
  <c r="D12"/>
  <c r="D13"/>
  <c r="D14"/>
  <c r="D15"/>
  <c r="D16"/>
  <c r="D17"/>
  <c r="D18"/>
  <c r="D19"/>
  <c r="D20"/>
  <c r="D21"/>
  <c r="D22"/>
  <c r="N23"/>
  <c r="N22"/>
  <c r="D23"/>
  <c r="D24"/>
  <c r="N24"/>
  <c r="D25"/>
  <c r="N25"/>
  <c r="D26"/>
  <c r="H27"/>
  <c r="I27"/>
  <c r="J27"/>
  <c r="K27"/>
  <c r="M27"/>
  <c r="N27"/>
  <c r="O27"/>
  <c r="P27"/>
  <c r="S27"/>
  <c r="T27"/>
  <c r="X27"/>
  <c r="D28" a="1"/>
  <c r="D28"/>
  <c r="E28"/>
  <c r="F28"/>
  <c r="G28"/>
  <c r="H28"/>
  <c r="I28"/>
  <c r="J28"/>
  <c r="K28"/>
  <c r="L28"/>
  <c r="M28"/>
  <c r="N28"/>
  <c r="O28"/>
  <c r="P28"/>
  <c r="Q28" a="1"/>
  <c r="Q28"/>
  <c r="R28"/>
  <c r="S28"/>
  <c r="U28"/>
  <c r="F29"/>
  <c r="G29"/>
  <c r="H29"/>
  <c r="I29"/>
  <c r="J29"/>
  <c r="K29"/>
  <c r="L29"/>
  <c r="M29"/>
  <c r="N29"/>
  <c r="O29"/>
  <c r="P29"/>
  <c r="T29"/>
  <c r="C31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B58"/>
  <c r="F58"/>
  <c r="G58"/>
  <c r="H58"/>
  <c r="J58"/>
  <c r="K58"/>
  <c r="M58"/>
  <c r="N58"/>
  <c r="O58"/>
  <c r="R58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A59"/>
  <c r="H59"/>
  <c r="F59"/>
  <c r="G59"/>
  <c r="J59"/>
  <c r="N59"/>
  <c r="A60"/>
  <c r="H60"/>
  <c r="F60"/>
  <c r="G60"/>
  <c r="J60"/>
  <c r="N60"/>
  <c r="A61"/>
  <c r="H61"/>
  <c r="F61"/>
  <c r="G61"/>
  <c r="J61"/>
  <c r="N61"/>
  <c r="A57" i="312"/>
  <c r="C57" a="1"/>
  <c r="U47"/>
  <c r="S57"/>
  <c r="T57"/>
  <c r="M59" i="311"/>
  <c r="K59"/>
  <c r="O59"/>
  <c r="M60"/>
  <c r="K60"/>
  <c r="O60"/>
  <c r="M61"/>
  <c r="K61"/>
  <c r="O61"/>
  <c r="G62"/>
  <c r="F62"/>
  <c r="J62"/>
  <c r="N62"/>
  <c r="U58"/>
  <c r="I62"/>
  <c r="K62"/>
  <c r="O62"/>
  <c r="V58"/>
  <c r="AB58"/>
  <c r="R59"/>
  <c r="U59"/>
  <c r="V59"/>
  <c r="Y59"/>
  <c r="AB59"/>
  <c r="R60"/>
  <c r="U60"/>
  <c r="V60"/>
  <c r="AB60"/>
  <c r="R61"/>
  <c r="U61"/>
  <c r="V61"/>
  <c r="AB61"/>
  <c r="M62"/>
  <c r="R62"/>
  <c r="U62"/>
  <c r="V62"/>
  <c r="A63"/>
  <c r="F63"/>
  <c r="G63"/>
  <c r="H63"/>
  <c r="J63"/>
  <c r="K63"/>
  <c r="M63"/>
  <c r="N63"/>
  <c r="O63"/>
  <c r="B80"/>
  <c r="B79"/>
  <c r="B78"/>
  <c r="B77"/>
  <c r="M84"/>
  <c r="R63"/>
  <c r="A64"/>
  <c r="H64"/>
  <c r="F64"/>
  <c r="G64"/>
  <c r="J64"/>
  <c r="N64"/>
  <c r="A65"/>
  <c r="H65"/>
  <c r="F65"/>
  <c r="G65"/>
  <c r="J65"/>
  <c r="N65"/>
  <c r="A66"/>
  <c r="H66"/>
  <c r="F66"/>
  <c r="G66"/>
  <c r="J66"/>
  <c r="N66"/>
  <c r="A58" i="312"/>
  <c r="C58" a="1"/>
  <c r="S58"/>
  <c r="T58"/>
  <c r="M64" i="311"/>
  <c r="K64"/>
  <c r="O64"/>
  <c r="M65"/>
  <c r="K65"/>
  <c r="O65"/>
  <c r="M66"/>
  <c r="K66"/>
  <c r="O66"/>
  <c r="G67"/>
  <c r="F67"/>
  <c r="J67"/>
  <c r="N67"/>
  <c r="U63"/>
  <c r="I67"/>
  <c r="K67"/>
  <c r="O67"/>
  <c r="V63"/>
  <c r="AB63"/>
  <c r="M89"/>
  <c r="R64"/>
  <c r="U64"/>
  <c r="V64"/>
  <c r="AB64"/>
  <c r="R65"/>
  <c r="U65"/>
  <c r="V65"/>
  <c r="R66"/>
  <c r="U66"/>
  <c r="V66"/>
  <c r="AB66"/>
  <c r="A67"/>
  <c r="M67"/>
  <c r="R67"/>
  <c r="U67"/>
  <c r="V67"/>
  <c r="AB67"/>
  <c r="A68"/>
  <c r="F68"/>
  <c r="G68"/>
  <c r="H68"/>
  <c r="J68"/>
  <c r="K68"/>
  <c r="M68"/>
  <c r="N68"/>
  <c r="O68"/>
  <c r="R68"/>
  <c r="U68"/>
  <c r="V68"/>
  <c r="Y68"/>
  <c r="AB68"/>
  <c r="A69"/>
  <c r="F69"/>
  <c r="G69"/>
  <c r="H69"/>
  <c r="J69"/>
  <c r="K69"/>
  <c r="M69"/>
  <c r="N69"/>
  <c r="O69"/>
  <c r="R69"/>
  <c r="A70"/>
  <c r="H70"/>
  <c r="F70"/>
  <c r="G70"/>
  <c r="J70"/>
  <c r="N70"/>
  <c r="A59" i="312"/>
  <c r="C59" a="1"/>
  <c r="S59"/>
  <c r="T59"/>
  <c r="M70" i="311"/>
  <c r="K70"/>
  <c r="O70"/>
  <c r="G71"/>
  <c r="F71"/>
  <c r="J71"/>
  <c r="N71"/>
  <c r="U69"/>
  <c r="I71"/>
  <c r="K71"/>
  <c r="O71"/>
  <c r="V69"/>
  <c r="Y69"/>
  <c r="AB69"/>
  <c r="M85"/>
  <c r="R70"/>
  <c r="U70"/>
  <c r="V70"/>
  <c r="Y70"/>
  <c r="AB70"/>
  <c r="A71"/>
  <c r="M71"/>
  <c r="M90"/>
  <c r="R71"/>
  <c r="U71"/>
  <c r="V71"/>
  <c r="Y71"/>
  <c r="AB71"/>
  <c r="A72"/>
  <c r="F72"/>
  <c r="G72"/>
  <c r="H72"/>
  <c r="J72"/>
  <c r="K72"/>
  <c r="M72"/>
  <c r="N72"/>
  <c r="O72"/>
  <c r="R72"/>
  <c r="A73"/>
  <c r="H73"/>
  <c r="F73"/>
  <c r="G73"/>
  <c r="J73"/>
  <c r="N73"/>
  <c r="A74"/>
  <c r="H74"/>
  <c r="F74"/>
  <c r="G74"/>
  <c r="J74"/>
  <c r="N74"/>
  <c r="A75"/>
  <c r="H75"/>
  <c r="K73"/>
  <c r="O73"/>
  <c r="K74"/>
  <c r="O74"/>
  <c r="AB72"/>
  <c r="M73"/>
  <c r="R73"/>
  <c r="AB73"/>
  <c r="M74"/>
  <c r="R74"/>
  <c r="AB74"/>
  <c r="G75"/>
  <c r="R75"/>
  <c r="A76"/>
  <c r="F76"/>
  <c r="G76"/>
  <c r="H76"/>
  <c r="J76"/>
  <c r="K76"/>
  <c r="M76"/>
  <c r="N76"/>
  <c r="O76"/>
  <c r="M86"/>
  <c r="R76"/>
  <c r="AB76"/>
  <c r="A60" i="312"/>
  <c r="C60" a="1"/>
  <c r="S60"/>
  <c r="T60"/>
  <c r="M91" i="311"/>
  <c r="R77"/>
  <c r="L123"/>
  <c r="F78"/>
  <c r="L128"/>
  <c r="G78"/>
  <c r="I78"/>
  <c r="J78"/>
  <c r="K78"/>
  <c r="M78"/>
  <c r="N78"/>
  <c r="O78"/>
  <c r="R78"/>
  <c r="H79"/>
  <c r="L124"/>
  <c r="F79"/>
  <c r="L129"/>
  <c r="G79"/>
  <c r="J79"/>
  <c r="N79"/>
  <c r="L125"/>
  <c r="F80"/>
  <c r="L130"/>
  <c r="G80"/>
  <c r="I80"/>
  <c r="J80"/>
  <c r="N80"/>
  <c r="B82"/>
  <c r="B81"/>
  <c r="A81"/>
  <c r="H81"/>
  <c r="L126"/>
  <c r="F81"/>
  <c r="L131"/>
  <c r="G81"/>
  <c r="I81"/>
  <c r="J81"/>
  <c r="N81"/>
  <c r="A61" i="312"/>
  <c r="C61" a="1"/>
  <c r="S61"/>
  <c r="U61"/>
  <c r="M79" i="311"/>
  <c r="K79"/>
  <c r="O79"/>
  <c r="M80"/>
  <c r="K80"/>
  <c r="O80"/>
  <c r="M81"/>
  <c r="K81"/>
  <c r="O81"/>
  <c r="F83"/>
  <c r="L133"/>
  <c r="G83"/>
  <c r="G82"/>
  <c r="F82"/>
  <c r="J82"/>
  <c r="N82"/>
  <c r="J83"/>
  <c r="N83"/>
  <c r="U78"/>
  <c r="I82"/>
  <c r="K82"/>
  <c r="O82"/>
  <c r="K83"/>
  <c r="O83"/>
  <c r="V78"/>
  <c r="Y78"/>
  <c r="AB78"/>
  <c r="R79"/>
  <c r="U79"/>
  <c r="V79"/>
  <c r="Y79"/>
  <c r="AB79"/>
  <c r="R80"/>
  <c r="U80"/>
  <c r="V80"/>
  <c r="Y80"/>
  <c r="AB80"/>
  <c r="U81"/>
  <c r="V81"/>
  <c r="M82"/>
  <c r="R82"/>
  <c r="U82"/>
  <c r="V82"/>
  <c r="AB82"/>
  <c r="M83"/>
  <c r="U83"/>
  <c r="V83"/>
  <c r="R86"/>
  <c r="R87"/>
  <c r="M88"/>
  <c r="R88"/>
  <c r="R89"/>
  <c r="U89"/>
  <c r="W89"/>
  <c r="R90"/>
  <c r="U90"/>
  <c r="W90"/>
  <c r="R91"/>
  <c r="U91"/>
  <c r="W91"/>
  <c r="M93"/>
  <c r="R92"/>
  <c r="U92"/>
  <c r="W92"/>
  <c r="U93"/>
  <c r="V93"/>
  <c r="W93"/>
  <c r="B100"/>
  <c r="L102"/>
  <c r="T102"/>
  <c r="L121"/>
  <c r="U102"/>
  <c r="I103"/>
  <c r="L103"/>
  <c r="T103"/>
  <c r="L122"/>
  <c r="U103"/>
  <c r="L104"/>
  <c r="L105"/>
  <c r="P105"/>
  <c r="P106"/>
  <c r="L113"/>
  <c r="T106"/>
  <c r="U106"/>
  <c r="G107"/>
  <c r="L107"/>
  <c r="L112"/>
  <c r="T107"/>
  <c r="U107"/>
  <c r="L108"/>
  <c r="P108"/>
  <c r="L116"/>
  <c r="L118"/>
  <c r="T108"/>
  <c r="U108"/>
  <c r="L109"/>
  <c r="L117"/>
  <c r="L119"/>
  <c r="T109"/>
  <c r="U109"/>
  <c r="L110"/>
  <c r="L115"/>
  <c r="T110"/>
  <c r="U110"/>
  <c r="L111"/>
  <c r="L114"/>
  <c r="T111"/>
  <c r="U111"/>
  <c r="T112"/>
  <c r="U112"/>
  <c r="P113"/>
  <c r="T113"/>
  <c r="U113"/>
  <c r="P114"/>
  <c r="T114"/>
  <c r="U114"/>
  <c r="T115"/>
  <c r="U115"/>
  <c r="P118"/>
  <c r="T118"/>
  <c r="L120"/>
  <c r="T119"/>
  <c r="T120"/>
  <c r="T121"/>
  <c r="T122"/>
  <c r="U118"/>
  <c r="C119"/>
  <c r="P119"/>
  <c r="U119"/>
  <c r="P120"/>
  <c r="U120"/>
  <c r="U121"/>
  <c r="U122"/>
  <c r="P123"/>
  <c r="I124"/>
  <c r="T126"/>
  <c r="L132"/>
  <c r="L127"/>
  <c r="T127"/>
  <c r="A152" i="312"/>
  <c r="T128" i="311"/>
  <c r="I129"/>
  <c r="T129"/>
  <c r="L134"/>
  <c r="T9" i="312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C57"/>
  <c r="D57"/>
  <c r="E57"/>
  <c r="F57"/>
  <c r="G57"/>
  <c r="H57"/>
  <c r="I57"/>
  <c r="J57"/>
  <c r="K57"/>
  <c r="L57"/>
  <c r="M57"/>
  <c r="N57"/>
  <c r="O57"/>
  <c r="P57"/>
  <c r="Q57"/>
  <c r="R57"/>
  <c r="U57"/>
  <c r="C58"/>
  <c r="D58"/>
  <c r="E58"/>
  <c r="F58"/>
  <c r="G58"/>
  <c r="H58"/>
  <c r="I58"/>
  <c r="J58"/>
  <c r="K58"/>
  <c r="L58"/>
  <c r="M58"/>
  <c r="N58"/>
  <c r="O58"/>
  <c r="P58"/>
  <c r="Q58"/>
  <c r="R58"/>
  <c r="U58"/>
  <c r="C59"/>
  <c r="D59"/>
  <c r="E59"/>
  <c r="F59"/>
  <c r="G59"/>
  <c r="H59"/>
  <c r="I59"/>
  <c r="J59"/>
  <c r="K59"/>
  <c r="L59"/>
  <c r="M59"/>
  <c r="N59"/>
  <c r="O59"/>
  <c r="P59"/>
  <c r="Q59"/>
  <c r="R59"/>
  <c r="U59"/>
  <c r="C60"/>
  <c r="D60"/>
  <c r="E60"/>
  <c r="F60"/>
  <c r="G60"/>
  <c r="H60"/>
  <c r="I60"/>
  <c r="J60"/>
  <c r="K60"/>
  <c r="L60"/>
  <c r="M60"/>
  <c r="N60"/>
  <c r="O60"/>
  <c r="P60"/>
  <c r="Q60"/>
  <c r="R60"/>
  <c r="U60"/>
  <c r="C61"/>
  <c r="D61"/>
  <c r="E61"/>
  <c r="F61"/>
  <c r="G61"/>
  <c r="H61"/>
  <c r="I61"/>
  <c r="J61"/>
  <c r="K61"/>
  <c r="L61"/>
  <c r="M61"/>
  <c r="N61"/>
  <c r="O61"/>
  <c r="P61"/>
  <c r="Q61"/>
  <c r="R61"/>
  <c r="T61"/>
  <c r="A62"/>
  <c r="C62" a="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F67"/>
  <c r="K67"/>
  <c r="N67"/>
  <c r="O67"/>
  <c r="P67"/>
  <c r="R67"/>
  <c r="V67"/>
  <c r="F68"/>
  <c r="N68"/>
  <c r="O68"/>
  <c r="R68"/>
  <c r="F69"/>
  <c r="I69"/>
  <c r="J69"/>
  <c r="M69"/>
  <c r="N69"/>
  <c r="O69"/>
  <c r="P69"/>
  <c r="Q69"/>
  <c r="R69"/>
  <c r="F70"/>
  <c r="G70"/>
  <c r="H70"/>
  <c r="I70"/>
  <c r="J70"/>
  <c r="K70"/>
  <c r="P70"/>
  <c r="R70"/>
  <c r="F71"/>
  <c r="H71"/>
  <c r="I71"/>
  <c r="J71"/>
  <c r="N71"/>
  <c r="O71"/>
  <c r="P71"/>
  <c r="R71"/>
  <c r="F94"/>
  <c r="G94"/>
  <c r="H94"/>
  <c r="I94"/>
  <c r="J94"/>
  <c r="N94"/>
  <c r="O94"/>
  <c r="P94"/>
  <c r="R94"/>
  <c r="F95"/>
  <c r="G95"/>
  <c r="H95"/>
  <c r="I95"/>
  <c r="J95"/>
  <c r="N95"/>
  <c r="O95"/>
  <c r="P95"/>
  <c r="R95"/>
  <c r="A118"/>
  <c r="A119"/>
  <c r="A120"/>
  <c r="A121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C163" a="1"/>
  <c r="A172"/>
  <c r="V172"/>
  <c r="A173"/>
  <c r="V173"/>
  <c r="A174"/>
  <c r="V174"/>
  <c r="A175"/>
  <c r="V175"/>
  <c r="A176"/>
  <c r="V176"/>
  <c r="A177"/>
  <c r="V177"/>
  <c r="A178"/>
  <c r="V178"/>
  <c r="A179"/>
  <c r="V179"/>
  <c r="A180"/>
  <c r="V180"/>
  <c r="A181"/>
  <c r="V181"/>
  <c r="A182"/>
  <c r="V182"/>
  <c r="A183"/>
  <c r="V183"/>
  <c r="A184"/>
  <c r="V184"/>
  <c r="A185"/>
  <c r="V185"/>
  <c r="A186"/>
  <c r="V186"/>
  <c r="A187"/>
  <c r="V187"/>
  <c r="A188"/>
  <c r="V188"/>
  <c r="A189"/>
  <c r="V189"/>
  <c r="A190"/>
  <c r="V190"/>
  <c r="A191"/>
  <c r="V191"/>
  <c r="A192"/>
  <c r="V192"/>
  <c r="A193"/>
  <c r="V193"/>
  <c r="A194"/>
  <c r="V194"/>
  <c r="A195"/>
  <c r="A196"/>
  <c r="V196"/>
  <c r="A197"/>
  <c r="A198"/>
  <c r="A199"/>
  <c r="V200"/>
  <c r="V201"/>
  <c r="V202"/>
  <c r="V203"/>
  <c r="V204"/>
  <c r="V205"/>
  <c r="V206"/>
  <c r="C210"/>
  <c r="D219" a="1"/>
  <c r="D219"/>
  <c r="E219"/>
  <c r="F219"/>
  <c r="G219"/>
  <c r="H219"/>
  <c r="I219"/>
  <c r="J219"/>
  <c r="K219"/>
  <c r="L219"/>
  <c r="M219"/>
  <c r="N219"/>
  <c r="O219"/>
  <c r="P219"/>
  <c r="Q219"/>
  <c r="R219"/>
  <c r="S219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G233"/>
  <c r="AH233"/>
  <c r="AI233"/>
  <c r="AJ233"/>
  <c r="AK233"/>
  <c r="AL237"/>
  <c r="AL238"/>
  <c r="AL239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C251"/>
  <c r="D251"/>
  <c r="E251"/>
  <c r="F251"/>
  <c r="G251"/>
  <c r="H251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C252"/>
  <c r="D252"/>
  <c r="E252"/>
  <c r="F252"/>
  <c r="G252"/>
  <c r="H2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C254"/>
  <c r="D254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C255"/>
  <c r="D255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C256"/>
  <c r="D256"/>
  <c r="E256"/>
  <c r="F256"/>
  <c r="G256"/>
  <c r="H256"/>
  <c r="I256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D257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W261"/>
  <c r="X261"/>
  <c r="W262"/>
  <c r="X262"/>
  <c r="W263"/>
  <c r="X263"/>
  <c r="W264"/>
  <c r="X264"/>
  <c r="W265"/>
  <c r="X265"/>
  <c r="W266"/>
  <c r="X266"/>
  <c r="W267"/>
  <c r="X267"/>
  <c r="W268"/>
  <c r="X268"/>
  <c r="W269"/>
  <c r="X269"/>
  <c r="W270"/>
  <c r="X270"/>
  <c r="W271"/>
  <c r="X271"/>
  <c r="E71" i="315"/>
  <c r="B70"/>
  <c r="E67"/>
  <c r="B66"/>
  <c r="E57"/>
  <c r="B55"/>
  <c r="E49"/>
  <c r="B48"/>
  <c r="E47"/>
  <c r="B42"/>
  <c r="E41"/>
  <c r="B40"/>
  <c r="E39"/>
  <c r="B38"/>
  <c r="E37"/>
  <c r="B35"/>
  <c r="E34"/>
  <c r="B30"/>
  <c r="E29"/>
  <c r="B26"/>
  <c r="E25"/>
  <c r="B24"/>
  <c r="E23"/>
  <c r="B20"/>
  <c r="E19"/>
  <c r="B18"/>
  <c r="E17"/>
  <c r="B16"/>
  <c r="E15"/>
  <c r="B14"/>
  <c r="E13"/>
  <c r="B12"/>
  <c r="E11"/>
  <c r="B10"/>
  <c r="E9"/>
  <c r="B6"/>
  <c r="L5" i="314"/>
  <c r="L6"/>
  <c r="L7"/>
  <c r="L8"/>
  <c r="L9"/>
  <c r="L10"/>
  <c r="L11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40"/>
  <c r="L41"/>
  <c r="L42"/>
  <c r="F4" i="315"/>
  <c r="H5"/>
  <c r="M5"/>
  <c r="N5"/>
  <c r="O5"/>
  <c r="R5"/>
  <c r="S5"/>
  <c r="T5"/>
  <c r="U5"/>
  <c r="D6"/>
  <c r="N6"/>
  <c r="O6"/>
  <c r="P6"/>
  <c r="Q6"/>
  <c r="R6"/>
  <c r="S6"/>
  <c r="D7"/>
  <c r="G7"/>
  <c r="H7"/>
  <c r="M7"/>
  <c r="D10"/>
  <c r="N10"/>
  <c r="O10"/>
  <c r="P10"/>
  <c r="Q10"/>
  <c r="R10"/>
  <c r="S10"/>
  <c r="D12"/>
  <c r="N12"/>
  <c r="O12"/>
  <c r="P12"/>
  <c r="Q12"/>
  <c r="D14"/>
  <c r="N14"/>
  <c r="O14"/>
  <c r="P14"/>
  <c r="Q14"/>
  <c r="R14"/>
  <c r="S14"/>
  <c r="D16"/>
  <c r="N16"/>
  <c r="O16"/>
  <c r="P16"/>
  <c r="Q16"/>
  <c r="D18"/>
  <c r="N18"/>
  <c r="O18"/>
  <c r="P18"/>
  <c r="Q18"/>
  <c r="D20"/>
  <c r="N20"/>
  <c r="O20"/>
  <c r="P20"/>
  <c r="Q20"/>
  <c r="D21"/>
  <c r="D22"/>
  <c r="G22"/>
  <c r="H22"/>
  <c r="M22"/>
  <c r="D24"/>
  <c r="N24"/>
  <c r="O24"/>
  <c r="P24"/>
  <c r="Q24"/>
  <c r="R24"/>
  <c r="S24"/>
  <c r="D26"/>
  <c r="N26"/>
  <c r="O26"/>
  <c r="P26"/>
  <c r="Q26"/>
  <c r="R26"/>
  <c r="S26"/>
  <c r="D27"/>
  <c r="G27"/>
  <c r="H27"/>
  <c r="M27"/>
  <c r="D28"/>
  <c r="G28"/>
  <c r="H28"/>
  <c r="M28"/>
  <c r="D30"/>
  <c r="D31"/>
  <c r="G31"/>
  <c r="H31"/>
  <c r="M31"/>
  <c r="D32"/>
  <c r="D33"/>
  <c r="D35"/>
  <c r="N35"/>
  <c r="O35"/>
  <c r="P35"/>
  <c r="Q35"/>
  <c r="R35"/>
  <c r="S35"/>
  <c r="D36"/>
  <c r="G36"/>
  <c r="H36"/>
  <c r="D38"/>
  <c r="N38"/>
  <c r="O38"/>
  <c r="P38"/>
  <c r="Q38"/>
  <c r="R38"/>
  <c r="S38"/>
  <c r="D40"/>
  <c r="N40"/>
  <c r="O40"/>
  <c r="P40"/>
  <c r="Q40"/>
  <c r="N42"/>
  <c r="O42"/>
  <c r="P42"/>
  <c r="Q42"/>
  <c r="D44"/>
  <c r="G44"/>
  <c r="H44"/>
  <c r="M44"/>
  <c r="D45"/>
  <c r="G45"/>
  <c r="H45"/>
  <c r="M45"/>
  <c r="D46"/>
  <c r="D48"/>
  <c r="N48"/>
  <c r="O48"/>
  <c r="P48"/>
  <c r="Q48"/>
  <c r="F53"/>
  <c r="D58"/>
  <c r="D66"/>
  <c r="B68"/>
  <c r="K68"/>
  <c r="J70"/>
  <c r="F76"/>
  <c r="H78"/>
  <c r="L78"/>
  <c r="R78"/>
  <c r="R82"/>
  <c r="P84"/>
  <c r="R84"/>
  <c r="R86"/>
  <c r="R88"/>
  <c r="R91"/>
  <c r="R93"/>
  <c r="R95"/>
  <c r="H97"/>
  <c r="R97"/>
  <c r="H98"/>
  <c r="H99"/>
  <c r="P101"/>
  <c r="R101"/>
  <c r="H104"/>
  <c r="R104"/>
  <c r="H105"/>
  <c r="R107"/>
  <c r="R109"/>
  <c r="H110"/>
  <c r="M110"/>
  <c r="H113"/>
  <c r="L113"/>
  <c r="R113"/>
  <c r="M114"/>
  <c r="N114"/>
  <c r="B116"/>
  <c r="R120"/>
  <c r="R122"/>
  <c r="R124"/>
  <c r="G130"/>
  <c r="O131"/>
  <c r="S131"/>
  <c r="T131"/>
  <c r="B132"/>
  <c r="M132"/>
  <c r="N134"/>
  <c r="O134"/>
  <c r="P134"/>
  <c r="Q134"/>
  <c r="M140"/>
  <c r="N140"/>
  <c r="O140"/>
  <c r="P140"/>
  <c r="Q140"/>
  <c r="V141"/>
  <c r="W142"/>
  <c r="X142"/>
  <c r="M144"/>
  <c r="R144"/>
  <c r="F3" i="316"/>
  <c r="F5"/>
  <c r="L5"/>
  <c r="M5"/>
  <c r="N5"/>
  <c r="F6"/>
  <c r="L6"/>
  <c r="M6"/>
  <c r="N6"/>
  <c r="B7"/>
  <c r="F7"/>
  <c r="L7"/>
  <c r="M7"/>
  <c r="N7"/>
  <c r="B8"/>
  <c r="F8"/>
  <c r="L8"/>
  <c r="M8"/>
  <c r="N8"/>
  <c r="F9"/>
  <c r="L9"/>
  <c r="M9"/>
  <c r="N9"/>
  <c r="B10"/>
  <c r="F10"/>
  <c r="L10"/>
  <c r="M10"/>
  <c r="N10"/>
  <c r="F11"/>
  <c r="L11"/>
  <c r="M11"/>
  <c r="N11"/>
  <c r="F12"/>
  <c r="L12"/>
  <c r="M12"/>
  <c r="N12"/>
  <c r="F13"/>
  <c r="L13"/>
  <c r="M13"/>
  <c r="N13"/>
  <c r="F14"/>
  <c r="L14"/>
  <c r="M14"/>
  <c r="N14"/>
  <c r="F15"/>
  <c r="L15"/>
  <c r="M15"/>
  <c r="N15"/>
  <c r="F16"/>
  <c r="L16"/>
  <c r="M16"/>
  <c r="N16"/>
  <c r="F17"/>
  <c r="L17"/>
  <c r="M17"/>
  <c r="N17"/>
  <c r="F18"/>
  <c r="L18"/>
  <c r="M18"/>
  <c r="N18"/>
  <c r="F19"/>
  <c r="L19"/>
  <c r="M19"/>
  <c r="N19"/>
  <c r="F20"/>
  <c r="L20"/>
  <c r="M20"/>
  <c r="N20"/>
  <c r="F21"/>
  <c r="L21"/>
  <c r="M21"/>
  <c r="N21"/>
  <c r="F22"/>
  <c r="L22"/>
  <c r="M22"/>
  <c r="N22"/>
  <c r="F23"/>
  <c r="L23"/>
  <c r="M23"/>
  <c r="N23"/>
  <c r="F24"/>
  <c r="L24"/>
  <c r="M24"/>
  <c r="N24"/>
  <c r="F25"/>
  <c r="L25"/>
  <c r="M25"/>
  <c r="N25"/>
  <c r="F26"/>
  <c r="L26"/>
  <c r="M26"/>
  <c r="N26"/>
  <c r="F27"/>
  <c r="L27"/>
  <c r="M27"/>
  <c r="N27"/>
  <c r="F28"/>
  <c r="L28"/>
  <c r="M28"/>
  <c r="N28"/>
  <c r="F29"/>
  <c r="L29"/>
  <c r="M29"/>
  <c r="N29"/>
  <c r="F30"/>
  <c r="L30"/>
  <c r="M30"/>
  <c r="N30"/>
  <c r="F31"/>
  <c r="L31"/>
  <c r="M31"/>
  <c r="N31"/>
  <c r="F32"/>
  <c r="L32"/>
  <c r="M32"/>
  <c r="N32"/>
  <c r="F33"/>
  <c r="L33"/>
  <c r="M33"/>
  <c r="N33"/>
  <c r="F34"/>
  <c r="L34"/>
  <c r="M34"/>
  <c r="N34"/>
  <c r="F35"/>
  <c r="L35"/>
  <c r="M35"/>
  <c r="N35"/>
  <c r="F36"/>
  <c r="L36"/>
  <c r="M36"/>
  <c r="N36"/>
  <c r="F37"/>
  <c r="L37"/>
  <c r="M37"/>
  <c r="N37"/>
  <c r="F38"/>
  <c r="M38"/>
  <c r="N38"/>
  <c r="F39"/>
  <c r="L39"/>
  <c r="M39"/>
  <c r="N39"/>
  <c r="F40"/>
  <c r="L40"/>
  <c r="M40"/>
  <c r="N40"/>
  <c r="F41"/>
  <c r="L41"/>
  <c r="M41"/>
  <c r="N41"/>
  <c r="F42"/>
  <c r="L42"/>
  <c r="M42"/>
  <c r="N42"/>
  <c r="B43"/>
  <c r="F43"/>
  <c r="L43"/>
  <c r="M43"/>
  <c r="N43"/>
  <c r="E44"/>
  <c r="F44"/>
  <c r="L44"/>
  <c r="M44"/>
  <c r="N44"/>
  <c r="F45"/>
  <c r="L45"/>
  <c r="M45"/>
  <c r="N45"/>
  <c r="F46"/>
  <c r="L46"/>
  <c r="M46"/>
  <c r="N46"/>
  <c r="F47"/>
  <c r="L47"/>
  <c r="M47"/>
  <c r="N47"/>
  <c r="L48"/>
  <c r="M48"/>
  <c r="N48"/>
  <c r="L49"/>
  <c r="M49"/>
  <c r="N49"/>
  <c r="L50"/>
  <c r="M50"/>
  <c r="N50"/>
  <c r="L51"/>
  <c r="M51"/>
  <c r="N51"/>
  <c r="M52"/>
  <c r="N52"/>
  <c r="L53"/>
  <c r="M53"/>
  <c r="N53"/>
  <c r="L54"/>
  <c r="M54"/>
  <c r="N54"/>
  <c r="L55"/>
  <c r="M55"/>
  <c r="N55"/>
  <c r="L56"/>
  <c r="N56"/>
  <c r="L57"/>
  <c r="M57"/>
  <c r="N57"/>
  <c r="M58"/>
  <c r="N58"/>
  <c r="F5" i="317"/>
  <c r="J6"/>
  <c r="K6"/>
  <c r="L6"/>
  <c r="M6"/>
  <c r="Q6"/>
  <c r="V6"/>
  <c r="D7"/>
  <c r="E7"/>
  <c r="G7"/>
  <c r="H7"/>
  <c r="I7"/>
  <c r="K7"/>
  <c r="D8"/>
  <c r="B8"/>
  <c r="C8"/>
  <c r="E8"/>
  <c r="G8"/>
  <c r="H8"/>
  <c r="I8"/>
  <c r="J8"/>
  <c r="K8"/>
  <c r="L8"/>
  <c r="D9"/>
  <c r="B9"/>
  <c r="C9"/>
  <c r="E9"/>
  <c r="G9"/>
  <c r="H9"/>
  <c r="I9"/>
  <c r="J9"/>
  <c r="K9"/>
  <c r="L9"/>
  <c r="D10"/>
  <c r="B10"/>
  <c r="C10"/>
  <c r="E10"/>
  <c r="G10"/>
  <c r="H10"/>
  <c r="I10"/>
  <c r="J10"/>
  <c r="K10"/>
  <c r="L10"/>
  <c r="D11"/>
  <c r="B11"/>
  <c r="C11"/>
  <c r="E11"/>
  <c r="G11"/>
  <c r="H11"/>
  <c r="I11"/>
  <c r="J11"/>
  <c r="K11"/>
  <c r="L11"/>
  <c r="D12"/>
  <c r="B12"/>
  <c r="C12"/>
  <c r="E12"/>
  <c r="G12"/>
  <c r="H12"/>
  <c r="I12"/>
  <c r="J12"/>
  <c r="K12"/>
  <c r="L12"/>
  <c r="D13"/>
  <c r="B13"/>
  <c r="C13"/>
  <c r="E13"/>
  <c r="G13"/>
  <c r="H13"/>
  <c r="I13"/>
  <c r="J13"/>
  <c r="K13"/>
  <c r="L13"/>
  <c r="D14"/>
  <c r="B14"/>
  <c r="C14"/>
  <c r="E14"/>
  <c r="G14"/>
  <c r="H14"/>
  <c r="I14"/>
  <c r="J14"/>
  <c r="K14"/>
  <c r="L14"/>
  <c r="D15"/>
  <c r="B15"/>
  <c r="C15"/>
  <c r="E15"/>
  <c r="G15"/>
  <c r="H15"/>
  <c r="I15"/>
  <c r="J15"/>
  <c r="K15"/>
  <c r="L15"/>
  <c r="D16"/>
  <c r="B16"/>
  <c r="C16"/>
  <c r="E16"/>
  <c r="G16"/>
  <c r="H16"/>
  <c r="I16"/>
  <c r="J16"/>
  <c r="K16"/>
  <c r="L16"/>
  <c r="D17"/>
  <c r="B17"/>
  <c r="C17"/>
  <c r="E17"/>
  <c r="G17"/>
  <c r="H17"/>
  <c r="I17"/>
  <c r="J17"/>
  <c r="K17"/>
  <c r="L17"/>
  <c r="D18"/>
  <c r="B18"/>
  <c r="C18"/>
  <c r="E18"/>
  <c r="G18"/>
  <c r="H18"/>
  <c r="I18"/>
  <c r="J18"/>
  <c r="K18"/>
  <c r="L18"/>
  <c r="D19"/>
  <c r="B19"/>
  <c r="C19"/>
  <c r="E19"/>
  <c r="G19"/>
  <c r="H19"/>
  <c r="I19"/>
  <c r="J19"/>
  <c r="K19"/>
  <c r="L19"/>
  <c r="D20"/>
  <c r="B20"/>
  <c r="C20"/>
  <c r="E20"/>
  <c r="G20"/>
  <c r="H20"/>
  <c r="I20"/>
  <c r="J20"/>
  <c r="K20"/>
  <c r="L20"/>
  <c r="D21"/>
  <c r="B21"/>
  <c r="C21"/>
  <c r="E21"/>
  <c r="G21"/>
  <c r="H21"/>
  <c r="I21"/>
  <c r="J21"/>
  <c r="K21"/>
  <c r="L21"/>
  <c r="D22"/>
  <c r="B22"/>
  <c r="C22"/>
  <c r="E22"/>
  <c r="G22"/>
  <c r="H22"/>
  <c r="I22"/>
  <c r="J22"/>
  <c r="K22"/>
  <c r="L22"/>
  <c r="B23"/>
  <c r="C23"/>
  <c r="G23"/>
  <c r="H23"/>
  <c r="U23"/>
  <c r="V23"/>
  <c r="E24"/>
  <c r="G25"/>
  <c r="H25"/>
  <c r="E31"/>
  <c r="F32"/>
  <c r="G32"/>
  <c r="I32"/>
  <c r="J32"/>
  <c r="N32"/>
  <c r="O32"/>
  <c r="P32"/>
  <c r="S32"/>
  <c r="V32"/>
  <c r="W32"/>
  <c r="AB32"/>
  <c r="D33"/>
  <c r="F33"/>
  <c r="G33"/>
  <c r="H33"/>
  <c r="I33"/>
  <c r="J33"/>
  <c r="M33"/>
  <c r="N33"/>
  <c r="O33"/>
  <c r="R33"/>
  <c r="S33"/>
  <c r="AA33"/>
  <c r="AB33"/>
  <c r="F36"/>
  <c r="F39"/>
  <c r="F42"/>
  <c r="F45"/>
  <c r="F48"/>
  <c r="F51"/>
  <c r="F54"/>
  <c r="F57"/>
  <c r="F60"/>
  <c r="F63"/>
  <c r="F66"/>
  <c r="F78"/>
  <c r="F81"/>
  <c r="AC33"/>
  <c r="E34"/>
  <c r="D36"/>
  <c r="G36"/>
  <c r="H36"/>
  <c r="I36"/>
  <c r="J36"/>
  <c r="M36"/>
  <c r="N36"/>
  <c r="R36"/>
  <c r="S36"/>
  <c r="AA36"/>
  <c r="AB36"/>
  <c r="AC36"/>
  <c r="E37"/>
  <c r="D39"/>
  <c r="G39"/>
  <c r="H39"/>
  <c r="I39"/>
  <c r="J39"/>
  <c r="M39"/>
  <c r="N39"/>
  <c r="R39"/>
  <c r="S39"/>
  <c r="AA39"/>
  <c r="AB39"/>
  <c r="AC39"/>
  <c r="E40"/>
  <c r="D42"/>
  <c r="G42"/>
  <c r="H42"/>
  <c r="I42"/>
  <c r="J42"/>
  <c r="M42"/>
  <c r="N42"/>
  <c r="R42"/>
  <c r="S42"/>
  <c r="AA42"/>
  <c r="AB42"/>
  <c r="AC42"/>
  <c r="E43"/>
  <c r="D45"/>
  <c r="G45"/>
  <c r="H45"/>
  <c r="I45"/>
  <c r="J45"/>
  <c r="M45"/>
  <c r="N45"/>
  <c r="R45"/>
  <c r="S45"/>
  <c r="AA45"/>
  <c r="AB45"/>
  <c r="AC45"/>
  <c r="E46"/>
  <c r="D48"/>
  <c r="G48"/>
  <c r="H48"/>
  <c r="I48"/>
  <c r="J48"/>
  <c r="M48"/>
  <c r="N48"/>
  <c r="R48"/>
  <c r="S48"/>
  <c r="AA48"/>
  <c r="AB48"/>
  <c r="AC48"/>
  <c r="E49"/>
  <c r="D51"/>
  <c r="G51"/>
  <c r="H51"/>
  <c r="I51"/>
  <c r="J51"/>
  <c r="M51"/>
  <c r="N51"/>
  <c r="R51"/>
  <c r="S51"/>
  <c r="AA51"/>
  <c r="AB51"/>
  <c r="AC51"/>
  <c r="E52"/>
  <c r="D54"/>
  <c r="G54"/>
  <c r="H54"/>
  <c r="I54"/>
  <c r="J54"/>
  <c r="M54"/>
  <c r="N54"/>
  <c r="R54"/>
  <c r="S54"/>
  <c r="AA54"/>
  <c r="AB54"/>
  <c r="AC54"/>
  <c r="E55"/>
  <c r="D57"/>
  <c r="G57"/>
  <c r="H57"/>
  <c r="I57"/>
  <c r="J57"/>
  <c r="M57"/>
  <c r="N57"/>
  <c r="R57"/>
  <c r="S57"/>
  <c r="AA57"/>
  <c r="AB57"/>
  <c r="AC57"/>
  <c r="E58"/>
  <c r="D60"/>
  <c r="G60"/>
  <c r="H60"/>
  <c r="I60"/>
  <c r="J60"/>
  <c r="M60"/>
  <c r="N60"/>
  <c r="R60"/>
  <c r="S60"/>
  <c r="AA60"/>
  <c r="AB60"/>
  <c r="AC60"/>
  <c r="E61"/>
  <c r="D63"/>
  <c r="G63"/>
  <c r="H63"/>
  <c r="I63"/>
  <c r="J63"/>
  <c r="M63"/>
  <c r="N63"/>
  <c r="R63"/>
  <c r="S63"/>
  <c r="AA63"/>
  <c r="AB63"/>
  <c r="AC63"/>
  <c r="E64"/>
  <c r="D66"/>
  <c r="G66"/>
  <c r="H66"/>
  <c r="I66"/>
  <c r="J66"/>
  <c r="M66"/>
  <c r="N66"/>
  <c r="R66"/>
  <c r="S66"/>
  <c r="AA66"/>
  <c r="AB66"/>
  <c r="AC66"/>
  <c r="E67"/>
  <c r="G69"/>
  <c r="H69"/>
  <c r="I69"/>
  <c r="J69"/>
  <c r="M69"/>
  <c r="N69"/>
  <c r="R69"/>
  <c r="S69"/>
  <c r="AA69"/>
  <c r="AB69"/>
  <c r="AC69"/>
  <c r="E70"/>
  <c r="G75"/>
  <c r="G72"/>
  <c r="H72"/>
  <c r="I72"/>
  <c r="J72"/>
  <c r="M72"/>
  <c r="N72"/>
  <c r="R72"/>
  <c r="S72"/>
  <c r="AA72"/>
  <c r="AB72"/>
  <c r="AC72"/>
  <c r="E73"/>
  <c r="H75"/>
  <c r="I75"/>
  <c r="J75"/>
  <c r="M75"/>
  <c r="N75"/>
  <c r="R75"/>
  <c r="S75"/>
  <c r="AA75"/>
  <c r="AB75"/>
  <c r="AC75"/>
  <c r="E76"/>
  <c r="D78"/>
  <c r="G78"/>
  <c r="H78"/>
  <c r="I78"/>
  <c r="J78"/>
  <c r="M78"/>
  <c r="N78"/>
  <c r="R78"/>
  <c r="S78"/>
  <c r="AA78"/>
  <c r="AB78"/>
  <c r="AC78"/>
  <c r="E79"/>
  <c r="G81"/>
  <c r="J81"/>
  <c r="M81"/>
  <c r="N81"/>
  <c r="AC81"/>
  <c r="F88"/>
  <c r="F89"/>
  <c r="H89"/>
  <c r="I89"/>
  <c r="J89"/>
  <c r="Q89"/>
  <c r="S89"/>
  <c r="D90"/>
  <c r="G90"/>
  <c r="H90"/>
  <c r="F111"/>
  <c r="F110"/>
  <c r="F109"/>
  <c r="F107"/>
  <c r="D91"/>
  <c r="G91"/>
  <c r="H91"/>
  <c r="I91"/>
  <c r="J91"/>
  <c r="D92"/>
  <c r="G92"/>
  <c r="H92"/>
  <c r="I92"/>
  <c r="J92"/>
  <c r="D93"/>
  <c r="G93"/>
  <c r="H93"/>
  <c r="D94"/>
  <c r="G94"/>
  <c r="H94"/>
  <c r="I94"/>
  <c r="J94"/>
  <c r="D95"/>
  <c r="G95"/>
  <c r="H95"/>
  <c r="I95"/>
  <c r="J95"/>
  <c r="D96"/>
  <c r="G96"/>
  <c r="H96"/>
  <c r="I96"/>
  <c r="J96"/>
  <c r="D97"/>
  <c r="G97"/>
  <c r="H97"/>
  <c r="D98"/>
  <c r="G98"/>
  <c r="H98"/>
  <c r="D99"/>
  <c r="G99"/>
  <c r="H99"/>
  <c r="D100"/>
  <c r="G100"/>
  <c r="H100"/>
  <c r="I100"/>
  <c r="J100"/>
  <c r="D101"/>
  <c r="G101"/>
  <c r="H101"/>
  <c r="I101"/>
  <c r="J101"/>
  <c r="D102"/>
  <c r="G102"/>
  <c r="H102"/>
  <c r="I102"/>
  <c r="J102"/>
  <c r="G103"/>
  <c r="H103"/>
  <c r="G104"/>
  <c r="H104"/>
  <c r="D105"/>
  <c r="G105"/>
  <c r="H105"/>
  <c r="I105"/>
  <c r="J105"/>
  <c r="G106"/>
  <c r="H106"/>
  <c r="P106"/>
  <c r="Q106"/>
  <c r="G107"/>
  <c r="H107"/>
  <c r="G108"/>
  <c r="H108"/>
  <c r="G109"/>
  <c r="H109"/>
  <c r="G110"/>
  <c r="H110"/>
  <c r="D111"/>
  <c r="G111"/>
  <c r="H111"/>
  <c r="D8" i="328"/>
  <c r="F8"/>
  <c r="E4" i="318"/>
  <c r="F5"/>
  <c r="G5"/>
  <c r="I5"/>
  <c r="K5"/>
  <c r="L5"/>
  <c r="M5"/>
  <c r="N5"/>
  <c r="H20"/>
  <c r="I20"/>
  <c r="L6"/>
  <c r="M6"/>
  <c r="S6"/>
  <c r="H16"/>
  <c r="I16"/>
  <c r="I17"/>
  <c r="K17"/>
  <c r="V18"/>
  <c r="C20"/>
  <c r="H29"/>
  <c r="H21"/>
  <c r="I29"/>
  <c r="I21"/>
  <c r="L21"/>
  <c r="M21"/>
  <c r="H22"/>
  <c r="I22"/>
  <c r="H23"/>
  <c r="I23"/>
  <c r="H24"/>
  <c r="I24"/>
  <c r="H25"/>
  <c r="I25"/>
  <c r="H26"/>
  <c r="I26"/>
  <c r="V27"/>
  <c r="C29"/>
  <c r="H38"/>
  <c r="I38"/>
  <c r="L30"/>
  <c r="M30"/>
  <c r="J36"/>
  <c r="K36"/>
  <c r="V36"/>
  <c r="C38"/>
  <c r="J38"/>
  <c r="K38"/>
  <c r="H47"/>
  <c r="L39"/>
  <c r="I47"/>
  <c r="M39"/>
  <c r="S39"/>
  <c r="V45"/>
  <c r="C47"/>
  <c r="H55"/>
  <c r="C55"/>
  <c r="I55"/>
  <c r="H60"/>
  <c r="J61"/>
  <c r="K61"/>
  <c r="R61"/>
  <c r="U61"/>
  <c r="V61"/>
  <c r="U62"/>
  <c r="J62"/>
  <c r="V62"/>
  <c r="K62"/>
  <c r="L62"/>
  <c r="Q62"/>
  <c r="R62"/>
  <c r="U63"/>
  <c r="J63"/>
  <c r="V63"/>
  <c r="K63"/>
  <c r="M63"/>
  <c r="O63"/>
  <c r="U64"/>
  <c r="J64"/>
  <c r="V64"/>
  <c r="K64"/>
  <c r="O64"/>
  <c r="P64"/>
  <c r="J65"/>
  <c r="K65"/>
  <c r="M65"/>
  <c r="O65"/>
  <c r="P65"/>
  <c r="J66"/>
  <c r="K66"/>
  <c r="U69"/>
  <c r="V69"/>
  <c r="F74"/>
  <c r="Q74"/>
  <c r="R74"/>
  <c r="E75"/>
  <c r="F75"/>
  <c r="Q75"/>
  <c r="R75"/>
  <c r="E4" i="319"/>
  <c r="F5"/>
  <c r="G5"/>
  <c r="I5"/>
  <c r="J5"/>
  <c r="K5"/>
  <c r="L5"/>
  <c r="H15"/>
  <c r="H6"/>
  <c r="I15"/>
  <c r="I6"/>
  <c r="J6"/>
  <c r="K6"/>
  <c r="H7"/>
  <c r="I7"/>
  <c r="H8"/>
  <c r="I8"/>
  <c r="H9"/>
  <c r="I9"/>
  <c r="H10"/>
  <c r="I10"/>
  <c r="H11"/>
  <c r="I11"/>
  <c r="H12"/>
  <c r="I12"/>
  <c r="H25"/>
  <c r="I25"/>
  <c r="J16"/>
  <c r="K16"/>
  <c r="H33"/>
  <c r="I33"/>
  <c r="J26"/>
  <c r="K26"/>
  <c r="H43"/>
  <c r="I43"/>
  <c r="H41"/>
  <c r="E49"/>
  <c r="J50"/>
  <c r="K50"/>
  <c r="L50"/>
  <c r="M50"/>
  <c r="N50"/>
  <c r="O50"/>
  <c r="F61"/>
  <c r="E62"/>
  <c r="F62"/>
  <c r="E4" i="320"/>
  <c r="F5"/>
  <c r="G5"/>
  <c r="I5"/>
  <c r="J5"/>
  <c r="K5"/>
  <c r="L5"/>
  <c r="Q5"/>
  <c r="R5"/>
  <c r="H17"/>
  <c r="J6"/>
  <c r="I17"/>
  <c r="K6"/>
  <c r="F13"/>
  <c r="G13"/>
  <c r="H13"/>
  <c r="I13"/>
  <c r="C17"/>
  <c r="H29"/>
  <c r="J18"/>
  <c r="I29"/>
  <c r="K18"/>
  <c r="F25"/>
  <c r="G25"/>
  <c r="H25"/>
  <c r="I25"/>
  <c r="C29"/>
  <c r="H38"/>
  <c r="J30"/>
  <c r="I38"/>
  <c r="K30"/>
  <c r="F34"/>
  <c r="G34"/>
  <c r="H34"/>
  <c r="I34"/>
  <c r="C38"/>
  <c r="H46"/>
  <c r="H39"/>
  <c r="I39"/>
  <c r="J39"/>
  <c r="I46"/>
  <c r="K39"/>
  <c r="H40"/>
  <c r="I40"/>
  <c r="H41"/>
  <c r="I41"/>
  <c r="F42"/>
  <c r="G42"/>
  <c r="H42"/>
  <c r="I42"/>
  <c r="H43"/>
  <c r="I43"/>
  <c r="H44"/>
  <c r="I44"/>
  <c r="C46"/>
  <c r="H52"/>
  <c r="I52"/>
  <c r="J47"/>
  <c r="K47"/>
  <c r="H50"/>
  <c r="I50"/>
  <c r="C52"/>
  <c r="F54"/>
  <c r="G54"/>
  <c r="J59"/>
  <c r="H59"/>
  <c r="H54"/>
  <c r="K59"/>
  <c r="I59"/>
  <c r="I54"/>
  <c r="C59"/>
  <c r="E65"/>
  <c r="J66"/>
  <c r="K66"/>
  <c r="L66"/>
  <c r="M66"/>
  <c r="N66"/>
  <c r="O66"/>
  <c r="J67"/>
  <c r="K67"/>
  <c r="J68"/>
  <c r="K68"/>
  <c r="J69"/>
  <c r="K69"/>
  <c r="J70"/>
  <c r="K70"/>
  <c r="J71"/>
  <c r="K71"/>
  <c r="J72"/>
  <c r="K72"/>
  <c r="J74"/>
  <c r="K74"/>
  <c r="F80"/>
  <c r="E81"/>
  <c r="F81"/>
  <c r="E5" i="321"/>
  <c r="F6"/>
  <c r="G6"/>
  <c r="H6"/>
  <c r="K6"/>
  <c r="L6"/>
  <c r="Q6"/>
  <c r="R6"/>
  <c r="S6"/>
  <c r="T6"/>
  <c r="D7"/>
  <c r="J7"/>
  <c r="K7"/>
  <c r="D8"/>
  <c r="J8"/>
  <c r="K8"/>
  <c r="D9"/>
  <c r="J9"/>
  <c r="K9"/>
  <c r="D10"/>
  <c r="H10"/>
  <c r="J10"/>
  <c r="K10"/>
  <c r="D11"/>
  <c r="H11"/>
  <c r="J11"/>
  <c r="K11"/>
  <c r="D12"/>
  <c r="J12"/>
  <c r="K12"/>
  <c r="D13"/>
  <c r="J13"/>
  <c r="K13"/>
  <c r="D14"/>
  <c r="J14"/>
  <c r="K14"/>
  <c r="D15"/>
  <c r="J15"/>
  <c r="K15"/>
  <c r="E24"/>
  <c r="F25"/>
  <c r="G25"/>
  <c r="P25"/>
  <c r="Q25"/>
  <c r="R25"/>
  <c r="U25"/>
  <c r="V25"/>
  <c r="W25"/>
  <c r="D26"/>
  <c r="F26"/>
  <c r="G26"/>
  <c r="F27"/>
  <c r="F28"/>
  <c r="F29"/>
  <c r="F30"/>
  <c r="F31"/>
  <c r="F32"/>
  <c r="F33"/>
  <c r="F34"/>
  <c r="F35"/>
  <c r="P26"/>
  <c r="G27"/>
  <c r="G28"/>
  <c r="G29"/>
  <c r="G30"/>
  <c r="G31"/>
  <c r="G32"/>
  <c r="G33"/>
  <c r="G34"/>
  <c r="G35"/>
  <c r="Q26"/>
  <c r="R26"/>
  <c r="S26"/>
  <c r="T26"/>
  <c r="U26"/>
  <c r="V26"/>
  <c r="W26"/>
  <c r="D27"/>
  <c r="P27"/>
  <c r="Q27"/>
  <c r="R27"/>
  <c r="S27"/>
  <c r="T27"/>
  <c r="U27"/>
  <c r="V27"/>
  <c r="W27"/>
  <c r="D28"/>
  <c r="P28"/>
  <c r="Q28"/>
  <c r="R28"/>
  <c r="S28"/>
  <c r="T28"/>
  <c r="U28"/>
  <c r="V28"/>
  <c r="W28"/>
  <c r="D29"/>
  <c r="P29"/>
  <c r="Q29"/>
  <c r="R29"/>
  <c r="S29"/>
  <c r="T29"/>
  <c r="U29"/>
  <c r="V29"/>
  <c r="W29"/>
  <c r="D30"/>
  <c r="P30"/>
  <c r="Q30"/>
  <c r="R30"/>
  <c r="S30"/>
  <c r="T30"/>
  <c r="U30"/>
  <c r="V30"/>
  <c r="W30"/>
  <c r="D31"/>
  <c r="P31"/>
  <c r="Q31"/>
  <c r="R31"/>
  <c r="S31"/>
  <c r="T31"/>
  <c r="U31"/>
  <c r="V31"/>
  <c r="W31"/>
  <c r="D32"/>
  <c r="P32"/>
  <c r="Q32"/>
  <c r="R32"/>
  <c r="S32"/>
  <c r="T32"/>
  <c r="U32"/>
  <c r="V32"/>
  <c r="W32"/>
  <c r="D33"/>
  <c r="P33"/>
  <c r="Q33"/>
  <c r="R33"/>
  <c r="S33"/>
  <c r="T33"/>
  <c r="U33"/>
  <c r="W33"/>
  <c r="D34"/>
  <c r="P34"/>
  <c r="Q34"/>
  <c r="R34"/>
  <c r="S34"/>
  <c r="T34"/>
  <c r="U34"/>
  <c r="W34"/>
  <c r="P35"/>
  <c r="Q35"/>
  <c r="R35"/>
  <c r="S35"/>
  <c r="T35"/>
  <c r="U35"/>
  <c r="F4" i="322"/>
  <c r="G5"/>
  <c r="H5"/>
  <c r="J5"/>
  <c r="K5"/>
  <c r="L5"/>
  <c r="M5"/>
  <c r="T5"/>
  <c r="I16"/>
  <c r="I6"/>
  <c r="J6"/>
  <c r="K6"/>
  <c r="J16"/>
  <c r="L6"/>
  <c r="I7"/>
  <c r="J7"/>
  <c r="I8"/>
  <c r="J8"/>
  <c r="I9"/>
  <c r="J9"/>
  <c r="I10"/>
  <c r="J10"/>
  <c r="I11"/>
  <c r="J11"/>
  <c r="I12"/>
  <c r="J12"/>
  <c r="S12"/>
  <c r="I13"/>
  <c r="J13"/>
  <c r="S13"/>
  <c r="R14"/>
  <c r="C16"/>
  <c r="I28"/>
  <c r="K17"/>
  <c r="J28"/>
  <c r="L17"/>
  <c r="Y17"/>
  <c r="I25"/>
  <c r="J25"/>
  <c r="S25"/>
  <c r="R26"/>
  <c r="C28"/>
  <c r="I37"/>
  <c r="K29"/>
  <c r="J37"/>
  <c r="L29"/>
  <c r="Y29"/>
  <c r="I34"/>
  <c r="J34"/>
  <c r="R35"/>
  <c r="C37"/>
  <c r="I46"/>
  <c r="K38"/>
  <c r="J46"/>
  <c r="L38"/>
  <c r="I44"/>
  <c r="J44"/>
  <c r="C46"/>
  <c r="I54"/>
  <c r="J54"/>
  <c r="C57"/>
  <c r="C60"/>
  <c r="I60"/>
  <c r="J60"/>
  <c r="E63"/>
  <c r="J64"/>
  <c r="K64"/>
  <c r="L64"/>
  <c r="M64"/>
  <c r="N64"/>
  <c r="O64"/>
  <c r="F77"/>
  <c r="F5" i="323"/>
  <c r="G6"/>
  <c r="H6"/>
  <c r="K6"/>
  <c r="M6"/>
  <c r="N6"/>
  <c r="O6"/>
  <c r="R6"/>
  <c r="S6"/>
  <c r="T6"/>
  <c r="U6"/>
  <c r="Y6"/>
  <c r="N17"/>
  <c r="N7"/>
  <c r="O17"/>
  <c r="O7"/>
  <c r="R7"/>
  <c r="S7"/>
  <c r="J10"/>
  <c r="K10"/>
  <c r="L10"/>
  <c r="M10"/>
  <c r="L11"/>
  <c r="M11"/>
  <c r="L13"/>
  <c r="M13"/>
  <c r="L14"/>
  <c r="M14"/>
  <c r="L15"/>
  <c r="M15"/>
  <c r="L16"/>
  <c r="M16"/>
  <c r="J34"/>
  <c r="G17"/>
  <c r="K34"/>
  <c r="H17"/>
  <c r="R17"/>
  <c r="S17"/>
  <c r="T17"/>
  <c r="J35"/>
  <c r="G18"/>
  <c r="K35"/>
  <c r="H18"/>
  <c r="L18"/>
  <c r="M18"/>
  <c r="L19"/>
  <c r="M19"/>
  <c r="N21"/>
  <c r="O21"/>
  <c r="R21"/>
  <c r="S21"/>
  <c r="J22"/>
  <c r="K22"/>
  <c r="L23"/>
  <c r="M23"/>
  <c r="L25"/>
  <c r="M25"/>
  <c r="L26"/>
  <c r="M26"/>
  <c r="L27"/>
  <c r="M27"/>
  <c r="L28"/>
  <c r="M28"/>
  <c r="N29"/>
  <c r="O29"/>
  <c r="R29"/>
  <c r="S29"/>
  <c r="J32"/>
  <c r="K32"/>
  <c r="G33"/>
  <c r="H33"/>
  <c r="X33"/>
  <c r="Y33"/>
  <c r="G34"/>
  <c r="H34"/>
  <c r="G35"/>
  <c r="H35"/>
  <c r="J36"/>
  <c r="K36"/>
  <c r="J39"/>
  <c r="K39"/>
  <c r="J40"/>
  <c r="K40"/>
  <c r="J41"/>
  <c r="K41"/>
  <c r="J42"/>
  <c r="K42"/>
  <c r="J44"/>
  <c r="K44"/>
  <c r="J45"/>
  <c r="K45"/>
  <c r="J46"/>
  <c r="K46"/>
  <c r="J47"/>
  <c r="K47"/>
  <c r="J48"/>
  <c r="K48"/>
  <c r="J49"/>
  <c r="K49"/>
  <c r="N50"/>
  <c r="O50"/>
  <c r="R50"/>
  <c r="S50"/>
  <c r="G53"/>
  <c r="H53"/>
  <c r="G55"/>
  <c r="H55"/>
  <c r="N56"/>
  <c r="O56"/>
  <c r="D16" i="324"/>
  <c r="AB63" i="323"/>
  <c r="E69"/>
  <c r="F70"/>
  <c r="G70"/>
  <c r="H70"/>
  <c r="I70"/>
  <c r="J70"/>
  <c r="F71"/>
  <c r="G71"/>
  <c r="F72"/>
  <c r="G72"/>
  <c r="I75"/>
  <c r="J75"/>
  <c r="F79"/>
  <c r="E80"/>
  <c r="F80"/>
  <c r="E81"/>
  <c r="F81"/>
  <c r="E6" i="324"/>
  <c r="F7"/>
  <c r="G7"/>
  <c r="H7"/>
  <c r="I7"/>
  <c r="J7"/>
  <c r="M7"/>
  <c r="Q7"/>
  <c r="R7"/>
  <c r="S7"/>
  <c r="T7"/>
  <c r="U7"/>
  <c r="D8"/>
  <c r="L8"/>
  <c r="M8"/>
  <c r="D9"/>
  <c r="H9"/>
  <c r="L9"/>
  <c r="M9"/>
  <c r="O9"/>
  <c r="D10"/>
  <c r="H10"/>
  <c r="L10"/>
  <c r="M10"/>
  <c r="O10"/>
  <c r="D11"/>
  <c r="H11"/>
  <c r="L11"/>
  <c r="M11"/>
  <c r="O11"/>
  <c r="D12"/>
  <c r="H12"/>
  <c r="L12"/>
  <c r="M12"/>
  <c r="O12"/>
  <c r="H13"/>
  <c r="L13"/>
  <c r="M13"/>
  <c r="O13"/>
  <c r="D14"/>
  <c r="H14"/>
  <c r="L14"/>
  <c r="M14"/>
  <c r="O14"/>
  <c r="L16"/>
  <c r="M16"/>
  <c r="D17"/>
  <c r="H17"/>
  <c r="L17"/>
  <c r="M17"/>
  <c r="D18"/>
  <c r="H18"/>
  <c r="L18"/>
  <c r="M18"/>
  <c r="D19"/>
  <c r="L19"/>
  <c r="M19"/>
  <c r="D20"/>
  <c r="H20"/>
  <c r="L20"/>
  <c r="M20"/>
  <c r="D21"/>
  <c r="H21"/>
  <c r="L21"/>
  <c r="M21"/>
  <c r="D22"/>
  <c r="H22"/>
  <c r="L22"/>
  <c r="M22"/>
  <c r="D23"/>
  <c r="H23"/>
  <c r="L23"/>
  <c r="M23"/>
  <c r="E6" i="325"/>
  <c r="G7"/>
  <c r="H7"/>
  <c r="J7"/>
  <c r="K7"/>
  <c r="L7"/>
  <c r="P7"/>
  <c r="Q7"/>
  <c r="R7"/>
  <c r="S7"/>
  <c r="B8"/>
  <c r="F8"/>
  <c r="I8"/>
  <c r="J8"/>
  <c r="B10"/>
  <c r="F10"/>
  <c r="I10"/>
  <c r="J10"/>
  <c r="B12"/>
  <c r="F12"/>
  <c r="I12"/>
  <c r="J12"/>
  <c r="B14"/>
  <c r="F14"/>
  <c r="I14"/>
  <c r="J14"/>
  <c r="B16"/>
  <c r="F16"/>
  <c r="I16"/>
  <c r="J16"/>
  <c r="B18"/>
  <c r="F18"/>
  <c r="I18"/>
  <c r="J18"/>
  <c r="B20"/>
  <c r="F20"/>
  <c r="I20"/>
  <c r="J20"/>
  <c r="B22"/>
  <c r="F22"/>
  <c r="I22"/>
  <c r="J22"/>
  <c r="B24"/>
  <c r="F24"/>
  <c r="I24"/>
  <c r="J24"/>
  <c r="B26"/>
  <c r="F26"/>
  <c r="I26"/>
  <c r="J26"/>
  <c r="B28"/>
  <c r="F28"/>
  <c r="I28"/>
  <c r="J28"/>
  <c r="B30"/>
  <c r="F30"/>
  <c r="I30"/>
  <c r="J30"/>
  <c r="F32"/>
  <c r="I32"/>
  <c r="J32"/>
  <c r="B34"/>
  <c r="F34"/>
  <c r="I34"/>
  <c r="J34"/>
  <c r="D36"/>
  <c r="B36"/>
  <c r="F36"/>
  <c r="J36"/>
  <c r="F6" i="326"/>
  <c r="H7"/>
  <c r="I7"/>
  <c r="J7"/>
  <c r="L7"/>
  <c r="M7"/>
  <c r="O7"/>
  <c r="S7"/>
  <c r="T7"/>
  <c r="Y7"/>
  <c r="Z7"/>
  <c r="B8"/>
  <c r="G8"/>
  <c r="J8"/>
  <c r="N8"/>
  <c r="O8"/>
  <c r="P8"/>
  <c r="G10"/>
  <c r="B10"/>
  <c r="J10"/>
  <c r="G11"/>
  <c r="G12"/>
  <c r="B13"/>
  <c r="G13"/>
  <c r="J13"/>
  <c r="N13"/>
  <c r="O13"/>
  <c r="P13"/>
  <c r="G15"/>
  <c r="B15"/>
  <c r="J15"/>
  <c r="G16"/>
  <c r="G17"/>
  <c r="B18"/>
  <c r="G18"/>
  <c r="J18"/>
  <c r="N18"/>
  <c r="O18"/>
  <c r="P18"/>
  <c r="G20"/>
  <c r="B20"/>
  <c r="J20"/>
  <c r="G21"/>
  <c r="G22"/>
  <c r="B23"/>
  <c r="G23"/>
  <c r="J23"/>
  <c r="N23"/>
  <c r="O23"/>
  <c r="P23"/>
  <c r="G25"/>
  <c r="B25"/>
  <c r="J25"/>
  <c r="G26"/>
  <c r="G27"/>
  <c r="B28"/>
  <c r="G28"/>
  <c r="J28"/>
  <c r="N28"/>
  <c r="O28"/>
  <c r="P28"/>
  <c r="G30"/>
  <c r="B30"/>
  <c r="J30"/>
  <c r="G31"/>
  <c r="G32"/>
  <c r="B5" i="327"/>
  <c r="F18" i="329"/>
  <c r="D8" i="330"/>
  <c r="F8"/>
  <c r="E7" i="327"/>
  <c r="D7"/>
  <c r="F7"/>
  <c r="D8"/>
  <c r="E8"/>
  <c r="F8"/>
  <c r="D9"/>
  <c r="E9"/>
  <c r="F9"/>
  <c r="G9"/>
  <c r="F10" i="329"/>
  <c r="F23"/>
  <c r="G23"/>
  <c r="F27"/>
  <c r="G27"/>
  <c r="D29"/>
  <c r="F29"/>
  <c r="G29"/>
  <c r="G31"/>
  <c r="D32" i="327"/>
  <c r="L9"/>
  <c r="D10"/>
  <c r="E10"/>
  <c r="F10"/>
  <c r="D11"/>
  <c r="E11"/>
  <c r="F11"/>
  <c r="D12"/>
  <c r="E12"/>
  <c r="F12"/>
  <c r="L12"/>
  <c r="B15"/>
  <c r="E17"/>
  <c r="D17"/>
  <c r="F17"/>
  <c r="D18"/>
  <c r="E18"/>
  <c r="F18"/>
  <c r="D19"/>
  <c r="E19"/>
  <c r="F19"/>
  <c r="G19"/>
  <c r="H23" i="329"/>
  <c r="H27"/>
  <c r="H29"/>
  <c r="H31"/>
  <c r="E32" i="327"/>
  <c r="L19"/>
  <c r="D20"/>
  <c r="E20"/>
  <c r="F20"/>
  <c r="D21"/>
  <c r="E21"/>
  <c r="F21"/>
  <c r="D22"/>
  <c r="E22"/>
  <c r="F22"/>
  <c r="L22"/>
  <c r="D8" i="329"/>
  <c r="F8"/>
  <c r="D32"/>
  <c r="F32"/>
  <c r="L31"/>
  <c r="F32" i="327"/>
  <c r="M23" i="329"/>
  <c r="M27"/>
  <c r="M29"/>
  <c r="M31"/>
  <c r="G32" i="327"/>
  <c r="F36"/>
  <c r="G37"/>
  <c r="H37"/>
  <c r="I37"/>
  <c r="J37"/>
  <c r="L37"/>
  <c r="R37"/>
  <c r="B38"/>
  <c r="C38"/>
  <c r="E38"/>
  <c r="G38" a="1"/>
  <c r="H38" a="1"/>
  <c r="B43"/>
  <c r="C43"/>
  <c r="E43"/>
  <c r="G43" a="1"/>
  <c r="H43" a="1"/>
  <c r="B48"/>
  <c r="C48"/>
  <c r="E48"/>
  <c r="G48" a="1"/>
  <c r="H48" a="1"/>
  <c r="G53"/>
  <c r="H53"/>
  <c r="I53"/>
  <c r="J53"/>
  <c r="K53"/>
  <c r="L53"/>
  <c r="B54"/>
  <c r="C54"/>
  <c r="E54"/>
  <c r="G54" a="1"/>
  <c r="H54" a="1"/>
  <c r="B59"/>
  <c r="C59"/>
  <c r="G59" a="1"/>
  <c r="H59" a="1"/>
  <c r="I64"/>
  <c r="Q64"/>
  <c r="G64"/>
  <c r="J64"/>
  <c r="H64"/>
  <c r="R64"/>
  <c r="Q66"/>
  <c r="R66"/>
  <c r="Q67"/>
  <c r="R67"/>
  <c r="P69"/>
  <c r="B70"/>
  <c r="C70"/>
  <c r="E70"/>
  <c r="G70" a="1"/>
  <c r="H70" a="1"/>
  <c r="G75"/>
  <c r="H75"/>
  <c r="E76"/>
  <c r="G76" a="1"/>
  <c r="H76" a="1"/>
  <c r="F85"/>
  <c r="E88"/>
  <c r="F88"/>
  <c r="E90"/>
  <c r="F90"/>
  <c r="F6" i="331"/>
  <c r="H25"/>
  <c r="H26"/>
  <c r="H27"/>
  <c r="H28"/>
  <c r="H29"/>
  <c r="H30"/>
  <c r="H31"/>
  <c r="H32"/>
  <c r="H33"/>
  <c r="F40"/>
  <c r="E40"/>
  <c r="E94" i="327"/>
  <c r="F94"/>
  <c r="E6" i="328"/>
  <c r="G7"/>
  <c r="H7"/>
  <c r="I7"/>
  <c r="L7"/>
  <c r="M7"/>
  <c r="R7"/>
  <c r="S7"/>
  <c r="T7"/>
  <c r="U7"/>
  <c r="K8"/>
  <c r="L8"/>
  <c r="F10"/>
  <c r="K10"/>
  <c r="L10"/>
  <c r="D12"/>
  <c r="F12"/>
  <c r="K12"/>
  <c r="L12"/>
  <c r="D14"/>
  <c r="F14"/>
  <c r="G14"/>
  <c r="H14"/>
  <c r="K14"/>
  <c r="L14"/>
  <c r="M14"/>
  <c r="R14"/>
  <c r="S14"/>
  <c r="D16"/>
  <c r="F16"/>
  <c r="G16"/>
  <c r="H16"/>
  <c r="K16"/>
  <c r="L16"/>
  <c r="M16"/>
  <c r="R16"/>
  <c r="S16"/>
  <c r="D18"/>
  <c r="F18"/>
  <c r="K18"/>
  <c r="L18"/>
  <c r="D20"/>
  <c r="F20"/>
  <c r="K20"/>
  <c r="L20"/>
  <c r="D22"/>
  <c r="F22"/>
  <c r="K22"/>
  <c r="L22"/>
  <c r="E6" i="329"/>
  <c r="G7"/>
  <c r="H7"/>
  <c r="I7"/>
  <c r="L7"/>
  <c r="M7"/>
  <c r="Q7"/>
  <c r="R7"/>
  <c r="S7"/>
  <c r="T7"/>
  <c r="Y7"/>
  <c r="K8"/>
  <c r="L8"/>
  <c r="K10"/>
  <c r="L10"/>
  <c r="D12"/>
  <c r="F12"/>
  <c r="K12"/>
  <c r="L12"/>
  <c r="D14"/>
  <c r="F14"/>
  <c r="G14"/>
  <c r="H14"/>
  <c r="K14"/>
  <c r="L14"/>
  <c r="M14"/>
  <c r="Q14"/>
  <c r="R14"/>
  <c r="D16"/>
  <c r="F16"/>
  <c r="G16"/>
  <c r="H16"/>
  <c r="K16"/>
  <c r="L16"/>
  <c r="M16"/>
  <c r="Q16"/>
  <c r="R16"/>
  <c r="K18"/>
  <c r="L18"/>
  <c r="D20"/>
  <c r="F20"/>
  <c r="K20"/>
  <c r="L20"/>
  <c r="K23"/>
  <c r="L23"/>
  <c r="K25"/>
  <c r="L25"/>
  <c r="M25"/>
  <c r="Y26"/>
  <c r="AA28"/>
  <c r="Y28"/>
  <c r="Z26"/>
  <c r="K27"/>
  <c r="L27"/>
  <c r="Z28"/>
  <c r="K29"/>
  <c r="L29"/>
  <c r="Y30"/>
  <c r="Z30"/>
  <c r="Q31"/>
  <c r="K32"/>
  <c r="L32"/>
  <c r="F34"/>
  <c r="K34"/>
  <c r="L34"/>
  <c r="D36"/>
  <c r="F36"/>
  <c r="K36"/>
  <c r="L36"/>
  <c r="F38"/>
  <c r="K38"/>
  <c r="L38"/>
  <c r="D40"/>
  <c r="F40"/>
  <c r="K40"/>
  <c r="L40"/>
  <c r="E6" i="330"/>
  <c r="G7"/>
  <c r="H7"/>
  <c r="I7"/>
  <c r="L7"/>
  <c r="M7"/>
  <c r="Q7"/>
  <c r="R7"/>
  <c r="S7"/>
  <c r="T7"/>
  <c r="K8"/>
  <c r="L8"/>
  <c r="F10"/>
  <c r="K10"/>
  <c r="L10"/>
  <c r="D12"/>
  <c r="F12"/>
  <c r="K12"/>
  <c r="L12"/>
  <c r="D14"/>
  <c r="F14"/>
  <c r="G14"/>
  <c r="H14"/>
  <c r="K14"/>
  <c r="L14"/>
  <c r="M14"/>
  <c r="Q14"/>
  <c r="R14"/>
  <c r="D16"/>
  <c r="F16"/>
  <c r="G16"/>
  <c r="H16"/>
  <c r="K16"/>
  <c r="L16"/>
  <c r="M16"/>
  <c r="Q16"/>
  <c r="R16"/>
  <c r="D18"/>
  <c r="F18"/>
  <c r="G18"/>
  <c r="H18"/>
  <c r="K18"/>
  <c r="L18"/>
  <c r="M18"/>
  <c r="Q18"/>
  <c r="R18"/>
  <c r="F20"/>
  <c r="K20"/>
  <c r="L20"/>
  <c r="D22"/>
  <c r="F22"/>
  <c r="G22"/>
  <c r="H22"/>
  <c r="K22"/>
  <c r="L22"/>
  <c r="M22"/>
  <c r="Q22"/>
  <c r="R22"/>
  <c r="D24"/>
  <c r="F24"/>
  <c r="K24"/>
  <c r="L24"/>
  <c r="F26"/>
  <c r="K26"/>
  <c r="L26"/>
  <c r="G28"/>
  <c r="H28"/>
  <c r="K28"/>
  <c r="L28"/>
  <c r="M28"/>
  <c r="Q28"/>
  <c r="R28"/>
  <c r="K31"/>
  <c r="L31"/>
  <c r="E4" i="331"/>
  <c r="F5"/>
  <c r="G5"/>
  <c r="H5"/>
  <c r="J5"/>
  <c r="M5"/>
  <c r="N5"/>
  <c r="O5"/>
  <c r="P5"/>
  <c r="Q5"/>
  <c r="N6"/>
  <c r="P6"/>
  <c r="Q6"/>
  <c r="D7"/>
  <c r="F7"/>
  <c r="N7"/>
  <c r="P7"/>
  <c r="Q7"/>
  <c r="D8"/>
  <c r="F8"/>
  <c r="D9"/>
  <c r="F9"/>
  <c r="G9"/>
  <c r="H9"/>
  <c r="D10"/>
  <c r="F10"/>
  <c r="F11"/>
  <c r="D12"/>
  <c r="F12"/>
  <c r="G12"/>
  <c r="H12"/>
  <c r="D13"/>
  <c r="F13"/>
  <c r="G13"/>
  <c r="H13"/>
  <c r="D14"/>
  <c r="F14"/>
  <c r="G14"/>
  <c r="H14"/>
  <c r="D15"/>
  <c r="F15"/>
  <c r="F23"/>
  <c r="G24"/>
  <c r="H24"/>
  <c r="I24"/>
  <c r="L24"/>
  <c r="M24"/>
  <c r="N24"/>
  <c r="Q24"/>
  <c r="D25"/>
  <c r="G25"/>
  <c r="G26"/>
  <c r="G27"/>
  <c r="G28"/>
  <c r="G29"/>
  <c r="G30"/>
  <c r="G31"/>
  <c r="G32"/>
  <c r="G33"/>
  <c r="K25"/>
  <c r="L25"/>
  <c r="M25"/>
  <c r="N25"/>
  <c r="P25"/>
  <c r="T25"/>
  <c r="U25"/>
  <c r="V25"/>
  <c r="D26"/>
  <c r="K26"/>
  <c r="L26"/>
  <c r="M26"/>
  <c r="N26"/>
  <c r="P26"/>
  <c r="T26"/>
  <c r="U26"/>
  <c r="V26"/>
  <c r="D27"/>
  <c r="K27"/>
  <c r="L27"/>
  <c r="M27"/>
  <c r="N27"/>
  <c r="P27"/>
  <c r="T27"/>
  <c r="U27"/>
  <c r="V27"/>
  <c r="D28"/>
  <c r="K28"/>
  <c r="L28"/>
  <c r="M28"/>
  <c r="N28"/>
  <c r="P28"/>
  <c r="T28"/>
  <c r="U28"/>
  <c r="V28"/>
  <c r="D29"/>
  <c r="K29"/>
  <c r="L29"/>
  <c r="M29"/>
  <c r="N29"/>
  <c r="P29"/>
  <c r="T29"/>
  <c r="U29"/>
  <c r="V29"/>
  <c r="D30"/>
  <c r="K30"/>
  <c r="L30"/>
  <c r="M30"/>
  <c r="N30"/>
  <c r="P30"/>
  <c r="T30"/>
  <c r="U30"/>
  <c r="V30"/>
  <c r="D31"/>
  <c r="K31"/>
  <c r="L31"/>
  <c r="M31"/>
  <c r="N31"/>
  <c r="P31"/>
  <c r="T31"/>
  <c r="U31"/>
  <c r="V31"/>
  <c r="D32"/>
  <c r="K32"/>
  <c r="L32"/>
  <c r="M32"/>
  <c r="N32"/>
  <c r="P32"/>
  <c r="T32"/>
  <c r="U32"/>
  <c r="V32"/>
  <c r="K33"/>
  <c r="L33"/>
  <c r="M33"/>
  <c r="N33"/>
  <c r="P33"/>
  <c r="T33"/>
  <c r="U33"/>
  <c r="V33"/>
  <c r="F38"/>
  <c r="D1" i="332"/>
  <c r="F4"/>
  <c r="G5"/>
  <c r="I5"/>
  <c r="J5"/>
  <c r="K5"/>
  <c r="L5"/>
  <c r="M5"/>
  <c r="N5"/>
  <c r="G6"/>
  <c r="H6"/>
  <c r="J6"/>
  <c r="K6"/>
  <c r="L6"/>
  <c r="M6"/>
  <c r="N6"/>
  <c r="O6"/>
  <c r="P6"/>
  <c r="C7"/>
  <c r="E7"/>
  <c r="C8"/>
  <c r="D8"/>
  <c r="E8"/>
  <c r="C9"/>
  <c r="E9"/>
  <c r="G9"/>
  <c r="G21"/>
  <c r="P21"/>
  <c r="R9"/>
  <c r="K9"/>
  <c r="L9"/>
  <c r="M9"/>
  <c r="N9"/>
  <c r="O9"/>
  <c r="P9"/>
  <c r="C10"/>
  <c r="E10"/>
  <c r="C11"/>
  <c r="E11"/>
  <c r="S11"/>
  <c r="C12"/>
  <c r="E12"/>
  <c r="S12"/>
  <c r="C13"/>
  <c r="E13"/>
  <c r="S13"/>
  <c r="C15"/>
  <c r="E15"/>
  <c r="S15"/>
  <c r="C16"/>
  <c r="E16"/>
  <c r="S16"/>
  <c r="C17"/>
  <c r="E17"/>
  <c r="S17"/>
  <c r="C18"/>
  <c r="E18"/>
  <c r="S18"/>
  <c r="C20"/>
  <c r="E20"/>
  <c r="S20"/>
  <c r="C21"/>
  <c r="E21"/>
  <c r="K21"/>
  <c r="L21"/>
  <c r="M21"/>
  <c r="N21"/>
  <c r="O21"/>
  <c r="C23"/>
  <c r="E23"/>
  <c r="G23"/>
  <c r="K23"/>
  <c r="G26"/>
  <c r="N26"/>
  <c r="N23"/>
  <c r="P26"/>
  <c r="P23"/>
  <c r="C24"/>
  <c r="E24"/>
  <c r="C25"/>
  <c r="E25"/>
  <c r="G25"/>
  <c r="K25"/>
  <c r="N25"/>
  <c r="P25"/>
  <c r="C26"/>
  <c r="E26"/>
  <c r="K26"/>
  <c r="L26"/>
  <c r="M26"/>
  <c r="C27"/>
  <c r="E27"/>
  <c r="G27"/>
  <c r="I27"/>
  <c r="J27"/>
  <c r="E33"/>
  <c r="G34"/>
  <c r="I34"/>
  <c r="L34"/>
  <c r="M34"/>
  <c r="C35"/>
  <c r="D35"/>
  <c r="E35"/>
  <c r="L35"/>
  <c r="H35"/>
  <c r="F35"/>
  <c r="M35"/>
  <c r="I35"/>
  <c r="G35"/>
  <c r="C36"/>
  <c r="D36"/>
  <c r="E36"/>
  <c r="L36"/>
  <c r="H36"/>
  <c r="F36"/>
  <c r="M36"/>
  <c r="I36"/>
  <c r="G36"/>
  <c r="C37"/>
  <c r="D37"/>
  <c r="E37"/>
  <c r="L37"/>
  <c r="H37"/>
  <c r="F37"/>
  <c r="M37"/>
  <c r="I37"/>
  <c r="G37"/>
  <c r="C38"/>
  <c r="D38"/>
  <c r="E38"/>
  <c r="C39"/>
  <c r="D39"/>
  <c r="E39"/>
  <c r="L39"/>
  <c r="H39"/>
  <c r="F39"/>
  <c r="M39"/>
  <c r="I39"/>
  <c r="G39"/>
  <c r="C40"/>
  <c r="D40"/>
  <c r="E40"/>
  <c r="L40"/>
  <c r="H40"/>
  <c r="F40"/>
  <c r="M40"/>
  <c r="I40"/>
  <c r="G40"/>
  <c r="C41"/>
  <c r="D41"/>
  <c r="E41"/>
  <c r="C42"/>
  <c r="D42"/>
  <c r="E42"/>
  <c r="C43"/>
  <c r="D43"/>
  <c r="E43"/>
  <c r="L43"/>
  <c r="H43"/>
  <c r="F43"/>
  <c r="M43"/>
  <c r="I43"/>
  <c r="G43"/>
  <c r="C44"/>
  <c r="D44"/>
  <c r="E44"/>
  <c r="C45"/>
  <c r="D45"/>
  <c r="E45"/>
  <c r="L45"/>
  <c r="H45"/>
  <c r="F45"/>
  <c r="M45"/>
  <c r="I45"/>
  <c r="G45"/>
  <c r="C46"/>
  <c r="D46"/>
  <c r="E46"/>
  <c r="C47"/>
  <c r="D47"/>
  <c r="E47"/>
  <c r="C48"/>
  <c r="D48"/>
  <c r="E48"/>
  <c r="C49"/>
  <c r="D49"/>
  <c r="E49"/>
  <c r="L49"/>
  <c r="H49"/>
  <c r="F49"/>
  <c r="M49"/>
  <c r="I49"/>
  <c r="G49"/>
  <c r="C50"/>
  <c r="D50"/>
  <c r="E50"/>
  <c r="L50"/>
  <c r="H50"/>
  <c r="F50"/>
  <c r="M50"/>
  <c r="I50"/>
  <c r="G50"/>
  <c r="F54"/>
  <c r="G55"/>
  <c r="H55"/>
  <c r="D56"/>
  <c r="G56"/>
  <c r="H56"/>
  <c r="D57"/>
  <c r="G57"/>
  <c r="H57"/>
  <c r="G59"/>
  <c r="F3" i="333"/>
  <c r="G3"/>
  <c r="B4"/>
  <c r="C4"/>
  <c r="B5"/>
  <c r="C5"/>
  <c r="B6"/>
  <c r="C6"/>
  <c r="B7"/>
  <c r="C7"/>
  <c r="B8"/>
  <c r="C8"/>
  <c r="B9"/>
  <c r="C9"/>
  <c r="C10"/>
  <c r="D17"/>
  <c r="B19"/>
  <c r="D19"/>
  <c r="B33" i="1"/>
  <c r="D71"/>
  <c r="D72"/>
  <c r="D73"/>
  <c r="F27" i="40"/>
  <c r="G27"/>
  <c r="L33" i="1"/>
  <c r="N71"/>
  <c r="N72"/>
  <c r="N73"/>
  <c r="F10" i="40"/>
  <c r="F23"/>
  <c r="G23"/>
  <c r="D33" i="1"/>
  <c r="F71"/>
  <c r="F72"/>
  <c r="F73"/>
  <c r="D29" i="40"/>
  <c r="F29"/>
  <c r="G29"/>
  <c r="L31"/>
  <c r="B33" i="304"/>
  <c r="D71"/>
  <c r="D72"/>
  <c r="D73"/>
  <c r="H27" i="40"/>
  <c r="M27"/>
  <c r="L33" i="304"/>
  <c r="N71"/>
  <c r="N72"/>
  <c r="N73"/>
  <c r="H23" i="40"/>
  <c r="M23"/>
  <c r="D33" i="304"/>
  <c r="F71"/>
  <c r="F72"/>
  <c r="F73"/>
  <c r="H29" i="40"/>
  <c r="M29"/>
  <c r="M31"/>
  <c r="AA28"/>
  <c r="Y26"/>
  <c r="Y30"/>
  <c r="Y28"/>
  <c r="Z28"/>
  <c r="AY1" i="1"/>
  <c r="C3" i="288"/>
  <c r="C4"/>
  <c r="H78" i="305"/>
  <c r="L100"/>
  <c r="L123"/>
  <c r="F78"/>
  <c r="L128"/>
  <c r="G78"/>
  <c r="I78"/>
  <c r="J78"/>
  <c r="N78"/>
  <c r="A79"/>
  <c r="H79"/>
  <c r="L124"/>
  <c r="F79"/>
  <c r="L129"/>
  <c r="G79"/>
  <c r="J79"/>
  <c r="N79"/>
  <c r="A80"/>
  <c r="H80"/>
  <c r="L125"/>
  <c r="F80"/>
  <c r="L130"/>
  <c r="G80"/>
  <c r="I80"/>
  <c r="J80"/>
  <c r="N80"/>
  <c r="A81"/>
  <c r="H81"/>
  <c r="L126"/>
  <c r="F81"/>
  <c r="L131"/>
  <c r="G81"/>
  <c r="I81"/>
  <c r="J81"/>
  <c r="N81"/>
  <c r="T47" i="304"/>
  <c r="R33"/>
  <c r="T64"/>
  <c r="D64"/>
  <c r="C33"/>
  <c r="E64"/>
  <c r="F64"/>
  <c r="E33"/>
  <c r="G64"/>
  <c r="F33"/>
  <c r="H64"/>
  <c r="G33"/>
  <c r="I64"/>
  <c r="H33"/>
  <c r="J64"/>
  <c r="I33"/>
  <c r="K64"/>
  <c r="J33"/>
  <c r="L64"/>
  <c r="K33"/>
  <c r="M64"/>
  <c r="N64"/>
  <c r="M33"/>
  <c r="O64"/>
  <c r="N33"/>
  <c r="P64"/>
  <c r="O33"/>
  <c r="Q64"/>
  <c r="P33"/>
  <c r="R64"/>
  <c r="Q33"/>
  <c r="S64"/>
  <c r="U64"/>
  <c r="BH39"/>
  <c r="B28"/>
  <c r="D59"/>
  <c r="C28"/>
  <c r="E59"/>
  <c r="D28"/>
  <c r="F59"/>
  <c r="E28"/>
  <c r="G59"/>
  <c r="F28"/>
  <c r="H59"/>
  <c r="G28"/>
  <c r="I59"/>
  <c r="H28"/>
  <c r="J59"/>
  <c r="I28"/>
  <c r="K59"/>
  <c r="J28"/>
  <c r="L59"/>
  <c r="K28"/>
  <c r="M59"/>
  <c r="L28"/>
  <c r="N59"/>
  <c r="M28"/>
  <c r="O59"/>
  <c r="N28"/>
  <c r="P59"/>
  <c r="O28"/>
  <c r="Q59"/>
  <c r="P28"/>
  <c r="R59"/>
  <c r="Q28"/>
  <c r="S59"/>
  <c r="R28"/>
  <c r="T59"/>
  <c r="U59"/>
  <c r="BH34"/>
  <c r="B29"/>
  <c r="D60"/>
  <c r="C29"/>
  <c r="E60"/>
  <c r="D29"/>
  <c r="F60"/>
  <c r="E29"/>
  <c r="G60"/>
  <c r="F29"/>
  <c r="H60"/>
  <c r="G29"/>
  <c r="I60"/>
  <c r="H29"/>
  <c r="J60"/>
  <c r="I29"/>
  <c r="K60"/>
  <c r="J29"/>
  <c r="L60"/>
  <c r="K29"/>
  <c r="M60"/>
  <c r="L29"/>
  <c r="N60"/>
  <c r="M29"/>
  <c r="O60"/>
  <c r="N29"/>
  <c r="P60"/>
  <c r="O29"/>
  <c r="Q60"/>
  <c r="P29"/>
  <c r="R60"/>
  <c r="Q29"/>
  <c r="S60"/>
  <c r="R29"/>
  <c r="T60"/>
  <c r="U60"/>
  <c r="BH35"/>
  <c r="B30"/>
  <c r="D61"/>
  <c r="C30"/>
  <c r="E61"/>
  <c r="D30"/>
  <c r="F61"/>
  <c r="E30"/>
  <c r="G61"/>
  <c r="F30"/>
  <c r="H61"/>
  <c r="G30"/>
  <c r="I61"/>
  <c r="H30"/>
  <c r="J61"/>
  <c r="I30"/>
  <c r="K61"/>
  <c r="J30"/>
  <c r="L61"/>
  <c r="K30"/>
  <c r="M61"/>
  <c r="L30"/>
  <c r="N61"/>
  <c r="M30"/>
  <c r="O61"/>
  <c r="N30"/>
  <c r="P61"/>
  <c r="O30"/>
  <c r="Q61"/>
  <c r="P30"/>
  <c r="R61"/>
  <c r="Q30"/>
  <c r="S61"/>
  <c r="R30"/>
  <c r="T61"/>
  <c r="U61"/>
  <c r="BH36"/>
  <c r="B31"/>
  <c r="D62"/>
  <c r="C31"/>
  <c r="E62"/>
  <c r="D31"/>
  <c r="F62"/>
  <c r="E31"/>
  <c r="G62"/>
  <c r="F31"/>
  <c r="H62"/>
  <c r="G31"/>
  <c r="I62"/>
  <c r="H31"/>
  <c r="J62"/>
  <c r="I31"/>
  <c r="K62"/>
  <c r="J31"/>
  <c r="L62"/>
  <c r="K31"/>
  <c r="M62"/>
  <c r="L31"/>
  <c r="N62"/>
  <c r="M31"/>
  <c r="O62"/>
  <c r="N31"/>
  <c r="P62"/>
  <c r="O31"/>
  <c r="Q62"/>
  <c r="P31"/>
  <c r="R45"/>
  <c r="R62"/>
  <c r="Q31"/>
  <c r="S62"/>
  <c r="R31"/>
  <c r="T62"/>
  <c r="U62"/>
  <c r="BH37"/>
  <c r="B32"/>
  <c r="D63"/>
  <c r="C32"/>
  <c r="E63"/>
  <c r="D32"/>
  <c r="F63"/>
  <c r="E32"/>
  <c r="G63"/>
  <c r="F32"/>
  <c r="H63"/>
  <c r="G32"/>
  <c r="I63"/>
  <c r="H32"/>
  <c r="J63"/>
  <c r="I32"/>
  <c r="K63"/>
  <c r="J32"/>
  <c r="L63"/>
  <c r="K32"/>
  <c r="M63"/>
  <c r="L32"/>
  <c r="N63"/>
  <c r="M32"/>
  <c r="O63"/>
  <c r="N32"/>
  <c r="P63"/>
  <c r="O32"/>
  <c r="Q63"/>
  <c r="P32"/>
  <c r="R63"/>
  <c r="Q32"/>
  <c r="S63"/>
  <c r="R32"/>
  <c r="T63"/>
  <c r="U63"/>
  <c r="BH38"/>
  <c r="BI40"/>
  <c r="BE8"/>
  <c r="BE9"/>
  <c r="BE10"/>
  <c r="AY7"/>
  <c r="BB7"/>
  <c r="AZ7"/>
  <c r="AZ8"/>
  <c r="AZ9"/>
  <c r="AZ10"/>
  <c r="AZ11"/>
  <c r="AZ12"/>
  <c r="AZ13"/>
  <c r="AZ14"/>
  <c r="AZ15"/>
  <c r="AZ16"/>
  <c r="AZ17"/>
  <c r="AZ18"/>
  <c r="AZ19"/>
  <c r="AZ20"/>
  <c r="AZ21"/>
  <c r="AZ22"/>
  <c r="AY8"/>
  <c r="AY9"/>
  <c r="AY10"/>
  <c r="AY11"/>
  <c r="AY12"/>
  <c r="AY13"/>
  <c r="AY14"/>
  <c r="AY15"/>
  <c r="AY16"/>
  <c r="AY17"/>
  <c r="AY18"/>
  <c r="AY19"/>
  <c r="AY20"/>
  <c r="AY21"/>
  <c r="AZ23" a="1"/>
  <c r="AZ4"/>
  <c r="AZ25"/>
  <c r="BA7"/>
  <c r="BA8"/>
  <c r="BA9"/>
  <c r="BA10"/>
  <c r="BA11"/>
  <c r="BA12"/>
  <c r="BA13"/>
  <c r="BA14"/>
  <c r="BA15"/>
  <c r="BA16"/>
  <c r="BA17"/>
  <c r="BA18"/>
  <c r="BA19"/>
  <c r="BA20"/>
  <c r="BA21"/>
  <c r="BA22"/>
  <c r="BA23" a="1"/>
  <c r="BA25"/>
  <c r="BB25"/>
  <c r="BB8"/>
  <c r="AZ26"/>
  <c r="BA26"/>
  <c r="BB26"/>
  <c r="BB9"/>
  <c r="AZ27"/>
  <c r="BA27"/>
  <c r="BB27"/>
  <c r="BB10"/>
  <c r="AZ28"/>
  <c r="BA28"/>
  <c r="BB28"/>
  <c r="BB11"/>
  <c r="AZ29"/>
  <c r="BA29"/>
  <c r="BB29"/>
  <c r="BB12"/>
  <c r="AZ30"/>
  <c r="BA30"/>
  <c r="BB30"/>
  <c r="BB13"/>
  <c r="AZ31"/>
  <c r="BA31"/>
  <c r="BB31"/>
  <c r="BB14"/>
  <c r="AZ32"/>
  <c r="BA32"/>
  <c r="BB32"/>
  <c r="BB15"/>
  <c r="AZ33"/>
  <c r="BA33"/>
  <c r="BB33"/>
  <c r="BB16"/>
  <c r="AZ34"/>
  <c r="BA34"/>
  <c r="BB34"/>
  <c r="BB17"/>
  <c r="AZ35"/>
  <c r="BA35"/>
  <c r="BB35"/>
  <c r="BB18"/>
  <c r="AZ36"/>
  <c r="BA36"/>
  <c r="BB36"/>
  <c r="BB19"/>
  <c r="AZ37"/>
  <c r="BA37"/>
  <c r="BB37"/>
  <c r="BB20"/>
  <c r="AZ38"/>
  <c r="BA38"/>
  <c r="BB38"/>
  <c r="BB21"/>
  <c r="AZ39"/>
  <c r="BA39"/>
  <c r="BB39"/>
  <c r="BB40"/>
  <c r="AZ49"/>
  <c r="BB49"/>
  <c r="BD49"/>
  <c r="BF49"/>
  <c r="BG49"/>
  <c r="AZ50"/>
  <c r="BD50"/>
  <c r="BF50"/>
  <c r="BG50"/>
  <c r="AZ51"/>
  <c r="BD51"/>
  <c r="BF51"/>
  <c r="BG51"/>
  <c r="AZ52"/>
  <c r="BD52"/>
  <c r="BF52"/>
  <c r="BG52"/>
  <c r="AZ53"/>
  <c r="BD53"/>
  <c r="BF53"/>
  <c r="BG53"/>
  <c r="AZ54"/>
  <c r="BD54"/>
  <c r="BF54"/>
  <c r="BG54"/>
  <c r="AZ55"/>
  <c r="BD55"/>
  <c r="BF55"/>
  <c r="BG55"/>
  <c r="AZ56"/>
  <c r="BD56"/>
  <c r="BF56"/>
  <c r="BG56"/>
  <c r="AZ57"/>
  <c r="BB57"/>
  <c r="BD57"/>
  <c r="BF57"/>
  <c r="BG57"/>
  <c r="AZ58"/>
  <c r="BD58"/>
  <c r="BF58"/>
  <c r="BG58"/>
  <c r="AZ59"/>
  <c r="BD59"/>
  <c r="BF59"/>
  <c r="BG59"/>
  <c r="AZ60"/>
  <c r="BD60"/>
  <c r="BF60"/>
  <c r="BG60"/>
  <c r="AZ61"/>
  <c r="BD61"/>
  <c r="BF61"/>
  <c r="BG61"/>
  <c r="AZ62"/>
  <c r="BB62"/>
  <c r="BD62"/>
  <c r="BF62"/>
  <c r="BG62"/>
  <c r="AZ63"/>
  <c r="BD63"/>
  <c r="BF63"/>
  <c r="BG63"/>
  <c r="BB68"/>
  <c r="BG68"/>
  <c r="BG69"/>
  <c r="BB41"/>
  <c r="BB50"/>
  <c r="BB51"/>
  <c r="BB52"/>
  <c r="BB53"/>
  <c r="BB54"/>
  <c r="BB55"/>
  <c r="BB56"/>
  <c r="BB58"/>
  <c r="BB59"/>
  <c r="BB60"/>
  <c r="BB61"/>
  <c r="BB63"/>
  <c r="BB69"/>
  <c r="BG37"/>
  <c r="X27" i="305"/>
  <c r="U47" i="306"/>
  <c r="A61"/>
  <c r="C61" a="1"/>
  <c r="M78" i="305"/>
  <c r="K78"/>
  <c r="O78"/>
  <c r="M79"/>
  <c r="K79"/>
  <c r="O79"/>
  <c r="M80"/>
  <c r="K80"/>
  <c r="O80"/>
  <c r="M81"/>
  <c r="K81"/>
  <c r="O81"/>
  <c r="F83"/>
  <c r="L133"/>
  <c r="G83"/>
  <c r="G82"/>
  <c r="J83"/>
  <c r="N83"/>
  <c r="H58"/>
  <c r="D28" a="1"/>
  <c r="E28"/>
  <c r="F28"/>
  <c r="G28"/>
  <c r="H28"/>
  <c r="I28"/>
  <c r="J28"/>
  <c r="K28"/>
  <c r="L28"/>
  <c r="M28"/>
  <c r="N28"/>
  <c r="O28"/>
  <c r="P28"/>
  <c r="A59"/>
  <c r="H59"/>
  <c r="F59"/>
  <c r="M59"/>
  <c r="R59"/>
  <c r="A60"/>
  <c r="H60"/>
  <c r="F60"/>
  <c r="M60"/>
  <c r="R60"/>
  <c r="A61"/>
  <c r="H61"/>
  <c r="F61"/>
  <c r="M61"/>
  <c r="R61"/>
  <c r="BG34" i="304"/>
  <c r="A57" i="306"/>
  <c r="C57" a="1"/>
  <c r="G59" i="305"/>
  <c r="J59"/>
  <c r="N59"/>
  <c r="K59"/>
  <c r="O59"/>
  <c r="G60"/>
  <c r="J60"/>
  <c r="N60"/>
  <c r="K60"/>
  <c r="O60"/>
  <c r="G61"/>
  <c r="J61"/>
  <c r="N61"/>
  <c r="K61"/>
  <c r="O61"/>
  <c r="A63"/>
  <c r="H63"/>
  <c r="F63"/>
  <c r="M63"/>
  <c r="R65"/>
  <c r="A64"/>
  <c r="H64"/>
  <c r="F64"/>
  <c r="M64"/>
  <c r="R66"/>
  <c r="A65"/>
  <c r="H65"/>
  <c r="F65"/>
  <c r="M65"/>
  <c r="R67"/>
  <c r="A66"/>
  <c r="H66"/>
  <c r="F66"/>
  <c r="M66"/>
  <c r="R68"/>
  <c r="BG38" i="304"/>
  <c r="A58" i="306"/>
  <c r="C58" a="1"/>
  <c r="G63" i="305"/>
  <c r="J63"/>
  <c r="N63"/>
  <c r="K63"/>
  <c r="O63"/>
  <c r="G64"/>
  <c r="J64"/>
  <c r="N64"/>
  <c r="K64"/>
  <c r="O64"/>
  <c r="G65"/>
  <c r="J65"/>
  <c r="N65"/>
  <c r="K65"/>
  <c r="O65"/>
  <c r="G66"/>
  <c r="J66"/>
  <c r="N66"/>
  <c r="K66"/>
  <c r="O66"/>
  <c r="G67"/>
  <c r="A67"/>
  <c r="A68"/>
  <c r="H68"/>
  <c r="F68"/>
  <c r="M68"/>
  <c r="R72"/>
  <c r="A69"/>
  <c r="H69"/>
  <c r="F69"/>
  <c r="M69"/>
  <c r="R73"/>
  <c r="A70"/>
  <c r="H70"/>
  <c r="F70"/>
  <c r="M70"/>
  <c r="R74"/>
  <c r="BG35" i="304"/>
  <c r="A59" i="306"/>
  <c r="C59" a="1"/>
  <c r="G68" i="305"/>
  <c r="J68"/>
  <c r="N68"/>
  <c r="K68"/>
  <c r="O68"/>
  <c r="G69"/>
  <c r="J69"/>
  <c r="N69"/>
  <c r="K69"/>
  <c r="O69"/>
  <c r="G70"/>
  <c r="J70"/>
  <c r="N70"/>
  <c r="K70"/>
  <c r="O70"/>
  <c r="G71"/>
  <c r="A71"/>
  <c r="A72"/>
  <c r="H72"/>
  <c r="Q28" a="1"/>
  <c r="A73"/>
  <c r="H73"/>
  <c r="A74"/>
  <c r="H74"/>
  <c r="A75"/>
  <c r="H75"/>
  <c r="T27"/>
  <c r="T29"/>
  <c r="A76"/>
  <c r="H76"/>
  <c r="BG36" i="304"/>
  <c r="G72" i="305"/>
  <c r="G73"/>
  <c r="G74"/>
  <c r="G75"/>
  <c r="G76"/>
  <c r="R86"/>
  <c r="R87"/>
  <c r="R88"/>
  <c r="R89"/>
  <c r="K83"/>
  <c r="O83"/>
  <c r="L35" i="304"/>
  <c r="L36"/>
  <c r="M63" i="306"/>
  <c r="B35" i="304"/>
  <c r="B36"/>
  <c r="C63" i="306"/>
  <c r="C35" i="304"/>
  <c r="C36"/>
  <c r="D63" i="306"/>
  <c r="D35" i="304"/>
  <c r="D36"/>
  <c r="E63" i="306"/>
  <c r="E35" i="304"/>
  <c r="E36"/>
  <c r="F63" i="306"/>
  <c r="F35" i="304"/>
  <c r="F36"/>
  <c r="G63" i="306"/>
  <c r="G35" i="304"/>
  <c r="G36"/>
  <c r="H63" i="306"/>
  <c r="H35" i="304"/>
  <c r="H36"/>
  <c r="I63" i="306"/>
  <c r="J35" i="304"/>
  <c r="J36"/>
  <c r="K63" i="306"/>
  <c r="K35" i="304"/>
  <c r="K36"/>
  <c r="L63" i="306"/>
  <c r="N35" i="304"/>
  <c r="N36"/>
  <c r="O63" i="306"/>
  <c r="P35" i="304"/>
  <c r="P36"/>
  <c r="Q63" i="306"/>
  <c r="I35" i="304"/>
  <c r="I36"/>
  <c r="J63" i="306"/>
  <c r="M35" i="304"/>
  <c r="M36"/>
  <c r="N63" i="306"/>
  <c r="O35" i="304"/>
  <c r="O36"/>
  <c r="P63" i="306"/>
  <c r="Q35" i="304"/>
  <c r="Q36"/>
  <c r="R63" i="306"/>
  <c r="BG39" i="304"/>
  <c r="T52"/>
  <c r="T69"/>
  <c r="R36"/>
  <c r="L106" i="305"/>
  <c r="P117"/>
  <c r="P123"/>
  <c r="A59" i="288"/>
  <c r="A60"/>
  <c r="A61"/>
  <c r="A63"/>
  <c r="H63"/>
  <c r="D28" a="1"/>
  <c r="E28"/>
  <c r="F28"/>
  <c r="G28"/>
  <c r="H28"/>
  <c r="I28"/>
  <c r="J28"/>
  <c r="K28"/>
  <c r="L28"/>
  <c r="M28"/>
  <c r="N28"/>
  <c r="O28"/>
  <c r="P28"/>
  <c r="F63"/>
  <c r="G63"/>
  <c r="J63"/>
  <c r="N63"/>
  <c r="A64"/>
  <c r="H64"/>
  <c r="F64"/>
  <c r="G64"/>
  <c r="J64"/>
  <c r="N64"/>
  <c r="A65"/>
  <c r="H65"/>
  <c r="F65"/>
  <c r="G65"/>
  <c r="J65"/>
  <c r="N65"/>
  <c r="A66"/>
  <c r="H66"/>
  <c r="F66"/>
  <c r="G66"/>
  <c r="J66"/>
  <c r="N66"/>
  <c r="T47" i="1"/>
  <c r="R33"/>
  <c r="T64"/>
  <c r="D64"/>
  <c r="C33"/>
  <c r="E64"/>
  <c r="F64"/>
  <c r="E33"/>
  <c r="G64"/>
  <c r="F33"/>
  <c r="H64"/>
  <c r="G33"/>
  <c r="I64"/>
  <c r="H33"/>
  <c r="J64"/>
  <c r="I33"/>
  <c r="K64"/>
  <c r="J33"/>
  <c r="L64"/>
  <c r="K33"/>
  <c r="M64"/>
  <c r="N64"/>
  <c r="M33"/>
  <c r="O64"/>
  <c r="N33"/>
  <c r="P64"/>
  <c r="O33"/>
  <c r="Q64"/>
  <c r="P33"/>
  <c r="R64"/>
  <c r="Q33"/>
  <c r="S64"/>
  <c r="U64"/>
  <c r="BH39"/>
  <c r="B28"/>
  <c r="D59"/>
  <c r="C28"/>
  <c r="E59"/>
  <c r="D28"/>
  <c r="F59"/>
  <c r="E28"/>
  <c r="G59"/>
  <c r="F28"/>
  <c r="H59"/>
  <c r="G28"/>
  <c r="I59"/>
  <c r="H28"/>
  <c r="J59"/>
  <c r="I28"/>
  <c r="K59"/>
  <c r="J28"/>
  <c r="L59"/>
  <c r="K28"/>
  <c r="M59"/>
  <c r="L28"/>
  <c r="N59"/>
  <c r="M28"/>
  <c r="O59"/>
  <c r="N28"/>
  <c r="P59"/>
  <c r="O28"/>
  <c r="Q59"/>
  <c r="P28"/>
  <c r="R59"/>
  <c r="Q28"/>
  <c r="S59"/>
  <c r="R28"/>
  <c r="T59"/>
  <c r="U59"/>
  <c r="BH34"/>
  <c r="B29"/>
  <c r="D60"/>
  <c r="C29"/>
  <c r="E60"/>
  <c r="D29"/>
  <c r="F60"/>
  <c r="E29"/>
  <c r="G60"/>
  <c r="F29"/>
  <c r="H60"/>
  <c r="G29"/>
  <c r="I60"/>
  <c r="H29"/>
  <c r="J60"/>
  <c r="I29"/>
  <c r="K60"/>
  <c r="J29"/>
  <c r="L60"/>
  <c r="K29"/>
  <c r="M60"/>
  <c r="L29"/>
  <c r="N60"/>
  <c r="M29"/>
  <c r="O60"/>
  <c r="N29"/>
  <c r="P60"/>
  <c r="O29"/>
  <c r="Q60"/>
  <c r="P29"/>
  <c r="R60"/>
  <c r="Q29"/>
  <c r="S60"/>
  <c r="R29"/>
  <c r="T60"/>
  <c r="U60"/>
  <c r="BH35"/>
  <c r="B30"/>
  <c r="D61"/>
  <c r="C30"/>
  <c r="E61"/>
  <c r="D30"/>
  <c r="F61"/>
  <c r="E30"/>
  <c r="G61"/>
  <c r="F30"/>
  <c r="H61"/>
  <c r="G30"/>
  <c r="I61"/>
  <c r="H30"/>
  <c r="J61"/>
  <c r="I30"/>
  <c r="K61"/>
  <c r="J30"/>
  <c r="L61"/>
  <c r="K30"/>
  <c r="M61"/>
  <c r="L30"/>
  <c r="N61"/>
  <c r="M30"/>
  <c r="O61"/>
  <c r="N30"/>
  <c r="P61"/>
  <c r="O30"/>
  <c r="Q61"/>
  <c r="P30"/>
  <c r="R61"/>
  <c r="Q30"/>
  <c r="S61"/>
  <c r="R30"/>
  <c r="T61"/>
  <c r="U61"/>
  <c r="BH36"/>
  <c r="B31"/>
  <c r="D62"/>
  <c r="C31"/>
  <c r="E62"/>
  <c r="D31"/>
  <c r="F62"/>
  <c r="E31"/>
  <c r="G62"/>
  <c r="F31"/>
  <c r="H62"/>
  <c r="G31"/>
  <c r="I62"/>
  <c r="H31"/>
  <c r="J62"/>
  <c r="I31"/>
  <c r="K62"/>
  <c r="J31"/>
  <c r="L62"/>
  <c r="K31"/>
  <c r="M62"/>
  <c r="L31"/>
  <c r="N62"/>
  <c r="M31"/>
  <c r="O62"/>
  <c r="N31"/>
  <c r="P62"/>
  <c r="O31"/>
  <c r="Q62"/>
  <c r="P31"/>
  <c r="R45"/>
  <c r="R62"/>
  <c r="Q31"/>
  <c r="S62"/>
  <c r="R31"/>
  <c r="T62"/>
  <c r="U62"/>
  <c r="BH37"/>
  <c r="B32"/>
  <c r="D63"/>
  <c r="C32"/>
  <c r="E63"/>
  <c r="D32"/>
  <c r="F63"/>
  <c r="E32"/>
  <c r="G63"/>
  <c r="F32"/>
  <c r="H63"/>
  <c r="G32"/>
  <c r="I63"/>
  <c r="H32"/>
  <c r="J63"/>
  <c r="I32"/>
  <c r="K63"/>
  <c r="J32"/>
  <c r="L63"/>
  <c r="K32"/>
  <c r="M63"/>
  <c r="L32"/>
  <c r="N63"/>
  <c r="M32"/>
  <c r="O63"/>
  <c r="N32"/>
  <c r="P63"/>
  <c r="O32"/>
  <c r="Q63"/>
  <c r="P32"/>
  <c r="R63"/>
  <c r="Q32"/>
  <c r="S63"/>
  <c r="R32"/>
  <c r="T63"/>
  <c r="U63"/>
  <c r="BH38"/>
  <c r="BI40"/>
  <c r="BE8"/>
  <c r="BE9"/>
  <c r="BE10"/>
  <c r="AY7"/>
  <c r="AZ7"/>
  <c r="BB7"/>
  <c r="AZ8"/>
  <c r="AZ9"/>
  <c r="AZ10"/>
  <c r="AZ11"/>
  <c r="AZ12"/>
  <c r="AZ13"/>
  <c r="AZ14"/>
  <c r="AZ15"/>
  <c r="AZ16"/>
  <c r="AZ17"/>
  <c r="AZ18"/>
  <c r="AZ19"/>
  <c r="AZ20"/>
  <c r="AZ21"/>
  <c r="AZ22"/>
  <c r="AY8"/>
  <c r="AY9"/>
  <c r="AY10"/>
  <c r="AY11"/>
  <c r="AY12"/>
  <c r="AY13"/>
  <c r="AY14"/>
  <c r="AY15"/>
  <c r="AY16"/>
  <c r="AY17"/>
  <c r="AY18"/>
  <c r="AY19"/>
  <c r="AY20"/>
  <c r="AY21"/>
  <c r="AZ23" a="1"/>
  <c r="AZ4"/>
  <c r="AZ25"/>
  <c r="BA7"/>
  <c r="BA8"/>
  <c r="BA9"/>
  <c r="BA10"/>
  <c r="BA11"/>
  <c r="BA12"/>
  <c r="BA13"/>
  <c r="BA14"/>
  <c r="BA15"/>
  <c r="BA16"/>
  <c r="BA17"/>
  <c r="BA18"/>
  <c r="BA19"/>
  <c r="BA20"/>
  <c r="BA21"/>
  <c r="BA22"/>
  <c r="BA23" a="1"/>
  <c r="BA25"/>
  <c r="BB25"/>
  <c r="BB8"/>
  <c r="AZ26"/>
  <c r="BA26"/>
  <c r="BB26"/>
  <c r="BB9"/>
  <c r="AZ27"/>
  <c r="BA27"/>
  <c r="BB27"/>
  <c r="BB10"/>
  <c r="AZ28"/>
  <c r="BA28"/>
  <c r="BB28"/>
  <c r="BB11"/>
  <c r="AZ29"/>
  <c r="BA29"/>
  <c r="BB29"/>
  <c r="BB12"/>
  <c r="AZ30"/>
  <c r="BA30"/>
  <c r="BB30"/>
  <c r="BB13"/>
  <c r="AZ31"/>
  <c r="BA31"/>
  <c r="BB31"/>
  <c r="BB14"/>
  <c r="AZ32"/>
  <c r="BA32"/>
  <c r="BB32"/>
  <c r="BB15"/>
  <c r="AZ33"/>
  <c r="BA33"/>
  <c r="BB33"/>
  <c r="BB16"/>
  <c r="AZ34"/>
  <c r="BA34"/>
  <c r="BB34"/>
  <c r="BB17"/>
  <c r="AZ35"/>
  <c r="BA35"/>
  <c r="BB35"/>
  <c r="BB18"/>
  <c r="AZ36"/>
  <c r="BA36"/>
  <c r="BB36"/>
  <c r="BB19"/>
  <c r="AZ37"/>
  <c r="BA37"/>
  <c r="BB37"/>
  <c r="BB20"/>
  <c r="AZ38"/>
  <c r="BA38"/>
  <c r="BB38"/>
  <c r="BB21"/>
  <c r="AZ39"/>
  <c r="BA39"/>
  <c r="BB39"/>
  <c r="BB40"/>
  <c r="AZ49"/>
  <c r="BB49"/>
  <c r="BD49"/>
  <c r="BF49"/>
  <c r="BG49"/>
  <c r="AZ50"/>
  <c r="BD50"/>
  <c r="BF50"/>
  <c r="BG50"/>
  <c r="AZ51"/>
  <c r="BD51"/>
  <c r="BF51"/>
  <c r="BG51"/>
  <c r="AZ52"/>
  <c r="BD52"/>
  <c r="BF52"/>
  <c r="BG52"/>
  <c r="AZ53"/>
  <c r="BD53"/>
  <c r="BF53"/>
  <c r="BG53"/>
  <c r="AZ54"/>
  <c r="BD54"/>
  <c r="BF54"/>
  <c r="BG54"/>
  <c r="AZ55"/>
  <c r="BD55"/>
  <c r="BF55"/>
  <c r="BG55"/>
  <c r="AZ56"/>
  <c r="BD56"/>
  <c r="BF56"/>
  <c r="BG56"/>
  <c r="AZ57"/>
  <c r="BB57"/>
  <c r="BD57"/>
  <c r="BF57"/>
  <c r="BG57"/>
  <c r="AZ58"/>
  <c r="BD58"/>
  <c r="BF58"/>
  <c r="BG58"/>
  <c r="AZ59"/>
  <c r="BD59"/>
  <c r="BF59"/>
  <c r="BG59"/>
  <c r="AZ60"/>
  <c r="BD60"/>
  <c r="BF60"/>
  <c r="BG60"/>
  <c r="AZ61"/>
  <c r="BD61"/>
  <c r="BF61"/>
  <c r="BG61"/>
  <c r="AZ62"/>
  <c r="BB62"/>
  <c r="BD62"/>
  <c r="BF62"/>
  <c r="BG62"/>
  <c r="AZ63"/>
  <c r="BD63"/>
  <c r="BF63"/>
  <c r="BG63"/>
  <c r="BB68"/>
  <c r="BG68"/>
  <c r="BG69"/>
  <c r="BB41"/>
  <c r="BB50"/>
  <c r="BB51"/>
  <c r="BB52"/>
  <c r="BB53"/>
  <c r="BB54"/>
  <c r="BB55"/>
  <c r="BB56"/>
  <c r="BB58"/>
  <c r="BB59"/>
  <c r="BB60"/>
  <c r="BB61"/>
  <c r="BB63"/>
  <c r="BB69"/>
  <c r="BG38"/>
  <c r="X27" i="288"/>
  <c r="U47" i="287"/>
  <c r="A58"/>
  <c r="C58" a="1"/>
  <c r="M63" i="288"/>
  <c r="K63"/>
  <c r="O63"/>
  <c r="M64"/>
  <c r="K64"/>
  <c r="O64"/>
  <c r="M65"/>
  <c r="K65"/>
  <c r="O65"/>
  <c r="M66"/>
  <c r="K66"/>
  <c r="O66"/>
  <c r="G67"/>
  <c r="H58"/>
  <c r="H59"/>
  <c r="F59"/>
  <c r="M59"/>
  <c r="R59"/>
  <c r="H60"/>
  <c r="F60"/>
  <c r="M60"/>
  <c r="R60"/>
  <c r="H61"/>
  <c r="F61"/>
  <c r="M61"/>
  <c r="R61"/>
  <c r="BG34" i="1"/>
  <c r="A57" i="287"/>
  <c r="C57" a="1"/>
  <c r="G59" i="288"/>
  <c r="J59"/>
  <c r="N59"/>
  <c r="K59"/>
  <c r="O59"/>
  <c r="G60"/>
  <c r="J60"/>
  <c r="N60"/>
  <c r="K60"/>
  <c r="O60"/>
  <c r="G61"/>
  <c r="J61"/>
  <c r="N61"/>
  <c r="K61"/>
  <c r="O61"/>
  <c r="R65"/>
  <c r="R66"/>
  <c r="R67"/>
  <c r="R68"/>
  <c r="A67"/>
  <c r="A68"/>
  <c r="H68"/>
  <c r="F68"/>
  <c r="M68"/>
  <c r="R72"/>
  <c r="A69"/>
  <c r="H69"/>
  <c r="F69"/>
  <c r="M69"/>
  <c r="R73"/>
  <c r="A70"/>
  <c r="H70"/>
  <c r="F70"/>
  <c r="M70"/>
  <c r="R74"/>
  <c r="BG35" i="1"/>
  <c r="A59" i="287"/>
  <c r="C59" a="1"/>
  <c r="G68" i="288"/>
  <c r="J68"/>
  <c r="N68"/>
  <c r="K68"/>
  <c r="O68"/>
  <c r="G69"/>
  <c r="J69"/>
  <c r="N69"/>
  <c r="K69"/>
  <c r="O69"/>
  <c r="G70"/>
  <c r="J70"/>
  <c r="N70"/>
  <c r="K70"/>
  <c r="O70"/>
  <c r="G71"/>
  <c r="A71"/>
  <c r="A72"/>
  <c r="H72"/>
  <c r="Q28" a="1"/>
  <c r="A73"/>
  <c r="H73"/>
  <c r="A74"/>
  <c r="H74"/>
  <c r="A75"/>
  <c r="H75"/>
  <c r="T27"/>
  <c r="T29"/>
  <c r="A76"/>
  <c r="H76"/>
  <c r="BG36" i="1"/>
  <c r="G72" i="288"/>
  <c r="G73"/>
  <c r="G74"/>
  <c r="G75"/>
  <c r="G76"/>
  <c r="H78"/>
  <c r="L100"/>
  <c r="L123"/>
  <c r="F78"/>
  <c r="I78"/>
  <c r="M78"/>
  <c r="R86"/>
  <c r="A79"/>
  <c r="H79"/>
  <c r="L124"/>
  <c r="F79"/>
  <c r="M79"/>
  <c r="R87"/>
  <c r="A80"/>
  <c r="H80"/>
  <c r="L125"/>
  <c r="F80"/>
  <c r="I80"/>
  <c r="M80"/>
  <c r="R88"/>
  <c r="A81"/>
  <c r="H81"/>
  <c r="L126"/>
  <c r="F81"/>
  <c r="I81"/>
  <c r="M81"/>
  <c r="R89"/>
  <c r="BG37" i="1"/>
  <c r="A61" i="287"/>
  <c r="C61" a="1"/>
  <c r="G78" i="288"/>
  <c r="J78"/>
  <c r="N78"/>
  <c r="K78"/>
  <c r="O78"/>
  <c r="G79"/>
  <c r="J79"/>
  <c r="N79"/>
  <c r="K79"/>
  <c r="O79"/>
  <c r="G80"/>
  <c r="J80"/>
  <c r="N80"/>
  <c r="K80"/>
  <c r="O80"/>
  <c r="G81"/>
  <c r="J81"/>
  <c r="N81"/>
  <c r="K81"/>
  <c r="O81"/>
  <c r="L128"/>
  <c r="F83"/>
  <c r="L133"/>
  <c r="G83"/>
  <c r="G82"/>
  <c r="J83"/>
  <c r="K83"/>
  <c r="O83"/>
  <c r="L35" i="1"/>
  <c r="L36"/>
  <c r="M63" i="287"/>
  <c r="B35" i="1"/>
  <c r="B36"/>
  <c r="C63" i="287"/>
  <c r="C35" i="1"/>
  <c r="C36"/>
  <c r="D63" i="287"/>
  <c r="D35" i="1"/>
  <c r="D36"/>
  <c r="E63" i="287"/>
  <c r="E35" i="1"/>
  <c r="E36"/>
  <c r="F63" i="287"/>
  <c r="F35" i="1"/>
  <c r="F36"/>
  <c r="G63" i="287"/>
  <c r="G35" i="1"/>
  <c r="G36"/>
  <c r="H63" i="287"/>
  <c r="H35" i="1"/>
  <c r="H36"/>
  <c r="I63" i="287"/>
  <c r="I35" i="1"/>
  <c r="I36"/>
  <c r="J63" i="287"/>
  <c r="J35" i="1"/>
  <c r="J36"/>
  <c r="K63" i="287"/>
  <c r="K35" i="1"/>
  <c r="K36"/>
  <c r="L63" i="287"/>
  <c r="M35" i="1"/>
  <c r="M36"/>
  <c r="N63" i="287"/>
  <c r="N35" i="1"/>
  <c r="N36"/>
  <c r="O63" i="287"/>
  <c r="O35" i="1"/>
  <c r="O36"/>
  <c r="P63" i="287"/>
  <c r="P35" i="1"/>
  <c r="P36"/>
  <c r="Q63" i="287"/>
  <c r="Q35" i="1"/>
  <c r="Q36"/>
  <c r="R63" i="287"/>
  <c r="BG39" i="1"/>
  <c r="T52"/>
  <c r="T69"/>
  <c r="R36"/>
  <c r="J37" i="26"/>
  <c r="I20" i="12"/>
  <c r="R75"/>
  <c r="J60" i="26"/>
  <c r="J16"/>
  <c r="J28"/>
  <c r="J46"/>
  <c r="I37"/>
  <c r="H20" i="12"/>
  <c r="Q75"/>
  <c r="I60" i="26"/>
  <c r="I16"/>
  <c r="I28"/>
  <c r="I46"/>
  <c r="J34"/>
  <c r="I34"/>
  <c r="I13"/>
  <c r="J13"/>
  <c r="I25"/>
  <c r="J25"/>
  <c r="S25"/>
  <c r="S13"/>
  <c r="S12"/>
  <c r="C37"/>
  <c r="C60"/>
  <c r="R74" i="12"/>
  <c r="Q74"/>
  <c r="V45"/>
  <c r="V36"/>
  <c r="V27"/>
  <c r="V18"/>
  <c r="C47"/>
  <c r="H47"/>
  <c r="L39"/>
  <c r="S39"/>
  <c r="C20"/>
  <c r="L6"/>
  <c r="S6"/>
  <c r="K17"/>
  <c r="I17"/>
  <c r="R113" i="4"/>
  <c r="N58" i="5"/>
  <c r="M58"/>
  <c r="D1" i="46"/>
  <c r="H28" i="42"/>
  <c r="M28"/>
  <c r="AZ68" i="304"/>
  <c r="BD68"/>
  <c r="AY63"/>
  <c r="BC63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AY49"/>
  <c r="AY50"/>
  <c r="AY51"/>
  <c r="AY52"/>
  <c r="AY53"/>
  <c r="AY54"/>
  <c r="AY55"/>
  <c r="AY56"/>
  <c r="AY57"/>
  <c r="AY58"/>
  <c r="AY59"/>
  <c r="AY60"/>
  <c r="AY61"/>
  <c r="AY62"/>
  <c r="AY64"/>
  <c r="AY65"/>
  <c r="AY66"/>
  <c r="AY67"/>
  <c r="BC49"/>
  <c r="BC50"/>
  <c r="BC51"/>
  <c r="BC52"/>
  <c r="BC53"/>
  <c r="BC54"/>
  <c r="BC55"/>
  <c r="BC56"/>
  <c r="BC57"/>
  <c r="BC58"/>
  <c r="BC59"/>
  <c r="BC60"/>
  <c r="BC61"/>
  <c r="BC62"/>
  <c r="BC64"/>
  <c r="BC65"/>
  <c r="BC66"/>
  <c r="BC67"/>
  <c r="BA70"/>
  <c r="BE63"/>
  <c r="H22" i="285"/>
  <c r="L22"/>
  <c r="AY63" i="1"/>
  <c r="BC63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AY49"/>
  <c r="AY50"/>
  <c r="AY51"/>
  <c r="AY52"/>
  <c r="AY53"/>
  <c r="AY54"/>
  <c r="AY55"/>
  <c r="AY56"/>
  <c r="AY57"/>
  <c r="AY58"/>
  <c r="AY59"/>
  <c r="AY60"/>
  <c r="AY61"/>
  <c r="AY62"/>
  <c r="AY64"/>
  <c r="AY65"/>
  <c r="AY66"/>
  <c r="AY67"/>
  <c r="BC49"/>
  <c r="BC50"/>
  <c r="BC51"/>
  <c r="BC52"/>
  <c r="BC53"/>
  <c r="BC54"/>
  <c r="BC55"/>
  <c r="BC56"/>
  <c r="BC57"/>
  <c r="BC58"/>
  <c r="BC59"/>
  <c r="BC60"/>
  <c r="BC61"/>
  <c r="BC62"/>
  <c r="BC64"/>
  <c r="BC65"/>
  <c r="BC66"/>
  <c r="BC67"/>
  <c r="BA70"/>
  <c r="BE63"/>
  <c r="G22" i="285"/>
  <c r="K22"/>
  <c r="BE62" i="304"/>
  <c r="H21" i="285"/>
  <c r="L21"/>
  <c r="BE62" i="1"/>
  <c r="G21" i="285"/>
  <c r="K21"/>
  <c r="BE61" i="304"/>
  <c r="H20" i="285"/>
  <c r="L20"/>
  <c r="BE61" i="1"/>
  <c r="G20" i="285"/>
  <c r="K20"/>
  <c r="BE60" i="304"/>
  <c r="H19" i="285"/>
  <c r="L19"/>
  <c r="BE60" i="1"/>
  <c r="G19" i="285"/>
  <c r="K19"/>
  <c r="BE59" i="304"/>
  <c r="H18" i="285"/>
  <c r="L18"/>
  <c r="BE59" i="1"/>
  <c r="G18" i="285"/>
  <c r="K18"/>
  <c r="BE58" i="304"/>
  <c r="H17" i="285"/>
  <c r="L17"/>
  <c r="BE58" i="1"/>
  <c r="G17" i="285"/>
  <c r="K17"/>
  <c r="BE57" i="304"/>
  <c r="H16" i="285"/>
  <c r="L16"/>
  <c r="BE57" i="1"/>
  <c r="G16" i="285"/>
  <c r="K16"/>
  <c r="BE56" i="304"/>
  <c r="H15" i="285"/>
  <c r="L15"/>
  <c r="BE56" i="1"/>
  <c r="G15" i="285"/>
  <c r="K15"/>
  <c r="BE55" i="304"/>
  <c r="H14" i="285"/>
  <c r="L14"/>
  <c r="BE55" i="1"/>
  <c r="G14" i="285"/>
  <c r="K14"/>
  <c r="BE54" i="304"/>
  <c r="H13" i="285"/>
  <c r="L13"/>
  <c r="BE54" i="1"/>
  <c r="G13" i="285"/>
  <c r="K13"/>
  <c r="BE53" i="304"/>
  <c r="H12" i="285"/>
  <c r="L12"/>
  <c r="BE53" i="1"/>
  <c r="G12" i="285"/>
  <c r="K12"/>
  <c r="BE52" i="304"/>
  <c r="H11" i="285"/>
  <c r="L11"/>
  <c r="BE52" i="1"/>
  <c r="G11" i="285"/>
  <c r="K11"/>
  <c r="BE51" i="304"/>
  <c r="H10" i="285"/>
  <c r="L10"/>
  <c r="BE51" i="1"/>
  <c r="G10" i="285"/>
  <c r="K10"/>
  <c r="BE50" i="304"/>
  <c r="H9" i="285"/>
  <c r="L9"/>
  <c r="BE50" i="1"/>
  <c r="G9" i="285"/>
  <c r="K9"/>
  <c r="BE49" i="304"/>
  <c r="H8" i="285"/>
  <c r="L8"/>
  <c r="BE49" i="1"/>
  <c r="G8" i="285"/>
  <c r="K8"/>
  <c r="BE64" i="1"/>
  <c r="G7" i="285"/>
  <c r="K7"/>
  <c r="L109" i="305"/>
  <c r="O140" i="4"/>
  <c r="E6" i="40"/>
  <c r="E6" i="42"/>
  <c r="F4" i="4"/>
  <c r="F53"/>
  <c r="G130"/>
  <c r="F76"/>
  <c r="F3" i="5"/>
  <c r="F40"/>
  <c r="N27"/>
  <c r="N38"/>
  <c r="M27"/>
  <c r="M38"/>
  <c r="R122" i="4"/>
  <c r="S20" i="46"/>
  <c r="C20"/>
  <c r="E20"/>
  <c r="S17"/>
  <c r="S18"/>
  <c r="C18"/>
  <c r="E18"/>
  <c r="C38" i="12"/>
  <c r="I38"/>
  <c r="K36"/>
  <c r="C29"/>
  <c r="I29"/>
  <c r="K38"/>
  <c r="K66"/>
  <c r="H38"/>
  <c r="J36"/>
  <c r="H29"/>
  <c r="J38"/>
  <c r="J66"/>
  <c r="D1" i="304"/>
  <c r="D1" i="1"/>
  <c r="BJ58" i="304"/>
  <c r="AX58"/>
  <c r="BH58"/>
  <c r="L34"/>
  <c r="L37"/>
  <c r="BK58"/>
  <c r="BJ20" i="1"/>
  <c r="J47"/>
  <c r="BJ20" i="304"/>
  <c r="BG40"/>
  <c r="J47"/>
  <c r="L29" i="26"/>
  <c r="K29"/>
  <c r="AF64" i="304"/>
  <c r="AH64"/>
  <c r="AI64"/>
  <c r="AJ64"/>
  <c r="AG64"/>
  <c r="AK64"/>
  <c r="AL64"/>
  <c r="AN64"/>
  <c r="AO64"/>
  <c r="AF65"/>
  <c r="AH65"/>
  <c r="AI65"/>
  <c r="AJ65"/>
  <c r="AG65"/>
  <c r="AK65"/>
  <c r="AL65"/>
  <c r="AN65"/>
  <c r="AO65"/>
  <c r="K17" i="26"/>
  <c r="Y17"/>
  <c r="A60" i="287"/>
  <c r="F88" i="285"/>
  <c r="AX21" i="1"/>
  <c r="D78" i="285"/>
  <c r="AX25" i="304"/>
  <c r="AX26"/>
  <c r="AX27"/>
  <c r="AX28"/>
  <c r="AX29"/>
  <c r="AX30"/>
  <c r="AX31"/>
  <c r="AX32"/>
  <c r="AX33"/>
  <c r="AX34"/>
  <c r="AX35"/>
  <c r="AX36"/>
  <c r="AX37"/>
  <c r="AX39"/>
  <c r="I78" i="285"/>
  <c r="S78"/>
  <c r="AB78"/>
  <c r="AX25" i="1"/>
  <c r="AX26"/>
  <c r="AX27"/>
  <c r="AX28"/>
  <c r="AX29"/>
  <c r="AX30"/>
  <c r="AX31"/>
  <c r="AX32"/>
  <c r="AX33"/>
  <c r="AX34"/>
  <c r="AX35"/>
  <c r="AX36"/>
  <c r="AX37"/>
  <c r="AX39"/>
  <c r="H78" i="285"/>
  <c r="R78"/>
  <c r="AA78"/>
  <c r="I72"/>
  <c r="I75"/>
  <c r="S72"/>
  <c r="S75"/>
  <c r="AB75"/>
  <c r="H72"/>
  <c r="H75"/>
  <c r="R72"/>
  <c r="R75"/>
  <c r="AA75"/>
  <c r="AB72"/>
  <c r="AA72"/>
  <c r="I69"/>
  <c r="S69"/>
  <c r="AB69"/>
  <c r="H69"/>
  <c r="R69"/>
  <c r="AA69"/>
  <c r="AX18" i="1"/>
  <c r="D66" i="285"/>
  <c r="I66"/>
  <c r="S66"/>
  <c r="AB66"/>
  <c r="H66"/>
  <c r="R66"/>
  <c r="AA66"/>
  <c r="AX17" i="1"/>
  <c r="D63" i="285"/>
  <c r="I63"/>
  <c r="S63"/>
  <c r="AB63"/>
  <c r="H63"/>
  <c r="R63"/>
  <c r="AA63"/>
  <c r="AX16" i="1"/>
  <c r="D60" i="285"/>
  <c r="I60"/>
  <c r="S60"/>
  <c r="AB60"/>
  <c r="H60"/>
  <c r="R60"/>
  <c r="AA60"/>
  <c r="AX15" i="1"/>
  <c r="D57" i="285"/>
  <c r="I57"/>
  <c r="S57"/>
  <c r="AB57"/>
  <c r="H57"/>
  <c r="R57"/>
  <c r="AA57"/>
  <c r="AX14" i="1"/>
  <c r="D54" i="285"/>
  <c r="I54"/>
  <c r="S54"/>
  <c r="AB54"/>
  <c r="H54"/>
  <c r="R54"/>
  <c r="AA54"/>
  <c r="AX13" i="1"/>
  <c r="D51" i="285"/>
  <c r="I51"/>
  <c r="S51"/>
  <c r="AB51"/>
  <c r="H51"/>
  <c r="R51"/>
  <c r="AA51"/>
  <c r="AX12" i="1"/>
  <c r="D48" i="285"/>
  <c r="I48"/>
  <c r="S48"/>
  <c r="AB48"/>
  <c r="H48"/>
  <c r="R48"/>
  <c r="AA48"/>
  <c r="AX11" i="1"/>
  <c r="D45" i="285"/>
  <c r="I45"/>
  <c r="S45"/>
  <c r="AB45"/>
  <c r="H45"/>
  <c r="R45"/>
  <c r="AA45"/>
  <c r="AX10" i="1"/>
  <c r="D42" i="285"/>
  <c r="I42"/>
  <c r="S42"/>
  <c r="AB42"/>
  <c r="H42"/>
  <c r="R42"/>
  <c r="AA42"/>
  <c r="AX9" i="1"/>
  <c r="D39" i="285"/>
  <c r="I39"/>
  <c r="S39"/>
  <c r="AB39"/>
  <c r="H39"/>
  <c r="R39"/>
  <c r="AA39"/>
  <c r="AX8" i="1"/>
  <c r="D36" i="285"/>
  <c r="I36"/>
  <c r="S36"/>
  <c r="AB36"/>
  <c r="H36"/>
  <c r="R36"/>
  <c r="AA36"/>
  <c r="AX7" i="1"/>
  <c r="D33" i="285"/>
  <c r="I33"/>
  <c r="S33"/>
  <c r="AB33"/>
  <c r="H33"/>
  <c r="R33"/>
  <c r="AA33"/>
  <c r="F33"/>
  <c r="F36"/>
  <c r="F39"/>
  <c r="F42"/>
  <c r="F45"/>
  <c r="F48"/>
  <c r="F51"/>
  <c r="F54"/>
  <c r="F57"/>
  <c r="F60"/>
  <c r="F63"/>
  <c r="F66"/>
  <c r="F69"/>
  <c r="L106" i="288"/>
  <c r="P117"/>
  <c r="P126"/>
  <c r="BJ62" i="1"/>
  <c r="P127" i="288"/>
  <c r="F75" i="285"/>
  <c r="F72"/>
  <c r="F78"/>
  <c r="F81"/>
  <c r="AC33"/>
  <c r="AC36"/>
  <c r="AC39"/>
  <c r="AC42"/>
  <c r="AC45"/>
  <c r="AC48"/>
  <c r="AC51"/>
  <c r="AC54"/>
  <c r="AC57"/>
  <c r="AC60"/>
  <c r="AC63"/>
  <c r="AC66"/>
  <c r="AC69"/>
  <c r="AC72"/>
  <c r="AC75"/>
  <c r="AC78"/>
  <c r="AC81"/>
  <c r="AB32"/>
  <c r="F5"/>
  <c r="E31"/>
  <c r="M6"/>
  <c r="G33"/>
  <c r="J33"/>
  <c r="N33"/>
  <c r="O33"/>
  <c r="O32"/>
  <c r="M5" i="26"/>
  <c r="A60" i="306"/>
  <c r="K68" i="4"/>
  <c r="B68"/>
  <c r="B116"/>
  <c r="R120"/>
  <c r="E33" i="46"/>
  <c r="M50"/>
  <c r="I50"/>
  <c r="L50"/>
  <c r="H50"/>
  <c r="H25" i="283"/>
  <c r="H26"/>
  <c r="H27"/>
  <c r="H28"/>
  <c r="H29"/>
  <c r="H30"/>
  <c r="H31"/>
  <c r="H32"/>
  <c r="H33"/>
  <c r="F40"/>
  <c r="F94" i="38"/>
  <c r="M49" i="46"/>
  <c r="I49"/>
  <c r="E40" i="283"/>
  <c r="E94" i="38"/>
  <c r="L49" i="46"/>
  <c r="H49"/>
  <c r="L105" i="305"/>
  <c r="J64" i="38"/>
  <c r="F90"/>
  <c r="M45" i="46"/>
  <c r="I45"/>
  <c r="L105" i="288"/>
  <c r="I64" i="38"/>
  <c r="E90"/>
  <c r="L45" i="46"/>
  <c r="H45"/>
  <c r="L104" i="305"/>
  <c r="F81" i="32"/>
  <c r="M40" i="46"/>
  <c r="I40"/>
  <c r="L104" i="288"/>
  <c r="E81" i="32"/>
  <c r="L40" i="46"/>
  <c r="H40"/>
  <c r="O50" i="32"/>
  <c r="G71"/>
  <c r="C119" i="305"/>
  <c r="P119"/>
  <c r="O56" i="32"/>
  <c r="G72"/>
  <c r="BD25" i="304"/>
  <c r="BD26"/>
  <c r="BD27"/>
  <c r="BD28"/>
  <c r="BD29"/>
  <c r="BD30"/>
  <c r="BD31"/>
  <c r="BD32"/>
  <c r="BD33"/>
  <c r="BD34"/>
  <c r="BD35"/>
  <c r="BD36"/>
  <c r="BD37"/>
  <c r="BD38"/>
  <c r="BD39"/>
  <c r="BD40"/>
  <c r="BB42"/>
  <c r="BJ34"/>
  <c r="S57" i="306"/>
  <c r="T57"/>
  <c r="B80" i="305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J38" i="304"/>
  <c r="S58" i="306"/>
  <c r="T58"/>
  <c r="F67" i="305"/>
  <c r="J67"/>
  <c r="I67"/>
  <c r="M67"/>
  <c r="R69"/>
  <c r="N67"/>
  <c r="M85"/>
  <c r="R70"/>
  <c r="K67"/>
  <c r="O67"/>
  <c r="M90"/>
  <c r="R71"/>
  <c r="BJ35" i="304"/>
  <c r="S59" i="306"/>
  <c r="T59"/>
  <c r="F71" i="305"/>
  <c r="J71"/>
  <c r="I71"/>
  <c r="M71"/>
  <c r="R75"/>
  <c r="N71"/>
  <c r="M86"/>
  <c r="R76"/>
  <c r="K71"/>
  <c r="O71"/>
  <c r="M91"/>
  <c r="R77"/>
  <c r="N50" i="32"/>
  <c r="F71"/>
  <c r="C119" i="288"/>
  <c r="P119"/>
  <c r="N56" i="32"/>
  <c r="F72"/>
  <c r="BD25" i="1"/>
  <c r="BD26"/>
  <c r="BD27"/>
  <c r="BD28"/>
  <c r="BD29"/>
  <c r="BD30"/>
  <c r="BD31"/>
  <c r="BD32"/>
  <c r="BD33"/>
  <c r="BD34"/>
  <c r="BD35"/>
  <c r="BD36"/>
  <c r="BD37"/>
  <c r="BD38"/>
  <c r="BD39"/>
  <c r="BD40"/>
  <c r="BB42"/>
  <c r="BJ34"/>
  <c r="S57" i="287"/>
  <c r="T57"/>
  <c r="B80" i="288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J38" i="1"/>
  <c r="S58" i="287"/>
  <c r="T58"/>
  <c r="F67" i="288"/>
  <c r="J67"/>
  <c r="I67"/>
  <c r="M67"/>
  <c r="R69"/>
  <c r="N67"/>
  <c r="M85"/>
  <c r="R70"/>
  <c r="K67"/>
  <c r="O67"/>
  <c r="M90"/>
  <c r="R71"/>
  <c r="BJ35" i="1"/>
  <c r="S59" i="287"/>
  <c r="T59"/>
  <c r="F71" i="288"/>
  <c r="J71"/>
  <c r="I71"/>
  <c r="M71"/>
  <c r="R75"/>
  <c r="N71"/>
  <c r="M86"/>
  <c r="R76"/>
  <c r="K71"/>
  <c r="O71"/>
  <c r="M91"/>
  <c r="R77"/>
  <c r="I17" i="19"/>
  <c r="I29"/>
  <c r="I38"/>
  <c r="I46"/>
  <c r="I52"/>
  <c r="K59"/>
  <c r="I59"/>
  <c r="F81"/>
  <c r="M37" i="46"/>
  <c r="I37"/>
  <c r="H17" i="19"/>
  <c r="H29"/>
  <c r="H38"/>
  <c r="H46"/>
  <c r="H52"/>
  <c r="J59"/>
  <c r="H59"/>
  <c r="E81"/>
  <c r="L37" i="46"/>
  <c r="H37"/>
  <c r="I15" i="6"/>
  <c r="I25"/>
  <c r="I33"/>
  <c r="I43"/>
  <c r="F62"/>
  <c r="M36" i="46"/>
  <c r="I36"/>
  <c r="H15" i="6"/>
  <c r="H25"/>
  <c r="H33"/>
  <c r="H43"/>
  <c r="E62"/>
  <c r="L36" i="46"/>
  <c r="H36"/>
  <c r="G50"/>
  <c r="F50"/>
  <c r="G49"/>
  <c r="F49"/>
  <c r="G45"/>
  <c r="F45"/>
  <c r="G40"/>
  <c r="F40"/>
  <c r="G37"/>
  <c r="F37"/>
  <c r="G36"/>
  <c r="F36"/>
  <c r="I55" i="12"/>
  <c r="F75"/>
  <c r="M35" i="46"/>
  <c r="I35"/>
  <c r="G35"/>
  <c r="H55" i="12"/>
  <c r="E75"/>
  <c r="L35" i="46"/>
  <c r="H35"/>
  <c r="F35"/>
  <c r="G34"/>
  <c r="I34"/>
  <c r="M34"/>
  <c r="L34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C50"/>
  <c r="C49"/>
  <c r="C48"/>
  <c r="C47"/>
  <c r="C46"/>
  <c r="C45"/>
  <c r="C44"/>
  <c r="C43"/>
  <c r="C42"/>
  <c r="C41"/>
  <c r="C40"/>
  <c r="C39"/>
  <c r="C38"/>
  <c r="C37"/>
  <c r="C36"/>
  <c r="C35"/>
  <c r="K65" i="12"/>
  <c r="J65"/>
  <c r="R62"/>
  <c r="Q62"/>
  <c r="H55" i="46"/>
  <c r="G55"/>
  <c r="AX62" i="1"/>
  <c r="BH62"/>
  <c r="P34"/>
  <c r="P37"/>
  <c r="BK62"/>
  <c r="BL62"/>
  <c r="BJ63"/>
  <c r="AX63"/>
  <c r="BH63"/>
  <c r="Q34"/>
  <c r="Q37"/>
  <c r="BK63"/>
  <c r="BL63"/>
  <c r="BJ62" i="304"/>
  <c r="AX62"/>
  <c r="BH62"/>
  <c r="P34"/>
  <c r="P37"/>
  <c r="BK62"/>
  <c r="P126" i="305"/>
  <c r="P127"/>
  <c r="BL62" i="304"/>
  <c r="BJ63"/>
  <c r="AX63"/>
  <c r="BH63"/>
  <c r="Q34"/>
  <c r="Q37"/>
  <c r="BK63"/>
  <c r="BL63"/>
  <c r="G59" i="46"/>
  <c r="F54"/>
  <c r="D56"/>
  <c r="L121" i="288"/>
  <c r="G56" i="46"/>
  <c r="L121" i="305"/>
  <c r="H56" i="46"/>
  <c r="D57"/>
  <c r="L122" i="288"/>
  <c r="G57" i="46"/>
  <c r="L122" i="305"/>
  <c r="H57" i="46"/>
  <c r="F4"/>
  <c r="H60" i="12"/>
  <c r="E4"/>
  <c r="E49" i="6"/>
  <c r="E4"/>
  <c r="E4" i="19"/>
  <c r="E65"/>
  <c r="E24" i="302"/>
  <c r="E5"/>
  <c r="F4" i="26"/>
  <c r="E63"/>
  <c r="E69" i="32"/>
  <c r="F5"/>
  <c r="E6" i="298"/>
  <c r="E6" i="291"/>
  <c r="F6" i="292"/>
  <c r="F36" i="38"/>
  <c r="E6" i="39"/>
  <c r="E4" i="283"/>
  <c r="F23"/>
  <c r="G24"/>
  <c r="H24"/>
  <c r="I24"/>
  <c r="L24"/>
  <c r="M24"/>
  <c r="N24"/>
  <c r="Q24"/>
  <c r="D25"/>
  <c r="G25"/>
  <c r="G26"/>
  <c r="G27"/>
  <c r="G28"/>
  <c r="G29"/>
  <c r="G30"/>
  <c r="G31"/>
  <c r="G32"/>
  <c r="G33"/>
  <c r="K25"/>
  <c r="L25"/>
  <c r="M25"/>
  <c r="N25"/>
  <c r="P25"/>
  <c r="T25"/>
  <c r="U25"/>
  <c r="V25"/>
  <c r="D26"/>
  <c r="K26"/>
  <c r="L26"/>
  <c r="M26"/>
  <c r="N26"/>
  <c r="P26"/>
  <c r="B7" i="5"/>
  <c r="T26" i="283"/>
  <c r="U26"/>
  <c r="V26"/>
  <c r="D27"/>
  <c r="K27"/>
  <c r="L27"/>
  <c r="M27"/>
  <c r="N27"/>
  <c r="P27"/>
  <c r="T27"/>
  <c r="U27"/>
  <c r="V27"/>
  <c r="D28"/>
  <c r="K28"/>
  <c r="L28"/>
  <c r="M28"/>
  <c r="N28"/>
  <c r="P28"/>
  <c r="T28"/>
  <c r="U28"/>
  <c r="V28"/>
  <c r="D29"/>
  <c r="K29"/>
  <c r="L29"/>
  <c r="M29"/>
  <c r="N29"/>
  <c r="P29"/>
  <c r="T29"/>
  <c r="U29"/>
  <c r="V29"/>
  <c r="D30"/>
  <c r="K30"/>
  <c r="L30"/>
  <c r="M30"/>
  <c r="N30"/>
  <c r="P30"/>
  <c r="T30"/>
  <c r="U30"/>
  <c r="V30"/>
  <c r="D31"/>
  <c r="K31"/>
  <c r="L31"/>
  <c r="M31"/>
  <c r="N31"/>
  <c r="P31"/>
  <c r="T31"/>
  <c r="U31"/>
  <c r="V31"/>
  <c r="D32"/>
  <c r="K32"/>
  <c r="L32"/>
  <c r="M32"/>
  <c r="N32"/>
  <c r="P32"/>
  <c r="T32"/>
  <c r="U32"/>
  <c r="V32"/>
  <c r="K33"/>
  <c r="L33"/>
  <c r="M33"/>
  <c r="N33"/>
  <c r="P33"/>
  <c r="T33"/>
  <c r="U33"/>
  <c r="V33"/>
  <c r="F38"/>
  <c r="B132" i="4"/>
  <c r="E71"/>
  <c r="B70"/>
  <c r="E67"/>
  <c r="B66"/>
  <c r="E57"/>
  <c r="B55"/>
  <c r="E49"/>
  <c r="B48"/>
  <c r="E47"/>
  <c r="B42"/>
  <c r="E41"/>
  <c r="B40"/>
  <c r="E39"/>
  <c r="B38"/>
  <c r="E37"/>
  <c r="B35"/>
  <c r="E34"/>
  <c r="B30"/>
  <c r="E29"/>
  <c r="B26"/>
  <c r="E25"/>
  <c r="B24"/>
  <c r="E23"/>
  <c r="B20"/>
  <c r="E19"/>
  <c r="B18"/>
  <c r="E17"/>
  <c r="B16"/>
  <c r="E15"/>
  <c r="B14"/>
  <c r="E13"/>
  <c r="B12"/>
  <c r="E11"/>
  <c r="B10"/>
  <c r="E9"/>
  <c r="B6"/>
  <c r="BJ58" i="1"/>
  <c r="AX58"/>
  <c r="BH58"/>
  <c r="L34"/>
  <c r="L37"/>
  <c r="BK58"/>
  <c r="BJ60" i="304"/>
  <c r="AX60"/>
  <c r="BH60"/>
  <c r="N34"/>
  <c r="N37"/>
  <c r="BK60"/>
  <c r="S38" i="4"/>
  <c r="BJ60" i="1"/>
  <c r="AX60"/>
  <c r="BH60"/>
  <c r="N34"/>
  <c r="N37"/>
  <c r="BK60"/>
  <c r="R38" i="4"/>
  <c r="BJ59" i="304"/>
  <c r="AX59"/>
  <c r="BH59"/>
  <c r="M34"/>
  <c r="M37"/>
  <c r="BK59"/>
  <c r="S35" i="4"/>
  <c r="BJ59" i="1"/>
  <c r="AX59"/>
  <c r="BH59"/>
  <c r="M34"/>
  <c r="M37"/>
  <c r="BK59"/>
  <c r="R35" i="4"/>
  <c r="BJ57" i="304"/>
  <c r="AX57"/>
  <c r="BH57"/>
  <c r="K34"/>
  <c r="K37"/>
  <c r="BK57"/>
  <c r="S26" i="4"/>
  <c r="BJ57" i="1"/>
  <c r="AX57"/>
  <c r="BH57"/>
  <c r="K34"/>
  <c r="K37"/>
  <c r="BK57"/>
  <c r="R26" i="4"/>
  <c r="BJ56" i="304"/>
  <c r="AX56"/>
  <c r="BH56"/>
  <c r="J34"/>
  <c r="J37"/>
  <c r="BK56"/>
  <c r="S24" i="4"/>
  <c r="BJ56" i="1"/>
  <c r="AX56"/>
  <c r="BH56"/>
  <c r="J34"/>
  <c r="J37"/>
  <c r="BK56"/>
  <c r="R24" i="4"/>
  <c r="BJ52" i="304"/>
  <c r="AX52"/>
  <c r="BH52"/>
  <c r="F34"/>
  <c r="F37"/>
  <c r="BK52"/>
  <c r="S14" i="4"/>
  <c r="BJ52" i="1"/>
  <c r="AX52"/>
  <c r="BH52"/>
  <c r="F34"/>
  <c r="F37"/>
  <c r="BK52"/>
  <c r="R14" i="4"/>
  <c r="BJ50" i="304"/>
  <c r="AX50"/>
  <c r="BH50"/>
  <c r="D34"/>
  <c r="D37"/>
  <c r="BK50"/>
  <c r="S10" i="4"/>
  <c r="BJ50" i="1"/>
  <c r="AX50"/>
  <c r="BH50"/>
  <c r="D34"/>
  <c r="D37"/>
  <c r="BK50"/>
  <c r="R10" i="4"/>
  <c r="BJ49" i="304"/>
  <c r="AX49"/>
  <c r="BH49"/>
  <c r="C34"/>
  <c r="C37"/>
  <c r="BK49"/>
  <c r="S6" i="4"/>
  <c r="BJ49" i="1"/>
  <c r="AX49"/>
  <c r="BH49"/>
  <c r="C34"/>
  <c r="C37"/>
  <c r="BK49"/>
  <c r="R6" i="4"/>
  <c r="O48"/>
  <c r="N48"/>
  <c r="O42"/>
  <c r="N42"/>
  <c r="BJ61" i="304"/>
  <c r="AX61"/>
  <c r="BH61"/>
  <c r="O34"/>
  <c r="O37"/>
  <c r="BK61"/>
  <c r="O40" i="4"/>
  <c r="BJ61" i="1"/>
  <c r="AX61"/>
  <c r="BH61"/>
  <c r="O34"/>
  <c r="O37"/>
  <c r="BK61"/>
  <c r="N40" i="4"/>
  <c r="O38"/>
  <c r="N38"/>
  <c r="O35"/>
  <c r="N35"/>
  <c r="O26"/>
  <c r="N26"/>
  <c r="O24"/>
  <c r="N24"/>
  <c r="BJ55" i="304"/>
  <c r="AX55"/>
  <c r="BH55"/>
  <c r="I34"/>
  <c r="I37"/>
  <c r="BK55"/>
  <c r="O20" i="4"/>
  <c r="BJ55" i="1"/>
  <c r="AX55"/>
  <c r="BH55"/>
  <c r="I34"/>
  <c r="I37"/>
  <c r="BK55"/>
  <c r="N20" i="4"/>
  <c r="BJ54" i="304"/>
  <c r="AX54"/>
  <c r="BH54"/>
  <c r="H34"/>
  <c r="H37"/>
  <c r="BK54"/>
  <c r="O18" i="4"/>
  <c r="BJ54" i="1"/>
  <c r="AX54"/>
  <c r="BH54"/>
  <c r="H34"/>
  <c r="H37"/>
  <c r="BK54"/>
  <c r="N18" i="4"/>
  <c r="BJ53" i="304"/>
  <c r="AX53"/>
  <c r="BH53"/>
  <c r="G34"/>
  <c r="G37"/>
  <c r="BK53"/>
  <c r="O16" i="4"/>
  <c r="BJ53" i="1"/>
  <c r="AX53"/>
  <c r="BH53"/>
  <c r="G34"/>
  <c r="G37"/>
  <c r="BK53"/>
  <c r="N16" i="4"/>
  <c r="O14"/>
  <c r="N14"/>
  <c r="BJ51" i="304"/>
  <c r="AX51"/>
  <c r="BH51"/>
  <c r="E34"/>
  <c r="E37"/>
  <c r="BK51"/>
  <c r="O12" i="4"/>
  <c r="BJ51" i="1"/>
  <c r="AX51"/>
  <c r="BH51"/>
  <c r="E34"/>
  <c r="E37"/>
  <c r="BK51"/>
  <c r="N12" i="4"/>
  <c r="O10"/>
  <c r="N10"/>
  <c r="O6"/>
  <c r="N6"/>
  <c r="P48"/>
  <c r="P42"/>
  <c r="BL61" i="1"/>
  <c r="BL61" i="304"/>
  <c r="P40" i="4"/>
  <c r="P38"/>
  <c r="P35"/>
  <c r="P26"/>
  <c r="P24"/>
  <c r="P20"/>
  <c r="P18"/>
  <c r="BL53" i="1"/>
  <c r="BL53" i="304"/>
  <c r="P16" i="4"/>
  <c r="P14"/>
  <c r="P12"/>
  <c r="P10"/>
  <c r="P6"/>
  <c r="BL52" i="1"/>
  <c r="BL52" i="304"/>
  <c r="L5" i="19"/>
  <c r="R5"/>
  <c r="Q5"/>
  <c r="R37" i="38"/>
  <c r="Q25" i="302"/>
  <c r="N54" i="304"/>
  <c r="N55"/>
  <c r="H31" i="40"/>
  <c r="E32" i="38"/>
  <c r="N54" i="1"/>
  <c r="N55"/>
  <c r="G31" i="40"/>
  <c r="D32" i="38"/>
  <c r="I16" i="12"/>
  <c r="H16"/>
  <c r="N17" i="32"/>
  <c r="N7"/>
  <c r="O17"/>
  <c r="O7"/>
  <c r="N83" i="288"/>
  <c r="O21" i="32"/>
  <c r="O29"/>
  <c r="H55"/>
  <c r="G23" i="46"/>
  <c r="G26"/>
  <c r="D16" i="39"/>
  <c r="F16"/>
  <c r="A62" i="306"/>
  <c r="C62" a="1"/>
  <c r="I95"/>
  <c r="H16" i="39"/>
  <c r="L16"/>
  <c r="M16"/>
  <c r="D14"/>
  <c r="F14"/>
  <c r="G94" i="306"/>
  <c r="G95"/>
  <c r="H14" i="39"/>
  <c r="L14"/>
  <c r="M14"/>
  <c r="L28" i="42"/>
  <c r="D22"/>
  <c r="F22"/>
  <c r="R95" i="306"/>
  <c r="S52" i="304"/>
  <c r="S69"/>
  <c r="H22" i="42"/>
  <c r="L22"/>
  <c r="M22"/>
  <c r="D18"/>
  <c r="F18"/>
  <c r="P95" i="306"/>
  <c r="Q52" i="304"/>
  <c r="Q69"/>
  <c r="H18" i="42"/>
  <c r="L18"/>
  <c r="M18"/>
  <c r="D16"/>
  <c r="F16"/>
  <c r="H94" i="306"/>
  <c r="H95"/>
  <c r="I52" i="304"/>
  <c r="I69"/>
  <c r="H16" i="42"/>
  <c r="L16"/>
  <c r="M16"/>
  <c r="D14"/>
  <c r="F14"/>
  <c r="H52" i="304"/>
  <c r="H69"/>
  <c r="H14" i="42"/>
  <c r="L14"/>
  <c r="M14"/>
  <c r="L29" i="40"/>
  <c r="L27"/>
  <c r="L25"/>
  <c r="M25"/>
  <c r="L23"/>
  <c r="D16"/>
  <c r="F16"/>
  <c r="I65" i="304"/>
  <c r="H16" i="40"/>
  <c r="L16"/>
  <c r="M16"/>
  <c r="D14"/>
  <c r="F14"/>
  <c r="H65" i="304"/>
  <c r="H14" i="40"/>
  <c r="L14"/>
  <c r="M14"/>
  <c r="L132" i="305"/>
  <c r="L127"/>
  <c r="K35" i="32"/>
  <c r="H18"/>
  <c r="K34"/>
  <c r="H17"/>
  <c r="L132" i="288"/>
  <c r="L127"/>
  <c r="J35" i="32"/>
  <c r="G18"/>
  <c r="J34"/>
  <c r="G17"/>
  <c r="K64" i="26"/>
  <c r="J64"/>
  <c r="T5"/>
  <c r="L115" i="305"/>
  <c r="L116"/>
  <c r="L117"/>
  <c r="L103"/>
  <c r="P105"/>
  <c r="T115"/>
  <c r="T121"/>
  <c r="T110"/>
  <c r="T118"/>
  <c r="L118"/>
  <c r="T108"/>
  <c r="T113"/>
  <c r="L120"/>
  <c r="T119"/>
  <c r="L119"/>
  <c r="T109"/>
  <c r="T114"/>
  <c r="T120"/>
  <c r="T122"/>
  <c r="U121"/>
  <c r="M16" i="32"/>
  <c r="L115" i="288"/>
  <c r="L116"/>
  <c r="L117"/>
  <c r="L103"/>
  <c r="P105"/>
  <c r="T115"/>
  <c r="T121"/>
  <c r="T110"/>
  <c r="T118"/>
  <c r="L118"/>
  <c r="T108"/>
  <c r="T113"/>
  <c r="L120"/>
  <c r="T119"/>
  <c r="L119"/>
  <c r="T109"/>
  <c r="T114"/>
  <c r="T120"/>
  <c r="T122"/>
  <c r="U121"/>
  <c r="L16" i="32"/>
  <c r="U120" i="305"/>
  <c r="M15" i="32"/>
  <c r="U120" i="288"/>
  <c r="L15" i="32"/>
  <c r="U119" i="305"/>
  <c r="M14" i="32"/>
  <c r="U119" i="288"/>
  <c r="L14" i="32"/>
  <c r="U118" i="305"/>
  <c r="M13" i="32"/>
  <c r="U118" i="288"/>
  <c r="L13" i="32"/>
  <c r="H33"/>
  <c r="U122" i="305"/>
  <c r="S17" i="32"/>
  <c r="T17"/>
  <c r="R17"/>
  <c r="I124" i="305"/>
  <c r="I129"/>
  <c r="B82"/>
  <c r="B81"/>
  <c r="U49" i="288"/>
  <c r="B83"/>
  <c r="B82"/>
  <c r="B81"/>
  <c r="M11" i="32"/>
  <c r="M19"/>
  <c r="L11"/>
  <c r="L19"/>
  <c r="P114" i="305"/>
  <c r="M10" i="32"/>
  <c r="M18"/>
  <c r="L10"/>
  <c r="L18"/>
  <c r="I103" i="305"/>
  <c r="H35" i="32"/>
  <c r="G33"/>
  <c r="G35"/>
  <c r="H34"/>
  <c r="G34"/>
  <c r="V83" i="305"/>
  <c r="L129" i="288"/>
  <c r="L130"/>
  <c r="L131"/>
  <c r="V83"/>
  <c r="M83"/>
  <c r="M83" i="305"/>
  <c r="S50" i="32"/>
  <c r="R50"/>
  <c r="S29"/>
  <c r="N29"/>
  <c r="R29"/>
  <c r="S21"/>
  <c r="N21"/>
  <c r="R21"/>
  <c r="S7"/>
  <c r="R7"/>
  <c r="L112" i="288"/>
  <c r="L113"/>
  <c r="L114"/>
  <c r="T112"/>
  <c r="T111"/>
  <c r="T107"/>
  <c r="T106"/>
  <c r="L112" i="305"/>
  <c r="M27" i="32"/>
  <c r="L114" i="305"/>
  <c r="M26" i="32"/>
  <c r="L113" i="305"/>
  <c r="M25" i="32"/>
  <c r="P113" i="305"/>
  <c r="M23" i="32"/>
  <c r="T127" i="305"/>
  <c r="T128"/>
  <c r="T126"/>
  <c r="T129"/>
  <c r="C5"/>
  <c r="L102"/>
  <c r="H53" i="32"/>
  <c r="G27" i="46"/>
  <c r="L102" i="288"/>
  <c r="G53" i="32"/>
  <c r="I27" i="46"/>
  <c r="I5"/>
  <c r="J5"/>
  <c r="G5"/>
  <c r="G6"/>
  <c r="N5"/>
  <c r="M5"/>
  <c r="L5"/>
  <c r="K5"/>
  <c r="Z7" i="292"/>
  <c r="F29" i="305"/>
  <c r="G29"/>
  <c r="H29"/>
  <c r="I29"/>
  <c r="J29"/>
  <c r="K29"/>
  <c r="M29"/>
  <c r="N29"/>
  <c r="O29"/>
  <c r="W32" i="285"/>
  <c r="V32"/>
  <c r="G107" i="288"/>
  <c r="P118"/>
  <c r="P69" i="38"/>
  <c r="P108" i="288"/>
  <c r="Q64" i="38"/>
  <c r="R67"/>
  <c r="G107" i="305"/>
  <c r="P118"/>
  <c r="R66" i="38"/>
  <c r="P108" i="305"/>
  <c r="R64" i="38"/>
  <c r="H64"/>
  <c r="G64"/>
  <c r="J37"/>
  <c r="L37"/>
  <c r="B15"/>
  <c r="B5"/>
  <c r="U72" i="304"/>
  <c r="L22" i="38"/>
  <c r="D19"/>
  <c r="E19"/>
  <c r="F19"/>
  <c r="U71" i="304"/>
  <c r="G19" i="38"/>
  <c r="L19"/>
  <c r="D22"/>
  <c r="E22"/>
  <c r="F22"/>
  <c r="D17"/>
  <c r="E17"/>
  <c r="F17"/>
  <c r="D21"/>
  <c r="E21"/>
  <c r="F21"/>
  <c r="D20"/>
  <c r="E20"/>
  <c r="F20"/>
  <c r="D18"/>
  <c r="E18"/>
  <c r="F18"/>
  <c r="F32"/>
  <c r="G32"/>
  <c r="F85"/>
  <c r="F6" i="283"/>
  <c r="P6"/>
  <c r="Q6"/>
  <c r="Q7"/>
  <c r="P7"/>
  <c r="N7"/>
  <c r="N6"/>
  <c r="D7"/>
  <c r="F7"/>
  <c r="J5"/>
  <c r="P5"/>
  <c r="O5"/>
  <c r="N5"/>
  <c r="M5"/>
  <c r="R94" i="306"/>
  <c r="D15" i="283"/>
  <c r="F15"/>
  <c r="D14"/>
  <c r="F14"/>
  <c r="P94" i="306"/>
  <c r="H14" i="283"/>
  <c r="D13"/>
  <c r="F13"/>
  <c r="O94" i="306"/>
  <c r="H13" i="283"/>
  <c r="D12"/>
  <c r="F12"/>
  <c r="N94" i="306"/>
  <c r="H12" i="283"/>
  <c r="F11"/>
  <c r="D10"/>
  <c r="F10"/>
  <c r="D9"/>
  <c r="F9"/>
  <c r="H9"/>
  <c r="D8"/>
  <c r="F8"/>
  <c r="H5"/>
  <c r="G42" i="285"/>
  <c r="J42"/>
  <c r="G45"/>
  <c r="J45"/>
  <c r="B34" i="304"/>
  <c r="G9" i="46"/>
  <c r="G78" i="285"/>
  <c r="J78"/>
  <c r="N78"/>
  <c r="M78"/>
  <c r="G75"/>
  <c r="J75"/>
  <c r="N75"/>
  <c r="M75"/>
  <c r="G69"/>
  <c r="G72"/>
  <c r="J72"/>
  <c r="N72"/>
  <c r="M72"/>
  <c r="J69"/>
  <c r="N69"/>
  <c r="M69"/>
  <c r="G66"/>
  <c r="J66"/>
  <c r="N66"/>
  <c r="M66"/>
  <c r="G63"/>
  <c r="J63"/>
  <c r="N63"/>
  <c r="M63"/>
  <c r="G60"/>
  <c r="J60"/>
  <c r="N60"/>
  <c r="M60"/>
  <c r="G57"/>
  <c r="J57"/>
  <c r="N57"/>
  <c r="M57"/>
  <c r="G54"/>
  <c r="J54"/>
  <c r="N54"/>
  <c r="M54"/>
  <c r="G51"/>
  <c r="J51"/>
  <c r="N51"/>
  <c r="M51"/>
  <c r="G48"/>
  <c r="J48"/>
  <c r="N48"/>
  <c r="M48"/>
  <c r="N45"/>
  <c r="M45"/>
  <c r="N42"/>
  <c r="M42"/>
  <c r="G39"/>
  <c r="J39"/>
  <c r="N39"/>
  <c r="M39"/>
  <c r="G36"/>
  <c r="J36"/>
  <c r="N36"/>
  <c r="M36"/>
  <c r="M33"/>
  <c r="J32"/>
  <c r="L31" i="42"/>
  <c r="K31"/>
  <c r="D8"/>
  <c r="F8"/>
  <c r="G28"/>
  <c r="R28"/>
  <c r="K28"/>
  <c r="Q28"/>
  <c r="F26"/>
  <c r="D24"/>
  <c r="F24"/>
  <c r="A62" i="287"/>
  <c r="C62" a="1"/>
  <c r="R95"/>
  <c r="S52" i="1"/>
  <c r="S69"/>
  <c r="G22" i="42"/>
  <c r="R22"/>
  <c r="K22"/>
  <c r="Q22"/>
  <c r="F20"/>
  <c r="P95" i="287"/>
  <c r="Q52" i="1"/>
  <c r="Q69"/>
  <c r="G18" i="42"/>
  <c r="R18"/>
  <c r="K18"/>
  <c r="Q18"/>
  <c r="H94" i="287"/>
  <c r="H95"/>
  <c r="I52" i="1"/>
  <c r="I69"/>
  <c r="G16" i="42"/>
  <c r="R16"/>
  <c r="K16"/>
  <c r="Q16"/>
  <c r="G95" i="287"/>
  <c r="H52" i="1"/>
  <c r="H69"/>
  <c r="G14" i="42"/>
  <c r="R14"/>
  <c r="K14"/>
  <c r="Q14"/>
  <c r="D12"/>
  <c r="F12"/>
  <c r="F10"/>
  <c r="T7"/>
  <c r="S7"/>
  <c r="L26"/>
  <c r="K26"/>
  <c r="L24"/>
  <c r="K24"/>
  <c r="L20"/>
  <c r="K20"/>
  <c r="L12"/>
  <c r="K12"/>
  <c r="L10"/>
  <c r="K10"/>
  <c r="L8"/>
  <c r="K8"/>
  <c r="L7"/>
  <c r="H7"/>
  <c r="D12" i="40"/>
  <c r="F12"/>
  <c r="D9" i="302"/>
  <c r="M7" i="40"/>
  <c r="D32"/>
  <c r="F32"/>
  <c r="K32"/>
  <c r="L32"/>
  <c r="F34"/>
  <c r="K34"/>
  <c r="L34"/>
  <c r="D36"/>
  <c r="F36"/>
  <c r="K36"/>
  <c r="L36"/>
  <c r="F38"/>
  <c r="K38"/>
  <c r="L38"/>
  <c r="D40"/>
  <c r="F40"/>
  <c r="K40"/>
  <c r="L40"/>
  <c r="Z26"/>
  <c r="Y7"/>
  <c r="I65" i="1"/>
  <c r="G16" i="40"/>
  <c r="R16"/>
  <c r="K16"/>
  <c r="Q16"/>
  <c r="H65" i="1"/>
  <c r="G14" i="40"/>
  <c r="R14"/>
  <c r="K14"/>
  <c r="Q14"/>
  <c r="D20"/>
  <c r="F20"/>
  <c r="F18"/>
  <c r="D8"/>
  <c r="F8"/>
  <c r="K29"/>
  <c r="K27"/>
  <c r="K25"/>
  <c r="K23"/>
  <c r="L20"/>
  <c r="K20"/>
  <c r="L18"/>
  <c r="K18"/>
  <c r="L12"/>
  <c r="K12"/>
  <c r="L10"/>
  <c r="K10"/>
  <c r="L8"/>
  <c r="K8"/>
  <c r="L7"/>
  <c r="H7"/>
  <c r="T7"/>
  <c r="S7"/>
  <c r="R7"/>
  <c r="U7" i="39"/>
  <c r="T7"/>
  <c r="R7" i="42"/>
  <c r="D22" i="39"/>
  <c r="F22"/>
  <c r="I95" i="287"/>
  <c r="G16" i="39"/>
  <c r="S16"/>
  <c r="G14"/>
  <c r="S14"/>
  <c r="S7"/>
  <c r="K16"/>
  <c r="R16"/>
  <c r="K14"/>
  <c r="R14"/>
  <c r="L22"/>
  <c r="K22"/>
  <c r="L20"/>
  <c r="K20"/>
  <c r="L18"/>
  <c r="K18"/>
  <c r="L12"/>
  <c r="K12"/>
  <c r="L10"/>
  <c r="K10"/>
  <c r="L8"/>
  <c r="K8"/>
  <c r="L7"/>
  <c r="M7"/>
  <c r="D20"/>
  <c r="F20"/>
  <c r="D18"/>
  <c r="F18"/>
  <c r="D12"/>
  <c r="F12"/>
  <c r="F10"/>
  <c r="D8"/>
  <c r="F8"/>
  <c r="H7"/>
  <c r="F29" i="288"/>
  <c r="G29"/>
  <c r="H29"/>
  <c r="I29"/>
  <c r="J29"/>
  <c r="K29"/>
  <c r="M29"/>
  <c r="N29"/>
  <c r="O29"/>
  <c r="G8" i="292"/>
  <c r="G13"/>
  <c r="G18"/>
  <c r="G23"/>
  <c r="G28"/>
  <c r="P123" i="288"/>
  <c r="G10" i="292"/>
  <c r="G25"/>
  <c r="G20"/>
  <c r="G15"/>
  <c r="Y7"/>
  <c r="T7"/>
  <c r="C210" i="287"/>
  <c r="J28" i="292"/>
  <c r="O28"/>
  <c r="J23"/>
  <c r="O23"/>
  <c r="J18"/>
  <c r="O18"/>
  <c r="J13"/>
  <c r="O13"/>
  <c r="J8"/>
  <c r="O8"/>
  <c r="N8"/>
  <c r="O7"/>
  <c r="G30"/>
  <c r="M7"/>
  <c r="G12"/>
  <c r="G32"/>
  <c r="G11"/>
  <c r="G31"/>
  <c r="G27"/>
  <c r="G26"/>
  <c r="G22"/>
  <c r="G21"/>
  <c r="G17"/>
  <c r="G16"/>
  <c r="I7"/>
  <c r="F34" i="291"/>
  <c r="F30"/>
  <c r="F28"/>
  <c r="F26"/>
  <c r="F24"/>
  <c r="F22"/>
  <c r="F20"/>
  <c r="F18"/>
  <c r="F16"/>
  <c r="F14"/>
  <c r="F12"/>
  <c r="F10"/>
  <c r="F8"/>
  <c r="S7"/>
  <c r="R7"/>
  <c r="Q7"/>
  <c r="D36"/>
  <c r="F36"/>
  <c r="J7"/>
  <c r="L7"/>
  <c r="H7"/>
  <c r="L6" i="302"/>
  <c r="F79" i="32"/>
  <c r="D19" i="298"/>
  <c r="D16"/>
  <c r="L16"/>
  <c r="M16"/>
  <c r="D17"/>
  <c r="H17"/>
  <c r="L17"/>
  <c r="M17"/>
  <c r="D18"/>
  <c r="H18"/>
  <c r="L18"/>
  <c r="M18"/>
  <c r="L19"/>
  <c r="M19"/>
  <c r="D20"/>
  <c r="H20"/>
  <c r="L20"/>
  <c r="M20"/>
  <c r="D21"/>
  <c r="H21"/>
  <c r="L21"/>
  <c r="M21"/>
  <c r="D22"/>
  <c r="H22"/>
  <c r="L22"/>
  <c r="M22"/>
  <c r="D23"/>
  <c r="H23"/>
  <c r="L23"/>
  <c r="M23"/>
  <c r="AB63" i="32"/>
  <c r="J70"/>
  <c r="K66" i="19"/>
  <c r="G70" i="32"/>
  <c r="Y33"/>
  <c r="Y6"/>
  <c r="T6"/>
  <c r="U6"/>
  <c r="S6"/>
  <c r="M6"/>
  <c r="M28"/>
  <c r="L27"/>
  <c r="L26"/>
  <c r="L25"/>
  <c r="L23"/>
  <c r="T102" i="305"/>
  <c r="T103"/>
  <c r="U103"/>
  <c r="U115"/>
  <c r="K49" i="32"/>
  <c r="U114" i="305"/>
  <c r="K48" i="32"/>
  <c r="U113" i="305"/>
  <c r="K47" i="32"/>
  <c r="T112" i="305"/>
  <c r="U112"/>
  <c r="K46" i="32"/>
  <c r="T111" i="305"/>
  <c r="U111"/>
  <c r="K45" i="32"/>
  <c r="U110" i="305"/>
  <c r="K44" i="32"/>
  <c r="U102" i="305"/>
  <c r="U109"/>
  <c r="K42" i="32"/>
  <c r="U108" i="305"/>
  <c r="K41" i="32"/>
  <c r="T107" i="305"/>
  <c r="U107"/>
  <c r="K40" i="32"/>
  <c r="T106" i="305"/>
  <c r="U106"/>
  <c r="K39" i="32"/>
  <c r="K36"/>
  <c r="K22"/>
  <c r="P106" i="305"/>
  <c r="K10" i="32"/>
  <c r="K32"/>
  <c r="T102" i="288"/>
  <c r="T103"/>
  <c r="U103"/>
  <c r="U115"/>
  <c r="J49" i="32"/>
  <c r="U114" i="288"/>
  <c r="J48" i="32"/>
  <c r="U113" i="288"/>
  <c r="J47" i="32"/>
  <c r="U112" i="288"/>
  <c r="J46" i="32"/>
  <c r="U111" i="288"/>
  <c r="J45" i="32"/>
  <c r="U110" i="288"/>
  <c r="J44" i="32"/>
  <c r="U102" i="288"/>
  <c r="U109"/>
  <c r="J42" i="32"/>
  <c r="U108" i="288"/>
  <c r="J41" i="32"/>
  <c r="U107" i="288"/>
  <c r="J40" i="32"/>
  <c r="U106" i="288"/>
  <c r="J39" i="32"/>
  <c r="J36"/>
  <c r="J22"/>
  <c r="P106" i="288"/>
  <c r="J10" i="32"/>
  <c r="K6"/>
  <c r="O6"/>
  <c r="H12" i="298"/>
  <c r="H13"/>
  <c r="H9"/>
  <c r="H11"/>
  <c r="H10"/>
  <c r="H14"/>
  <c r="M14"/>
  <c r="L14"/>
  <c r="M13"/>
  <c r="L13"/>
  <c r="M12"/>
  <c r="L12"/>
  <c r="M11"/>
  <c r="L11"/>
  <c r="M10"/>
  <c r="L10"/>
  <c r="M9"/>
  <c r="L9"/>
  <c r="M8"/>
  <c r="L8"/>
  <c r="U7"/>
  <c r="T7"/>
  <c r="S7"/>
  <c r="R7"/>
  <c r="M7"/>
  <c r="F7"/>
  <c r="G7"/>
  <c r="J7"/>
  <c r="D8"/>
  <c r="H6" i="32"/>
  <c r="F77" i="26"/>
  <c r="C57"/>
  <c r="C46"/>
  <c r="C28"/>
  <c r="C16"/>
  <c r="D14" i="302"/>
  <c r="L38" i="26"/>
  <c r="L17"/>
  <c r="L6"/>
  <c r="J12"/>
  <c r="J11"/>
  <c r="J10"/>
  <c r="J9"/>
  <c r="J8"/>
  <c r="J7"/>
  <c r="J6"/>
  <c r="J44"/>
  <c r="J54"/>
  <c r="L5"/>
  <c r="K5"/>
  <c r="J5"/>
  <c r="H5"/>
  <c r="C59" i="19"/>
  <c r="C52"/>
  <c r="C46"/>
  <c r="C38"/>
  <c r="C29"/>
  <c r="C17"/>
  <c r="K67"/>
  <c r="K68"/>
  <c r="K69"/>
  <c r="K70"/>
  <c r="K71"/>
  <c r="K74"/>
  <c r="K72"/>
  <c r="J67"/>
  <c r="J71"/>
  <c r="J70"/>
  <c r="J69"/>
  <c r="J68"/>
  <c r="J72"/>
  <c r="F80"/>
  <c r="K47"/>
  <c r="K39"/>
  <c r="K30"/>
  <c r="K18"/>
  <c r="K6"/>
  <c r="K5"/>
  <c r="J5"/>
  <c r="I5"/>
  <c r="D231" i="306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A241"/>
  <c r="AA233"/>
  <c r="F41" i="5"/>
  <c r="D231" i="287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A241"/>
  <c r="AA233"/>
  <c r="V67" i="306"/>
  <c r="A143"/>
  <c r="I50" i="19"/>
  <c r="A141" i="306"/>
  <c r="I44" i="19"/>
  <c r="I43"/>
  <c r="I42"/>
  <c r="I41"/>
  <c r="I40"/>
  <c r="I39"/>
  <c r="A140" i="306"/>
  <c r="A139"/>
  <c r="A138"/>
  <c r="A142"/>
  <c r="V67" i="287"/>
  <c r="A143"/>
  <c r="A142"/>
  <c r="A140"/>
  <c r="A139"/>
  <c r="A138"/>
  <c r="D7" i="302"/>
  <c r="D15"/>
  <c r="D13"/>
  <c r="D12"/>
  <c r="D11"/>
  <c r="D10"/>
  <c r="D8"/>
  <c r="T6"/>
  <c r="R6"/>
  <c r="L5" i="6"/>
  <c r="J15" i="302"/>
  <c r="K15"/>
  <c r="J14"/>
  <c r="K14"/>
  <c r="J13"/>
  <c r="K13"/>
  <c r="J12"/>
  <c r="K12"/>
  <c r="H11"/>
  <c r="J11"/>
  <c r="K11"/>
  <c r="H10"/>
  <c r="J10"/>
  <c r="K10"/>
  <c r="J9"/>
  <c r="K9"/>
  <c r="J8"/>
  <c r="K8"/>
  <c r="J7"/>
  <c r="K7"/>
  <c r="K6"/>
  <c r="G5" i="19"/>
  <c r="G6" i="302"/>
  <c r="F25"/>
  <c r="G25"/>
  <c r="P25"/>
  <c r="R25"/>
  <c r="U25"/>
  <c r="V25"/>
  <c r="W25"/>
  <c r="D26"/>
  <c r="F26"/>
  <c r="G26"/>
  <c r="F27"/>
  <c r="F28"/>
  <c r="F29"/>
  <c r="F30"/>
  <c r="F31"/>
  <c r="F32"/>
  <c r="F33"/>
  <c r="F34"/>
  <c r="F35"/>
  <c r="P26"/>
  <c r="G27"/>
  <c r="G28"/>
  <c r="G29"/>
  <c r="G30"/>
  <c r="G31"/>
  <c r="G32"/>
  <c r="G33"/>
  <c r="G34"/>
  <c r="G35"/>
  <c r="Q26"/>
  <c r="R26"/>
  <c r="S26"/>
  <c r="T26"/>
  <c r="V26"/>
  <c r="F35" i="5"/>
  <c r="W26" i="302"/>
  <c r="D27"/>
  <c r="P27"/>
  <c r="Q27"/>
  <c r="R27"/>
  <c r="S27"/>
  <c r="T27"/>
  <c r="V27"/>
  <c r="F38" i="5"/>
  <c r="W27" i="302"/>
  <c r="D28"/>
  <c r="P28"/>
  <c r="Q28"/>
  <c r="R28"/>
  <c r="S28"/>
  <c r="T28"/>
  <c r="V28"/>
  <c r="F15" i="5"/>
  <c r="W28" i="302"/>
  <c r="D29"/>
  <c r="P29"/>
  <c r="Q29"/>
  <c r="R29"/>
  <c r="S29"/>
  <c r="T29"/>
  <c r="V29"/>
  <c r="F5" i="5"/>
  <c r="W29" i="302"/>
  <c r="D30"/>
  <c r="P30"/>
  <c r="Q30"/>
  <c r="R30"/>
  <c r="S30"/>
  <c r="T30"/>
  <c r="V30"/>
  <c r="F26" i="5"/>
  <c r="W30" i="302"/>
  <c r="D31"/>
  <c r="P31"/>
  <c r="Q31"/>
  <c r="R31"/>
  <c r="S31"/>
  <c r="T31"/>
  <c r="V31"/>
  <c r="F25" i="5"/>
  <c r="W31" i="302"/>
  <c r="D32"/>
  <c r="P32"/>
  <c r="Q32"/>
  <c r="R32"/>
  <c r="S32"/>
  <c r="T32"/>
  <c r="V32"/>
  <c r="F34" i="5"/>
  <c r="W32" i="302"/>
  <c r="D33"/>
  <c r="P33"/>
  <c r="Q33"/>
  <c r="R33"/>
  <c r="S33"/>
  <c r="T33"/>
  <c r="F45" i="5"/>
  <c r="W33" i="302"/>
  <c r="D34"/>
  <c r="P34"/>
  <c r="Q34"/>
  <c r="R34"/>
  <c r="S34"/>
  <c r="T34"/>
  <c r="F27" i="5"/>
  <c r="W34" i="302"/>
  <c r="P35"/>
  <c r="Q35"/>
  <c r="R35"/>
  <c r="S35"/>
  <c r="T35"/>
  <c r="N5" i="12"/>
  <c r="A132" i="306"/>
  <c r="A132" i="287"/>
  <c r="A135" i="306"/>
  <c r="A135" i="287"/>
  <c r="A134" i="306"/>
  <c r="A134" i="287"/>
  <c r="A133" i="306"/>
  <c r="A133" i="287"/>
  <c r="I12" i="6"/>
  <c r="I11"/>
  <c r="I10"/>
  <c r="I9"/>
  <c r="I8"/>
  <c r="I7"/>
  <c r="I6"/>
  <c r="H6"/>
  <c r="K50"/>
  <c r="F61"/>
  <c r="K26"/>
  <c r="K16"/>
  <c r="K6"/>
  <c r="D219" i="287" a="1"/>
  <c r="D219"/>
  <c r="E219"/>
  <c r="F219"/>
  <c r="G219"/>
  <c r="H219"/>
  <c r="I219"/>
  <c r="J219"/>
  <c r="K219"/>
  <c r="L219"/>
  <c r="M219"/>
  <c r="N219"/>
  <c r="O219"/>
  <c r="P219"/>
  <c r="Q219"/>
  <c r="V203"/>
  <c r="V202"/>
  <c r="V201"/>
  <c r="V200"/>
  <c r="L111" i="288"/>
  <c r="R144" i="4"/>
  <c r="M144"/>
  <c r="X142"/>
  <c r="V141"/>
  <c r="W142"/>
  <c r="L110" i="288"/>
  <c r="P140" i="4"/>
  <c r="L109" i="288"/>
  <c r="N140" i="4"/>
  <c r="M140"/>
  <c r="L134" i="288"/>
  <c r="Q67" i="38"/>
  <c r="Q66"/>
  <c r="K5" i="6"/>
  <c r="I5"/>
  <c r="G5"/>
  <c r="V64" i="12"/>
  <c r="U64"/>
  <c r="V63"/>
  <c r="U63"/>
  <c r="V62"/>
  <c r="U62"/>
  <c r="R61"/>
  <c r="K62"/>
  <c r="L62"/>
  <c r="F74"/>
  <c r="K64"/>
  <c r="K63"/>
  <c r="K61"/>
  <c r="V69"/>
  <c r="V61"/>
  <c r="K5"/>
  <c r="I26"/>
  <c r="I25"/>
  <c r="I24"/>
  <c r="I23"/>
  <c r="I22"/>
  <c r="I21"/>
  <c r="H21"/>
  <c r="I47"/>
  <c r="M39"/>
  <c r="M30"/>
  <c r="M21"/>
  <c r="M6"/>
  <c r="M5"/>
  <c r="I5"/>
  <c r="G5"/>
  <c r="C55"/>
  <c r="D219" i="306" a="1"/>
  <c r="D219"/>
  <c r="E219"/>
  <c r="F219"/>
  <c r="G219"/>
  <c r="H219"/>
  <c r="I219"/>
  <c r="J219"/>
  <c r="K219"/>
  <c r="L219"/>
  <c r="M219"/>
  <c r="N219"/>
  <c r="O219"/>
  <c r="P219"/>
  <c r="Q219"/>
  <c r="H104" i="285"/>
  <c r="S89"/>
  <c r="BF68" i="304"/>
  <c r="H106" i="285"/>
  <c r="Q106"/>
  <c r="Q89"/>
  <c r="H37" i="38"/>
  <c r="F110" i="285"/>
  <c r="F109"/>
  <c r="F108"/>
  <c r="F107"/>
  <c r="J105"/>
  <c r="J102"/>
  <c r="J101"/>
  <c r="J100"/>
  <c r="F111"/>
  <c r="J96"/>
  <c r="J95"/>
  <c r="J94"/>
  <c r="J92"/>
  <c r="J91"/>
  <c r="J89"/>
  <c r="D105"/>
  <c r="H105"/>
  <c r="H103"/>
  <c r="D102"/>
  <c r="H102"/>
  <c r="D101"/>
  <c r="H101"/>
  <c r="D100"/>
  <c r="H100"/>
  <c r="D99"/>
  <c r="H99"/>
  <c r="D98"/>
  <c r="H98"/>
  <c r="D97"/>
  <c r="H97"/>
  <c r="D96"/>
  <c r="H96"/>
  <c r="D95"/>
  <c r="H95"/>
  <c r="D94"/>
  <c r="H94"/>
  <c r="D93"/>
  <c r="H93"/>
  <c r="D92"/>
  <c r="H92"/>
  <c r="D91"/>
  <c r="H91"/>
  <c r="D90"/>
  <c r="H90"/>
  <c r="H111"/>
  <c r="H110"/>
  <c r="H109"/>
  <c r="H108"/>
  <c r="H107"/>
  <c r="H89"/>
  <c r="N81"/>
  <c r="G81"/>
  <c r="BE64" i="304"/>
  <c r="H7" i="285"/>
  <c r="H25"/>
  <c r="P32"/>
  <c r="S32"/>
  <c r="G32"/>
  <c r="I32"/>
  <c r="N32"/>
  <c r="L6"/>
  <c r="J22"/>
  <c r="J21"/>
  <c r="J20"/>
  <c r="J19"/>
  <c r="J18"/>
  <c r="J17"/>
  <c r="J16"/>
  <c r="J15"/>
  <c r="J14"/>
  <c r="J13"/>
  <c r="J12"/>
  <c r="J11"/>
  <c r="J10"/>
  <c r="J9"/>
  <c r="J8"/>
  <c r="J6"/>
  <c r="BE68" i="304"/>
  <c r="H23" i="285"/>
  <c r="V23"/>
  <c r="V6"/>
  <c r="Q6"/>
  <c r="M132" i="4"/>
  <c r="T131"/>
  <c r="S131"/>
  <c r="R35" i="1"/>
  <c r="O131" i="4"/>
  <c r="H113"/>
  <c r="H105"/>
  <c r="H104"/>
  <c r="H99"/>
  <c r="H98"/>
  <c r="H97"/>
  <c r="H78"/>
  <c r="AF72" i="304"/>
  <c r="AH72"/>
  <c r="AI72"/>
  <c r="AJ72"/>
  <c r="AG72"/>
  <c r="AK72"/>
  <c r="AL72"/>
  <c r="AN72"/>
  <c r="AO72"/>
  <c r="AF72" i="1"/>
  <c r="AH72"/>
  <c r="AI72"/>
  <c r="AJ72"/>
  <c r="AG72"/>
  <c r="AK72"/>
  <c r="AL72"/>
  <c r="AN72"/>
  <c r="AO72"/>
  <c r="M5" i="4"/>
  <c r="O5"/>
  <c r="S5"/>
  <c r="AF74" i="304"/>
  <c r="AH74"/>
  <c r="AI74"/>
  <c r="AJ74"/>
  <c r="AG74"/>
  <c r="AK74"/>
  <c r="AL74"/>
  <c r="AN74"/>
  <c r="AO74"/>
  <c r="D45" i="4"/>
  <c r="H45"/>
  <c r="AF73" i="304"/>
  <c r="AH73"/>
  <c r="AI73"/>
  <c r="AJ73"/>
  <c r="AG73"/>
  <c r="AK73"/>
  <c r="AL73"/>
  <c r="AN73"/>
  <c r="AO73"/>
  <c r="D44" i="4"/>
  <c r="H44"/>
  <c r="D36"/>
  <c r="AF67" i="304"/>
  <c r="AH67"/>
  <c r="AI67"/>
  <c r="AJ67"/>
  <c r="AG67"/>
  <c r="AK67"/>
  <c r="AL67"/>
  <c r="AN67"/>
  <c r="AO67"/>
  <c r="H36" i="4"/>
  <c r="D33"/>
  <c r="D32"/>
  <c r="D7"/>
  <c r="AF49" i="304"/>
  <c r="AH49"/>
  <c r="AI49"/>
  <c r="AJ49"/>
  <c r="AG49"/>
  <c r="AK49"/>
  <c r="AL49"/>
  <c r="AN49"/>
  <c r="AO49"/>
  <c r="H7" i="4"/>
  <c r="D22"/>
  <c r="AF57" i="304"/>
  <c r="AH57"/>
  <c r="AI57"/>
  <c r="AJ57"/>
  <c r="AG57"/>
  <c r="AK57"/>
  <c r="AL57"/>
  <c r="AN57"/>
  <c r="AO57"/>
  <c r="H22" i="4"/>
  <c r="D27"/>
  <c r="AF60" i="304"/>
  <c r="AH60"/>
  <c r="AI60"/>
  <c r="AJ60"/>
  <c r="AG60"/>
  <c r="AK60"/>
  <c r="AL60"/>
  <c r="AN60"/>
  <c r="AO60"/>
  <c r="H27" i="4"/>
  <c r="D28"/>
  <c r="AF61" i="304"/>
  <c r="AH61"/>
  <c r="AI61"/>
  <c r="AJ61"/>
  <c r="AG61"/>
  <c r="AK61"/>
  <c r="AL61"/>
  <c r="AN61"/>
  <c r="AO61"/>
  <c r="H28" i="4"/>
  <c r="D31"/>
  <c r="AF63" i="304"/>
  <c r="AH63"/>
  <c r="AI63"/>
  <c r="AJ63"/>
  <c r="AG63"/>
  <c r="AK63"/>
  <c r="AL63"/>
  <c r="AN63"/>
  <c r="AO63"/>
  <c r="H31" i="4"/>
  <c r="H5"/>
  <c r="AY1" i="304"/>
  <c r="AX7"/>
  <c r="BC7"/>
  <c r="AX8"/>
  <c r="BC8"/>
  <c r="AX9"/>
  <c r="BC9"/>
  <c r="AX10"/>
  <c r="BC10"/>
  <c r="AX11"/>
  <c r="BC11"/>
  <c r="AX12"/>
  <c r="BC12"/>
  <c r="AX13"/>
  <c r="BC13"/>
  <c r="AX14"/>
  <c r="BC14"/>
  <c r="AX15"/>
  <c r="BC15"/>
  <c r="AX16"/>
  <c r="BC16"/>
  <c r="AX17"/>
  <c r="BC17"/>
  <c r="AX18"/>
  <c r="BC18"/>
  <c r="AX19"/>
  <c r="BC19"/>
  <c r="AX20"/>
  <c r="BC20"/>
  <c r="AX21"/>
  <c r="BC21"/>
  <c r="AY22"/>
  <c r="BB22"/>
  <c r="BC22"/>
  <c r="AZ23"/>
  <c r="BA23"/>
  <c r="S28"/>
  <c r="T28"/>
  <c r="S29"/>
  <c r="T29"/>
  <c r="S30"/>
  <c r="T30"/>
  <c r="S31"/>
  <c r="T31"/>
  <c r="S32"/>
  <c r="T32"/>
  <c r="S33"/>
  <c r="T33"/>
  <c r="A34"/>
  <c r="R34"/>
  <c r="S34"/>
  <c r="T34"/>
  <c r="R35"/>
  <c r="S35"/>
  <c r="S36"/>
  <c r="T36"/>
  <c r="B37"/>
  <c r="R37"/>
  <c r="S37"/>
  <c r="T37"/>
  <c r="AZ40"/>
  <c r="BH40"/>
  <c r="D41"/>
  <c r="E41"/>
  <c r="F41"/>
  <c r="G41"/>
  <c r="H41"/>
  <c r="I41"/>
  <c r="J41"/>
  <c r="K41"/>
  <c r="L41"/>
  <c r="M41"/>
  <c r="N41"/>
  <c r="O41"/>
  <c r="P41"/>
  <c r="Q41"/>
  <c r="R41"/>
  <c r="S41"/>
  <c r="T41"/>
  <c r="BE65"/>
  <c r="BE66"/>
  <c r="BE67"/>
  <c r="BE69"/>
  <c r="BE70"/>
  <c r="AW43"/>
  <c r="AF48"/>
  <c r="AG48"/>
  <c r="AH48"/>
  <c r="AI48"/>
  <c r="AJ48"/>
  <c r="AK48"/>
  <c r="AL48"/>
  <c r="AN48"/>
  <c r="AO48"/>
  <c r="AQ48"/>
  <c r="BL49"/>
  <c r="AF50"/>
  <c r="AG50"/>
  <c r="AH50"/>
  <c r="AI50"/>
  <c r="AJ50"/>
  <c r="AK50"/>
  <c r="AL50"/>
  <c r="AN50"/>
  <c r="AO50"/>
  <c r="BL50"/>
  <c r="AF51"/>
  <c r="AG51"/>
  <c r="AH51"/>
  <c r="AI51"/>
  <c r="AJ51"/>
  <c r="AK51"/>
  <c r="AL51"/>
  <c r="AN51"/>
  <c r="AO51"/>
  <c r="BL51"/>
  <c r="D52"/>
  <c r="E52"/>
  <c r="F52"/>
  <c r="G52"/>
  <c r="J52"/>
  <c r="K52"/>
  <c r="L52"/>
  <c r="M52"/>
  <c r="N52"/>
  <c r="O52"/>
  <c r="P52"/>
  <c r="R52"/>
  <c r="AF52"/>
  <c r="AG52"/>
  <c r="AH52"/>
  <c r="AI52"/>
  <c r="AJ52"/>
  <c r="AK52"/>
  <c r="AL52"/>
  <c r="AN52"/>
  <c r="AO52"/>
  <c r="D53"/>
  <c r="E53"/>
  <c r="F53"/>
  <c r="G53"/>
  <c r="H53"/>
  <c r="I53"/>
  <c r="J53"/>
  <c r="K53"/>
  <c r="L53"/>
  <c r="M53"/>
  <c r="N53"/>
  <c r="O53"/>
  <c r="P53"/>
  <c r="Q53"/>
  <c r="R53"/>
  <c r="S53"/>
  <c r="T53"/>
  <c r="AF53"/>
  <c r="AG53"/>
  <c r="AH53"/>
  <c r="AI53"/>
  <c r="AJ53"/>
  <c r="AK53"/>
  <c r="AL53"/>
  <c r="AN53"/>
  <c r="AO53"/>
  <c r="AF54"/>
  <c r="AG54"/>
  <c r="AH54"/>
  <c r="AI54"/>
  <c r="AJ54"/>
  <c r="AK54"/>
  <c r="AL54"/>
  <c r="AN54"/>
  <c r="AO54"/>
  <c r="BL54"/>
  <c r="AF55"/>
  <c r="AG55"/>
  <c r="AH55"/>
  <c r="AI55"/>
  <c r="AJ55"/>
  <c r="AK55"/>
  <c r="AL55"/>
  <c r="AN55"/>
  <c r="AO55"/>
  <c r="BL55"/>
  <c r="AF56"/>
  <c r="AG56"/>
  <c r="AH56"/>
  <c r="AI56"/>
  <c r="AJ56"/>
  <c r="AK56"/>
  <c r="AL56"/>
  <c r="AN56"/>
  <c r="AO56"/>
  <c r="BL56"/>
  <c r="BL57"/>
  <c r="D58"/>
  <c r="E58"/>
  <c r="F58"/>
  <c r="G58"/>
  <c r="H58"/>
  <c r="I58"/>
  <c r="J58"/>
  <c r="K58"/>
  <c r="L58"/>
  <c r="M58"/>
  <c r="N58"/>
  <c r="O58"/>
  <c r="P58"/>
  <c r="Q58"/>
  <c r="R58"/>
  <c r="S58"/>
  <c r="T58"/>
  <c r="AF58"/>
  <c r="AG58"/>
  <c r="AH58"/>
  <c r="AI58"/>
  <c r="AJ58"/>
  <c r="AK58"/>
  <c r="AL58"/>
  <c r="AN58"/>
  <c r="AO58"/>
  <c r="BL58"/>
  <c r="A59"/>
  <c r="B59"/>
  <c r="C59"/>
  <c r="AF59"/>
  <c r="AG59"/>
  <c r="AH59"/>
  <c r="AI59"/>
  <c r="AJ59"/>
  <c r="AK59"/>
  <c r="AL59"/>
  <c r="AN59"/>
  <c r="AO59"/>
  <c r="BL59"/>
  <c r="A60"/>
  <c r="B60"/>
  <c r="C60"/>
  <c r="BL60"/>
  <c r="A61"/>
  <c r="B61"/>
  <c r="C61"/>
  <c r="A62"/>
  <c r="B62"/>
  <c r="C62"/>
  <c r="AF62"/>
  <c r="AG62"/>
  <c r="AH62"/>
  <c r="AI62"/>
  <c r="AJ62"/>
  <c r="AK62"/>
  <c r="AL62"/>
  <c r="AN62"/>
  <c r="AO62"/>
  <c r="A63"/>
  <c r="B63"/>
  <c r="C63"/>
  <c r="A64"/>
  <c r="B64"/>
  <c r="C64"/>
  <c r="D65"/>
  <c r="E65"/>
  <c r="F65"/>
  <c r="G65"/>
  <c r="J65"/>
  <c r="K65"/>
  <c r="L65"/>
  <c r="M65"/>
  <c r="N65"/>
  <c r="O65"/>
  <c r="P65"/>
  <c r="Q65"/>
  <c r="R65"/>
  <c r="S65"/>
  <c r="T65"/>
  <c r="U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D69"/>
  <c r="E69"/>
  <c r="F69"/>
  <c r="G69"/>
  <c r="J69"/>
  <c r="K69"/>
  <c r="L69"/>
  <c r="M69"/>
  <c r="N69"/>
  <c r="O69"/>
  <c r="P69"/>
  <c r="R69"/>
  <c r="U69"/>
  <c r="U70"/>
  <c r="V64"/>
  <c r="BJ64"/>
  <c r="BK64"/>
  <c r="A65"/>
  <c r="B65"/>
  <c r="C65"/>
  <c r="V65"/>
  <c r="A66"/>
  <c r="B66"/>
  <c r="C66"/>
  <c r="V66"/>
  <c r="AF66"/>
  <c r="AG66"/>
  <c r="AH66"/>
  <c r="AI66"/>
  <c r="AJ66"/>
  <c r="AK66"/>
  <c r="AL66"/>
  <c r="AN66"/>
  <c r="AO66"/>
  <c r="A67"/>
  <c r="B67"/>
  <c r="C67"/>
  <c r="V67"/>
  <c r="A68"/>
  <c r="B68"/>
  <c r="C68"/>
  <c r="V68"/>
  <c r="AF68"/>
  <c r="AG68"/>
  <c r="AH68"/>
  <c r="AI68"/>
  <c r="AJ68"/>
  <c r="AK68"/>
  <c r="AL68"/>
  <c r="AN68"/>
  <c r="AO68"/>
  <c r="AY68"/>
  <c r="BC68"/>
  <c r="A69"/>
  <c r="B69"/>
  <c r="C69"/>
  <c r="V69"/>
  <c r="AF69"/>
  <c r="AG69"/>
  <c r="AH69"/>
  <c r="AI69"/>
  <c r="AJ69"/>
  <c r="AK69"/>
  <c r="AL69"/>
  <c r="AN69"/>
  <c r="AO69"/>
  <c r="AY69"/>
  <c r="AZ69"/>
  <c r="BC69"/>
  <c r="BD69"/>
  <c r="BF69"/>
  <c r="D70"/>
  <c r="E70"/>
  <c r="F70"/>
  <c r="G70"/>
  <c r="H70"/>
  <c r="I70"/>
  <c r="J70"/>
  <c r="K70"/>
  <c r="L70"/>
  <c r="M70"/>
  <c r="N70"/>
  <c r="O70"/>
  <c r="P70"/>
  <c r="Q70"/>
  <c r="R70"/>
  <c r="S70"/>
  <c r="T70"/>
  <c r="AF70"/>
  <c r="AG70"/>
  <c r="AH70"/>
  <c r="AI70"/>
  <c r="AJ70"/>
  <c r="AK70"/>
  <c r="AL70"/>
  <c r="AN70"/>
  <c r="AO70"/>
  <c r="AF71"/>
  <c r="AG71"/>
  <c r="AH71"/>
  <c r="AI71"/>
  <c r="AJ71"/>
  <c r="AK71"/>
  <c r="AL71"/>
  <c r="AN71"/>
  <c r="AO71"/>
  <c r="E73"/>
  <c r="G73"/>
  <c r="H73"/>
  <c r="I73"/>
  <c r="J73"/>
  <c r="K73"/>
  <c r="L73"/>
  <c r="M73"/>
  <c r="O73"/>
  <c r="P73"/>
  <c r="Q73"/>
  <c r="R73"/>
  <c r="S73"/>
  <c r="T73"/>
  <c r="U73"/>
  <c r="AF75"/>
  <c r="AG75"/>
  <c r="AH75"/>
  <c r="AI75"/>
  <c r="AJ75"/>
  <c r="AK75"/>
  <c r="AL75"/>
  <c r="AN75"/>
  <c r="AO75"/>
  <c r="AF76"/>
  <c r="AG76"/>
  <c r="AH76"/>
  <c r="AI76"/>
  <c r="AJ76"/>
  <c r="AK76"/>
  <c r="AL76"/>
  <c r="AN76"/>
  <c r="AO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AJ77"/>
  <c r="AL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C3" i="305"/>
  <c r="C4"/>
  <c r="W4"/>
  <c r="D9"/>
  <c r="D10"/>
  <c r="D11"/>
  <c r="D12"/>
  <c r="D13"/>
  <c r="D14"/>
  <c r="D15"/>
  <c r="D16"/>
  <c r="D17"/>
  <c r="D18"/>
  <c r="D19"/>
  <c r="D20"/>
  <c r="D21"/>
  <c r="D22"/>
  <c r="N23"/>
  <c r="N22"/>
  <c r="D23"/>
  <c r="D24"/>
  <c r="N24"/>
  <c r="D25"/>
  <c r="N25"/>
  <c r="D26"/>
  <c r="H27"/>
  <c r="I27"/>
  <c r="J27"/>
  <c r="K27"/>
  <c r="M27"/>
  <c r="N27"/>
  <c r="O27"/>
  <c r="P27"/>
  <c r="S27"/>
  <c r="C31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9"/>
  <c r="Y68"/>
  <c r="Y69"/>
  <c r="Y70"/>
  <c r="Y71"/>
  <c r="Y78"/>
  <c r="AB78"/>
  <c r="Y79"/>
  <c r="AB79"/>
  <c r="Y80"/>
  <c r="AB80"/>
  <c r="U89"/>
  <c r="W89"/>
  <c r="U90"/>
  <c r="W90"/>
  <c r="U91"/>
  <c r="W91"/>
  <c r="U92"/>
  <c r="W92"/>
  <c r="U93"/>
  <c r="V93"/>
  <c r="W93"/>
  <c r="B100"/>
  <c r="L107"/>
  <c r="L108"/>
  <c r="L110"/>
  <c r="L111"/>
  <c r="P120"/>
  <c r="L134"/>
  <c r="T9" i="306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C57"/>
  <c r="D57"/>
  <c r="E57"/>
  <c r="F57"/>
  <c r="G57"/>
  <c r="H57"/>
  <c r="I57"/>
  <c r="J57"/>
  <c r="K57"/>
  <c r="L57"/>
  <c r="M57"/>
  <c r="N57"/>
  <c r="O57"/>
  <c r="P57"/>
  <c r="Q57"/>
  <c r="R57"/>
  <c r="C58"/>
  <c r="D58"/>
  <c r="E58"/>
  <c r="F58"/>
  <c r="G58"/>
  <c r="H58"/>
  <c r="I58"/>
  <c r="J58"/>
  <c r="K58"/>
  <c r="L58"/>
  <c r="M58"/>
  <c r="N58"/>
  <c r="O58"/>
  <c r="P58"/>
  <c r="Q58"/>
  <c r="R58"/>
  <c r="C59"/>
  <c r="D59"/>
  <c r="E59"/>
  <c r="F59"/>
  <c r="G59"/>
  <c r="H59"/>
  <c r="I59"/>
  <c r="J59"/>
  <c r="K59"/>
  <c r="L59"/>
  <c r="M59"/>
  <c r="N59"/>
  <c r="O59"/>
  <c r="P59"/>
  <c r="Q59"/>
  <c r="R59"/>
  <c r="C61"/>
  <c r="D61"/>
  <c r="E61"/>
  <c r="F61"/>
  <c r="G61"/>
  <c r="H61"/>
  <c r="I61"/>
  <c r="J61"/>
  <c r="K61"/>
  <c r="L61"/>
  <c r="M61"/>
  <c r="N61"/>
  <c r="O61"/>
  <c r="P61"/>
  <c r="Q61"/>
  <c r="R61"/>
  <c r="C62"/>
  <c r="D62"/>
  <c r="E62"/>
  <c r="F62"/>
  <c r="G62"/>
  <c r="H62"/>
  <c r="I62"/>
  <c r="J62"/>
  <c r="K62"/>
  <c r="L62"/>
  <c r="M62"/>
  <c r="N62"/>
  <c r="O62"/>
  <c r="P62"/>
  <c r="Q62"/>
  <c r="R62"/>
  <c r="F67"/>
  <c r="K67"/>
  <c r="N67"/>
  <c r="O67"/>
  <c r="P67"/>
  <c r="Q67"/>
  <c r="R67"/>
  <c r="F68"/>
  <c r="I68"/>
  <c r="J68"/>
  <c r="N68"/>
  <c r="O68"/>
  <c r="R68"/>
  <c r="F69"/>
  <c r="G69"/>
  <c r="H69"/>
  <c r="I69"/>
  <c r="J69"/>
  <c r="K69"/>
  <c r="N69"/>
  <c r="O69"/>
  <c r="P69"/>
  <c r="R69"/>
  <c r="F71"/>
  <c r="H71"/>
  <c r="I71"/>
  <c r="J71"/>
  <c r="N71"/>
  <c r="O71"/>
  <c r="P71"/>
  <c r="R71"/>
  <c r="F94"/>
  <c r="I94"/>
  <c r="J94"/>
  <c r="F95"/>
  <c r="J95"/>
  <c r="N95"/>
  <c r="O95"/>
  <c r="A118"/>
  <c r="A119"/>
  <c r="A120"/>
  <c r="A121"/>
  <c r="A123"/>
  <c r="A124"/>
  <c r="A125"/>
  <c r="A126"/>
  <c r="A127"/>
  <c r="A128"/>
  <c r="A129"/>
  <c r="A130"/>
  <c r="A131"/>
  <c r="A136"/>
  <c r="A137"/>
  <c r="A144"/>
  <c r="A145"/>
  <c r="A146"/>
  <c r="A147"/>
  <c r="A148"/>
  <c r="A149"/>
  <c r="A150"/>
  <c r="A151"/>
  <c r="A152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V200"/>
  <c r="V201"/>
  <c r="V202"/>
  <c r="V203"/>
  <c r="C210"/>
  <c r="R219"/>
  <c r="S219"/>
  <c r="D233"/>
  <c r="E233"/>
  <c r="F233"/>
  <c r="G233"/>
  <c r="H233"/>
  <c r="I233"/>
  <c r="B8" i="5"/>
  <c r="J233" i="306"/>
  <c r="K233"/>
  <c r="L233"/>
  <c r="B10" i="5"/>
  <c r="M233" i="306"/>
  <c r="N233"/>
  <c r="O233"/>
  <c r="P233"/>
  <c r="Q233"/>
  <c r="R233"/>
  <c r="S233"/>
  <c r="T233"/>
  <c r="U233"/>
  <c r="V233"/>
  <c r="W233"/>
  <c r="X233"/>
  <c r="Y233"/>
  <c r="Z233"/>
  <c r="AB233"/>
  <c r="B43" i="5"/>
  <c r="AC233" i="306"/>
  <c r="AD233"/>
  <c r="AG233"/>
  <c r="AH233"/>
  <c r="AI233"/>
  <c r="AJ233"/>
  <c r="AK233"/>
  <c r="AL237"/>
  <c r="AL238"/>
  <c r="AL239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B241"/>
  <c r="AC241"/>
  <c r="AD241"/>
  <c r="AE241"/>
  <c r="AF241"/>
  <c r="AG241"/>
  <c r="AH241"/>
  <c r="AI241"/>
  <c r="AJ241"/>
  <c r="AK241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B242"/>
  <c r="AC242"/>
  <c r="AD242"/>
  <c r="AE242"/>
  <c r="AF242"/>
  <c r="AG242"/>
  <c r="AH242"/>
  <c r="AI242"/>
  <c r="AJ242"/>
  <c r="AK242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B244"/>
  <c r="AC244"/>
  <c r="AD244"/>
  <c r="AE244"/>
  <c r="AF244"/>
  <c r="AG244"/>
  <c r="AH244"/>
  <c r="AI244"/>
  <c r="AJ244"/>
  <c r="AK244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B245"/>
  <c r="AC245"/>
  <c r="AD245"/>
  <c r="AE245"/>
  <c r="AF245"/>
  <c r="AG245"/>
  <c r="AH245"/>
  <c r="AI245"/>
  <c r="AJ245"/>
  <c r="AK245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B246"/>
  <c r="AC246"/>
  <c r="AD246"/>
  <c r="AE246"/>
  <c r="AF246"/>
  <c r="AG246"/>
  <c r="AH246"/>
  <c r="AI246"/>
  <c r="AJ246"/>
  <c r="AK246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B247"/>
  <c r="AC247"/>
  <c r="AD247"/>
  <c r="AE247"/>
  <c r="AF247"/>
  <c r="AG247"/>
  <c r="AH247"/>
  <c r="AI247"/>
  <c r="AJ247"/>
  <c r="AK247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B248"/>
  <c r="AC248"/>
  <c r="AD248"/>
  <c r="AE248"/>
  <c r="AF248"/>
  <c r="AG248"/>
  <c r="AH248"/>
  <c r="AI248"/>
  <c r="AJ248"/>
  <c r="AK248"/>
  <c r="W261"/>
  <c r="W262"/>
  <c r="W263"/>
  <c r="W264"/>
  <c r="W265"/>
  <c r="W266"/>
  <c r="W267"/>
  <c r="X267"/>
  <c r="W268"/>
  <c r="X268"/>
  <c r="W269"/>
  <c r="W270"/>
  <c r="X270"/>
  <c r="W271"/>
  <c r="Q6" i="4"/>
  <c r="AF65" i="1"/>
  <c r="AH65"/>
  <c r="AI65"/>
  <c r="AJ65"/>
  <c r="AG65"/>
  <c r="AK65"/>
  <c r="AL65"/>
  <c r="AN65"/>
  <c r="AO65"/>
  <c r="AF64"/>
  <c r="AH64"/>
  <c r="AI64"/>
  <c r="AJ64"/>
  <c r="AG64"/>
  <c r="AK64"/>
  <c r="AL64"/>
  <c r="AN64"/>
  <c r="AO64"/>
  <c r="AF63"/>
  <c r="AH63"/>
  <c r="AI63"/>
  <c r="AJ63"/>
  <c r="AG63"/>
  <c r="AK63"/>
  <c r="AL63"/>
  <c r="AN63"/>
  <c r="AO63"/>
  <c r="G31" i="4"/>
  <c r="F46" i="5"/>
  <c r="N56"/>
  <c r="L55"/>
  <c r="L56"/>
  <c r="E44"/>
  <c r="F44"/>
  <c r="N55"/>
  <c r="M55"/>
  <c r="N57"/>
  <c r="M57"/>
  <c r="L57"/>
  <c r="N54"/>
  <c r="M54"/>
  <c r="L54"/>
  <c r="N53"/>
  <c r="M53"/>
  <c r="L53"/>
  <c r="F47"/>
  <c r="N52"/>
  <c r="M52"/>
  <c r="F24"/>
  <c r="N51"/>
  <c r="M51"/>
  <c r="L51"/>
  <c r="N50"/>
  <c r="M50"/>
  <c r="L50"/>
  <c r="N49"/>
  <c r="M49"/>
  <c r="L49"/>
  <c r="F33"/>
  <c r="N48"/>
  <c r="M48"/>
  <c r="L48"/>
  <c r="N47"/>
  <c r="M47"/>
  <c r="L47"/>
  <c r="N46"/>
  <c r="M46"/>
  <c r="L46"/>
  <c r="N45"/>
  <c r="M45"/>
  <c r="L45"/>
  <c r="N44"/>
  <c r="M44"/>
  <c r="L44"/>
  <c r="N43"/>
  <c r="M43"/>
  <c r="L43"/>
  <c r="N42"/>
  <c r="M42"/>
  <c r="L42"/>
  <c r="U5" i="4"/>
  <c r="M31"/>
  <c r="H110"/>
  <c r="M110"/>
  <c r="R109"/>
  <c r="L113"/>
  <c r="AF68" i="1"/>
  <c r="AH68"/>
  <c r="AI68"/>
  <c r="AJ68"/>
  <c r="AG68"/>
  <c r="AK68"/>
  <c r="AL68"/>
  <c r="R14" i="26"/>
  <c r="R26"/>
  <c r="R35"/>
  <c r="BC19" i="1"/>
  <c r="AX19"/>
  <c r="AY22"/>
  <c r="E70" i="285"/>
  <c r="T5" i="4"/>
  <c r="R5"/>
  <c r="M114"/>
  <c r="N114"/>
  <c r="N33" i="5"/>
  <c r="M33"/>
  <c r="L33"/>
  <c r="J64" i="12"/>
  <c r="O64"/>
  <c r="P64"/>
  <c r="J63"/>
  <c r="O63"/>
  <c r="M63"/>
  <c r="J62"/>
  <c r="Q59" i="287"/>
  <c r="N94"/>
  <c r="G12" i="283"/>
  <c r="E68" i="1"/>
  <c r="K66"/>
  <c r="P65"/>
  <c r="P66"/>
  <c r="P67"/>
  <c r="P68"/>
  <c r="P52"/>
  <c r="P69"/>
  <c r="P70"/>
  <c r="P81"/>
  <c r="P80"/>
  <c r="P82"/>
  <c r="F76"/>
  <c r="N76"/>
  <c r="J76"/>
  <c r="BC10"/>
  <c r="BC13"/>
  <c r="BC14"/>
  <c r="BC16"/>
  <c r="BC21"/>
  <c r="I100" i="285"/>
  <c r="I101"/>
  <c r="I102"/>
  <c r="D65" i="1"/>
  <c r="P84" i="4"/>
  <c r="D7" i="38"/>
  <c r="E7"/>
  <c r="F7"/>
  <c r="D12"/>
  <c r="E12"/>
  <c r="F12"/>
  <c r="D11"/>
  <c r="E11"/>
  <c r="F11"/>
  <c r="D10"/>
  <c r="E10"/>
  <c r="E9"/>
  <c r="M52" i="1"/>
  <c r="N52"/>
  <c r="N69"/>
  <c r="D8" i="38"/>
  <c r="E8"/>
  <c r="N65" i="1"/>
  <c r="D66"/>
  <c r="E66"/>
  <c r="F66"/>
  <c r="G66"/>
  <c r="H66"/>
  <c r="J66"/>
  <c r="L66"/>
  <c r="N66"/>
  <c r="O66"/>
  <c r="R66"/>
  <c r="E67"/>
  <c r="F67"/>
  <c r="G67"/>
  <c r="J67"/>
  <c r="J65"/>
  <c r="J68"/>
  <c r="J52"/>
  <c r="J69"/>
  <c r="J70"/>
  <c r="J81"/>
  <c r="J80"/>
  <c r="J82"/>
  <c r="K67"/>
  <c r="L67"/>
  <c r="N67"/>
  <c r="R67"/>
  <c r="F68"/>
  <c r="G68"/>
  <c r="H68"/>
  <c r="K68"/>
  <c r="L68"/>
  <c r="N68"/>
  <c r="R68"/>
  <c r="D52"/>
  <c r="E52"/>
  <c r="F52"/>
  <c r="F69"/>
  <c r="G52"/>
  <c r="I53"/>
  <c r="K52"/>
  <c r="K69"/>
  <c r="L52"/>
  <c r="L69"/>
  <c r="O52"/>
  <c r="O69"/>
  <c r="R52"/>
  <c r="R69"/>
  <c r="F65"/>
  <c r="G65"/>
  <c r="K65"/>
  <c r="L65"/>
  <c r="O65"/>
  <c r="R65"/>
  <c r="T65"/>
  <c r="Q31" i="40"/>
  <c r="T73" i="1"/>
  <c r="S73"/>
  <c r="R73"/>
  <c r="Q73"/>
  <c r="P73"/>
  <c r="O73"/>
  <c r="M73"/>
  <c r="L73"/>
  <c r="K73"/>
  <c r="J73"/>
  <c r="I73"/>
  <c r="H73"/>
  <c r="G73"/>
  <c r="E73"/>
  <c r="B59" i="38"/>
  <c r="C59"/>
  <c r="A129" i="287"/>
  <c r="R94"/>
  <c r="F42" i="5"/>
  <c r="F11"/>
  <c r="N41"/>
  <c r="F10"/>
  <c r="F9"/>
  <c r="N40"/>
  <c r="F37"/>
  <c r="N39"/>
  <c r="F7"/>
  <c r="N37"/>
  <c r="N36"/>
  <c r="F6"/>
  <c r="N35"/>
  <c r="N7"/>
  <c r="N34"/>
  <c r="F36"/>
  <c r="N32"/>
  <c r="N31"/>
  <c r="F43"/>
  <c r="N30"/>
  <c r="N29"/>
  <c r="N24"/>
  <c r="N23"/>
  <c r="F23"/>
  <c r="N22"/>
  <c r="F20"/>
  <c r="N21"/>
  <c r="F18"/>
  <c r="N18"/>
  <c r="F14"/>
  <c r="N17"/>
  <c r="N16"/>
  <c r="N15"/>
  <c r="F8"/>
  <c r="N14"/>
  <c r="N13"/>
  <c r="N12"/>
  <c r="N11"/>
  <c r="N10"/>
  <c r="N9"/>
  <c r="N6"/>
  <c r="N5"/>
  <c r="F39"/>
  <c r="F32"/>
  <c r="F31"/>
  <c r="F30"/>
  <c r="F29"/>
  <c r="F28"/>
  <c r="F22"/>
  <c r="F21"/>
  <c r="F19"/>
  <c r="F17"/>
  <c r="F16"/>
  <c r="F13"/>
  <c r="F12"/>
  <c r="N5" i="4"/>
  <c r="I83" i="1"/>
  <c r="J83"/>
  <c r="Q40" i="4"/>
  <c r="Q48"/>
  <c r="S83" i="1"/>
  <c r="C31" i="288"/>
  <c r="A148" i="287"/>
  <c r="N28" i="5"/>
  <c r="M28"/>
  <c r="L28"/>
  <c r="L27"/>
  <c r="D111" i="285"/>
  <c r="B34" i="1"/>
  <c r="P101" i="4"/>
  <c r="R101"/>
  <c r="N27" i="288"/>
  <c r="N23"/>
  <c r="N22"/>
  <c r="N24"/>
  <c r="N25"/>
  <c r="A176" i="287"/>
  <c r="T13"/>
  <c r="O64" i="26"/>
  <c r="N64"/>
  <c r="M64"/>
  <c r="L64"/>
  <c r="O50" i="6"/>
  <c r="N50"/>
  <c r="M50"/>
  <c r="L50"/>
  <c r="J50"/>
  <c r="A124" i="287"/>
  <c r="S7" i="292"/>
  <c r="J30"/>
  <c r="B30"/>
  <c r="B28"/>
  <c r="B25"/>
  <c r="B23"/>
  <c r="B20"/>
  <c r="B18"/>
  <c r="B15"/>
  <c r="B13"/>
  <c r="B10"/>
  <c r="B8"/>
  <c r="D58" i="4"/>
  <c r="AF75" i="1"/>
  <c r="AI75"/>
  <c r="AJ75"/>
  <c r="AG75"/>
  <c r="AK75"/>
  <c r="AN75"/>
  <c r="AF74"/>
  <c r="AG74"/>
  <c r="AK74"/>
  <c r="AN74"/>
  <c r="AF73"/>
  <c r="AJ73"/>
  <c r="AH73"/>
  <c r="AI73"/>
  <c r="AG73"/>
  <c r="AK73"/>
  <c r="AN73"/>
  <c r="AF71"/>
  <c r="AG71"/>
  <c r="AK71"/>
  <c r="AN71"/>
  <c r="AF70"/>
  <c r="AG70"/>
  <c r="AK70"/>
  <c r="AN70"/>
  <c r="A152" i="287"/>
  <c r="D46" i="4"/>
  <c r="A151" i="287"/>
  <c r="A150"/>
  <c r="A149"/>
  <c r="A147"/>
  <c r="A146"/>
  <c r="A145"/>
  <c r="A144"/>
  <c r="A141"/>
  <c r="A137"/>
  <c r="A136"/>
  <c r="A131"/>
  <c r="A130"/>
  <c r="A128"/>
  <c r="A127"/>
  <c r="A126"/>
  <c r="A125"/>
  <c r="A123"/>
  <c r="A121"/>
  <c r="A120"/>
  <c r="A119"/>
  <c r="A118"/>
  <c r="M13" i="5"/>
  <c r="D21" i="4"/>
  <c r="H6" i="46"/>
  <c r="J6"/>
  <c r="C27"/>
  <c r="E27"/>
  <c r="C26"/>
  <c r="E26"/>
  <c r="C25"/>
  <c r="C24"/>
  <c r="C23"/>
  <c r="E23"/>
  <c r="E24"/>
  <c r="I37" i="38"/>
  <c r="BF68" i="1"/>
  <c r="AY68"/>
  <c r="BC68"/>
  <c r="AZ68"/>
  <c r="BD68"/>
  <c r="F89" i="285"/>
  <c r="AX20" i="1"/>
  <c r="E76" i="285"/>
  <c r="I105"/>
  <c r="U23"/>
  <c r="BE68" i="1"/>
  <c r="G23" i="285"/>
  <c r="C23"/>
  <c r="E24"/>
  <c r="B23"/>
  <c r="D24" i="4"/>
  <c r="E76" i="38"/>
  <c r="B70"/>
  <c r="E70"/>
  <c r="B54"/>
  <c r="E54"/>
  <c r="B48"/>
  <c r="E48"/>
  <c r="B43"/>
  <c r="E43"/>
  <c r="B38"/>
  <c r="E38"/>
  <c r="C70"/>
  <c r="C54"/>
  <c r="C48"/>
  <c r="C43"/>
  <c r="C38"/>
  <c r="D25" i="288"/>
  <c r="D24"/>
  <c r="D2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W268" i="287"/>
  <c r="X268"/>
  <c r="W267"/>
  <c r="W270"/>
  <c r="W266"/>
  <c r="W265"/>
  <c r="W264"/>
  <c r="W263"/>
  <c r="W261"/>
  <c r="W262"/>
  <c r="W271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5"/>
  <c r="A174"/>
  <c r="A173"/>
  <c r="A172"/>
  <c r="W269"/>
  <c r="I22" i="285"/>
  <c r="S6" i="302"/>
  <c r="R124" i="4"/>
  <c r="R107"/>
  <c r="R104"/>
  <c r="R97"/>
  <c r="R95"/>
  <c r="R93"/>
  <c r="R91"/>
  <c r="R88"/>
  <c r="R86"/>
  <c r="R84"/>
  <c r="R82"/>
  <c r="R78"/>
  <c r="B37" i="1"/>
  <c r="R37"/>
  <c r="S37"/>
  <c r="B100" i="288"/>
  <c r="U92"/>
  <c r="Y80"/>
  <c r="Y79"/>
  <c r="Y78"/>
  <c r="Y71"/>
  <c r="Y70"/>
  <c r="Y69"/>
  <c r="Y68"/>
  <c r="Y59"/>
  <c r="S27"/>
  <c r="P27"/>
  <c r="O27"/>
  <c r="M27"/>
  <c r="K27"/>
  <c r="J27"/>
  <c r="I27"/>
  <c r="H27"/>
  <c r="D26"/>
  <c r="D22"/>
  <c r="D21"/>
  <c r="D20"/>
  <c r="D19"/>
  <c r="D18"/>
  <c r="D17"/>
  <c r="D16"/>
  <c r="D15"/>
  <c r="D14"/>
  <c r="D13"/>
  <c r="D12"/>
  <c r="D11"/>
  <c r="D10"/>
  <c r="D9"/>
  <c r="Q7" i="42"/>
  <c r="Q7" i="40"/>
  <c r="R7" i="39"/>
  <c r="P7" i="291"/>
  <c r="Q6" i="302"/>
  <c r="J5" i="6"/>
  <c r="L5" i="12"/>
  <c r="K6" i="285"/>
  <c r="I89"/>
  <c r="J61" i="12"/>
  <c r="AQ48" i="1"/>
  <c r="AF49"/>
  <c r="AH49"/>
  <c r="AI49"/>
  <c r="AJ49"/>
  <c r="AG49"/>
  <c r="AK49"/>
  <c r="AN49"/>
  <c r="AF53"/>
  <c r="AG53"/>
  <c r="AK53"/>
  <c r="AN53"/>
  <c r="AF57"/>
  <c r="AH57"/>
  <c r="AI57"/>
  <c r="AJ57"/>
  <c r="AG57"/>
  <c r="AK57"/>
  <c r="AL57"/>
  <c r="AN57"/>
  <c r="AF61"/>
  <c r="AJ61"/>
  <c r="AH61"/>
  <c r="AI61"/>
  <c r="AG61"/>
  <c r="AK61"/>
  <c r="AN61"/>
  <c r="AF60"/>
  <c r="AH60"/>
  <c r="AI60"/>
  <c r="AJ60"/>
  <c r="AG60"/>
  <c r="AK60"/>
  <c r="AN60"/>
  <c r="N66" i="19"/>
  <c r="O66"/>
  <c r="M66"/>
  <c r="L66"/>
  <c r="J66"/>
  <c r="D8" i="46"/>
  <c r="Q5" i="283"/>
  <c r="B36" i="291"/>
  <c r="B34"/>
  <c r="B30"/>
  <c r="B28"/>
  <c r="B26"/>
  <c r="B24"/>
  <c r="B22"/>
  <c r="B20"/>
  <c r="B18"/>
  <c r="B16"/>
  <c r="B14"/>
  <c r="B12"/>
  <c r="B10"/>
  <c r="B8"/>
  <c r="AF48" i="1"/>
  <c r="AJ48"/>
  <c r="AF50"/>
  <c r="AJ50"/>
  <c r="AF51"/>
  <c r="AJ51"/>
  <c r="AF52"/>
  <c r="AF54"/>
  <c r="AJ54"/>
  <c r="AF55"/>
  <c r="AF56"/>
  <c r="AJ56"/>
  <c r="AF58"/>
  <c r="AF59"/>
  <c r="AJ59"/>
  <c r="AF62"/>
  <c r="AH62"/>
  <c r="AJ62"/>
  <c r="AF66"/>
  <c r="AJ66"/>
  <c r="AF67"/>
  <c r="AJ67"/>
  <c r="AF69"/>
  <c r="AF76"/>
  <c r="AJ76"/>
  <c r="I54" i="26"/>
  <c r="I44"/>
  <c r="H50" i="19"/>
  <c r="H41" i="6"/>
  <c r="U61" i="12"/>
  <c r="D12" i="298"/>
  <c r="D10"/>
  <c r="J32" i="32"/>
  <c r="S13" i="46"/>
  <c r="S11"/>
  <c r="S12"/>
  <c r="C11"/>
  <c r="E11"/>
  <c r="C10"/>
  <c r="E10"/>
  <c r="S16"/>
  <c r="S15"/>
  <c r="C15"/>
  <c r="E15"/>
  <c r="E25"/>
  <c r="T41" i="287"/>
  <c r="A34" i="1"/>
  <c r="G94" i="287"/>
  <c r="G9" i="283"/>
  <c r="F5"/>
  <c r="T20" i="287"/>
  <c r="T17"/>
  <c r="T11"/>
  <c r="T10"/>
  <c r="T40"/>
  <c r="T37"/>
  <c r="T39"/>
  <c r="G6" i="32"/>
  <c r="G5" i="26"/>
  <c r="T43" i="287"/>
  <c r="F32" i="291"/>
  <c r="T19" i="287"/>
  <c r="D233"/>
  <c r="E233"/>
  <c r="F233"/>
  <c r="G233"/>
  <c r="H233"/>
  <c r="I233"/>
  <c r="K233"/>
  <c r="L233"/>
  <c r="N233"/>
  <c r="O233"/>
  <c r="P233"/>
  <c r="Q233"/>
  <c r="R233"/>
  <c r="S233"/>
  <c r="T233"/>
  <c r="U233"/>
  <c r="V233"/>
  <c r="W233"/>
  <c r="X233"/>
  <c r="Y233"/>
  <c r="Z233"/>
  <c r="AB233"/>
  <c r="AC233"/>
  <c r="AD233"/>
  <c r="AG233"/>
  <c r="AH233"/>
  <c r="AI233"/>
  <c r="AJ233"/>
  <c r="AK233"/>
  <c r="C16" i="46"/>
  <c r="E16"/>
  <c r="C17"/>
  <c r="E17"/>
  <c r="C12"/>
  <c r="E12"/>
  <c r="C13"/>
  <c r="E13"/>
  <c r="P6"/>
  <c r="O6"/>
  <c r="N6"/>
  <c r="M6"/>
  <c r="L6"/>
  <c r="K6"/>
  <c r="T18" i="287"/>
  <c r="T28"/>
  <c r="T27"/>
  <c r="T22"/>
  <c r="C21" i="46"/>
  <c r="E21"/>
  <c r="C7"/>
  <c r="C8"/>
  <c r="T34" i="287"/>
  <c r="H6" i="302"/>
  <c r="F6"/>
  <c r="T9" i="287"/>
  <c r="T12"/>
  <c r="T36"/>
  <c r="T29"/>
  <c r="T30"/>
  <c r="T31"/>
  <c r="T32"/>
  <c r="T33"/>
  <c r="F5" i="19"/>
  <c r="T35" i="287"/>
  <c r="D14" i="298"/>
  <c r="D11"/>
  <c r="D9"/>
  <c r="H7"/>
  <c r="I7"/>
  <c r="Q7"/>
  <c r="O9"/>
  <c r="O10"/>
  <c r="O11"/>
  <c r="O12"/>
  <c r="O13"/>
  <c r="O14"/>
  <c r="R6" i="32"/>
  <c r="N6"/>
  <c r="I70"/>
  <c r="H70"/>
  <c r="F70"/>
  <c r="J10" i="292"/>
  <c r="L7"/>
  <c r="J7"/>
  <c r="H7"/>
  <c r="K7" i="291"/>
  <c r="G7"/>
  <c r="T26" i="287"/>
  <c r="T25"/>
  <c r="T24"/>
  <c r="T23"/>
  <c r="T21"/>
  <c r="T16"/>
  <c r="T15"/>
  <c r="T14"/>
  <c r="R34" i="1"/>
  <c r="T83"/>
  <c r="BC8"/>
  <c r="BC9"/>
  <c r="BC11"/>
  <c r="BC12"/>
  <c r="BC15"/>
  <c r="BC18"/>
  <c r="BC20"/>
  <c r="T28"/>
  <c r="T29"/>
  <c r="T30"/>
  <c r="T31"/>
  <c r="T32"/>
  <c r="T33"/>
  <c r="T34"/>
  <c r="T36"/>
  <c r="T37"/>
  <c r="D41"/>
  <c r="E41"/>
  <c r="F41"/>
  <c r="G41"/>
  <c r="H41"/>
  <c r="I41"/>
  <c r="J41"/>
  <c r="K41"/>
  <c r="L41"/>
  <c r="M41"/>
  <c r="N41"/>
  <c r="O41"/>
  <c r="P41"/>
  <c r="Q41"/>
  <c r="R41"/>
  <c r="S41"/>
  <c r="T41"/>
  <c r="AG48"/>
  <c r="AK48"/>
  <c r="AH48"/>
  <c r="AI48"/>
  <c r="AN48"/>
  <c r="AG50"/>
  <c r="AH50"/>
  <c r="AI50"/>
  <c r="AK50"/>
  <c r="AL50"/>
  <c r="AN50"/>
  <c r="AG51"/>
  <c r="AH51"/>
  <c r="AI51"/>
  <c r="AK51"/>
  <c r="AL51"/>
  <c r="AN51"/>
  <c r="AG52"/>
  <c r="AK52"/>
  <c r="AN52"/>
  <c r="AG54"/>
  <c r="AK54"/>
  <c r="AH54"/>
  <c r="AI54"/>
  <c r="AL54"/>
  <c r="AN54"/>
  <c r="AG55"/>
  <c r="AK55"/>
  <c r="AN55"/>
  <c r="AG56"/>
  <c r="AK56"/>
  <c r="AH56"/>
  <c r="AI56"/>
  <c r="AN56"/>
  <c r="D53"/>
  <c r="F53"/>
  <c r="H53"/>
  <c r="J53"/>
  <c r="K53"/>
  <c r="L53"/>
  <c r="N53"/>
  <c r="O53"/>
  <c r="P53"/>
  <c r="R53"/>
  <c r="S53"/>
  <c r="AG58"/>
  <c r="AK58"/>
  <c r="AN58"/>
  <c r="AG59"/>
  <c r="AK59"/>
  <c r="AH59"/>
  <c r="AI59"/>
  <c r="AN59"/>
  <c r="D58"/>
  <c r="E58"/>
  <c r="F58"/>
  <c r="G58"/>
  <c r="H58"/>
  <c r="I58"/>
  <c r="J58"/>
  <c r="K58"/>
  <c r="L58"/>
  <c r="M58"/>
  <c r="N58"/>
  <c r="O58"/>
  <c r="P58"/>
  <c r="Q58"/>
  <c r="R58"/>
  <c r="S58"/>
  <c r="T58"/>
  <c r="A59"/>
  <c r="B59"/>
  <c r="C59"/>
  <c r="AG62"/>
  <c r="AK62"/>
  <c r="AI62"/>
  <c r="AL62"/>
  <c r="AN62"/>
  <c r="AG66"/>
  <c r="AK66"/>
  <c r="AH66"/>
  <c r="AI66"/>
  <c r="AL66"/>
  <c r="AN66"/>
  <c r="AG67"/>
  <c r="AK67"/>
  <c r="AH67"/>
  <c r="AI67"/>
  <c r="AL67"/>
  <c r="AN67"/>
  <c r="AN68"/>
  <c r="A60"/>
  <c r="B60"/>
  <c r="C60"/>
  <c r="AG69"/>
  <c r="AK69"/>
  <c r="AN69"/>
  <c r="AG76"/>
  <c r="AK76"/>
  <c r="AH76"/>
  <c r="AI76"/>
  <c r="AL76"/>
  <c r="AN76"/>
  <c r="A61"/>
  <c r="B61"/>
  <c r="C61"/>
  <c r="A62"/>
  <c r="B62"/>
  <c r="C62"/>
  <c r="A63"/>
  <c r="B63"/>
  <c r="C63"/>
  <c r="A64"/>
  <c r="B64"/>
  <c r="C64"/>
  <c r="A65"/>
  <c r="B65"/>
  <c r="C65"/>
  <c r="A66"/>
  <c r="B66"/>
  <c r="C66"/>
  <c r="A67"/>
  <c r="B67"/>
  <c r="C67"/>
  <c r="A68"/>
  <c r="B68"/>
  <c r="C68"/>
  <c r="A69"/>
  <c r="B69"/>
  <c r="C69"/>
  <c r="R70"/>
  <c r="R81"/>
  <c r="R80"/>
  <c r="R82"/>
  <c r="P76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D80"/>
  <c r="E80"/>
  <c r="F80"/>
  <c r="G80"/>
  <c r="H80"/>
  <c r="K80"/>
  <c r="L80"/>
  <c r="N80"/>
  <c r="S80"/>
  <c r="D83"/>
  <c r="E83"/>
  <c r="F83"/>
  <c r="G83"/>
  <c r="H83"/>
  <c r="K83"/>
  <c r="L83"/>
  <c r="M83"/>
  <c r="O83"/>
  <c r="P83"/>
  <c r="Q83"/>
  <c r="R83"/>
  <c r="T42" i="287"/>
  <c r="T38"/>
  <c r="F5" i="12"/>
  <c r="J36" i="291"/>
  <c r="E79" i="285"/>
  <c r="E73"/>
  <c r="E67"/>
  <c r="E64"/>
  <c r="E61"/>
  <c r="E58"/>
  <c r="E55"/>
  <c r="E52"/>
  <c r="E49"/>
  <c r="E46"/>
  <c r="E43"/>
  <c r="E40"/>
  <c r="E37"/>
  <c r="E34"/>
  <c r="AL239" i="287"/>
  <c r="AL238"/>
  <c r="AL237"/>
  <c r="F5" i="6"/>
  <c r="D35" i="4"/>
  <c r="D30"/>
  <c r="D26"/>
  <c r="D20"/>
  <c r="D14"/>
  <c r="D6"/>
  <c r="L78"/>
  <c r="M41" i="5"/>
  <c r="M40"/>
  <c r="M39"/>
  <c r="M37"/>
  <c r="M36"/>
  <c r="M35"/>
  <c r="M34"/>
  <c r="M32"/>
  <c r="M31"/>
  <c r="M30"/>
  <c r="M29"/>
  <c r="M26"/>
  <c r="M25"/>
  <c r="M24"/>
  <c r="M23"/>
  <c r="M22"/>
  <c r="M21"/>
  <c r="M20"/>
  <c r="M19"/>
  <c r="M18"/>
  <c r="M17"/>
  <c r="M16"/>
  <c r="M15"/>
  <c r="M14"/>
  <c r="M12"/>
  <c r="M11"/>
  <c r="M10"/>
  <c r="M9"/>
  <c r="M8"/>
  <c r="M7"/>
  <c r="M6"/>
  <c r="M5"/>
  <c r="G101" i="285"/>
  <c r="G96"/>
  <c r="D22"/>
  <c r="C22"/>
  <c r="B22"/>
  <c r="D21"/>
  <c r="B21"/>
  <c r="D20"/>
  <c r="B20"/>
  <c r="C20"/>
  <c r="D19"/>
  <c r="B19"/>
  <c r="D18"/>
  <c r="C18"/>
  <c r="D17"/>
  <c r="D16"/>
  <c r="C16"/>
  <c r="B16"/>
  <c r="D15"/>
  <c r="C15"/>
  <c r="B15"/>
  <c r="D14"/>
  <c r="B14"/>
  <c r="D13"/>
  <c r="D12"/>
  <c r="B12"/>
  <c r="D11"/>
  <c r="C11"/>
  <c r="B11"/>
  <c r="D10"/>
  <c r="C10"/>
  <c r="D9"/>
  <c r="D8"/>
  <c r="B8"/>
  <c r="L41" i="5"/>
  <c r="L40"/>
  <c r="L39"/>
  <c r="L37"/>
  <c r="L36"/>
  <c r="L35"/>
  <c r="L34"/>
  <c r="L32"/>
  <c r="L31"/>
  <c r="L30"/>
  <c r="L29"/>
  <c r="L26"/>
  <c r="L25"/>
  <c r="L24"/>
  <c r="L23"/>
  <c r="L22"/>
  <c r="L21"/>
  <c r="L20"/>
  <c r="L19"/>
  <c r="L18"/>
  <c r="L17"/>
  <c r="L16"/>
  <c r="L15"/>
  <c r="L12"/>
  <c r="L11"/>
  <c r="L10"/>
  <c r="L9"/>
  <c r="L8"/>
  <c r="L7"/>
  <c r="L6"/>
  <c r="L5"/>
  <c r="F32" i="285"/>
  <c r="E22"/>
  <c r="E21"/>
  <c r="E20"/>
  <c r="E19"/>
  <c r="E18"/>
  <c r="E17"/>
  <c r="E16"/>
  <c r="E15"/>
  <c r="E14"/>
  <c r="E13"/>
  <c r="E12"/>
  <c r="E11"/>
  <c r="E10"/>
  <c r="E9"/>
  <c r="E8"/>
  <c r="E7"/>
  <c r="D7"/>
  <c r="D66" i="4"/>
  <c r="D48"/>
  <c r="D40"/>
  <c r="D38"/>
  <c r="D18"/>
  <c r="D16"/>
  <c r="D12"/>
  <c r="D10"/>
  <c r="G37" i="38"/>
  <c r="M7" i="42"/>
  <c r="I7"/>
  <c r="G7"/>
  <c r="I7" i="40"/>
  <c r="G7"/>
  <c r="I7" i="39"/>
  <c r="G7"/>
  <c r="G5" i="283"/>
  <c r="I9" i="285"/>
  <c r="I18"/>
  <c r="I20"/>
  <c r="P94" i="287"/>
  <c r="F69"/>
  <c r="F59"/>
  <c r="R59"/>
  <c r="R69"/>
  <c r="C8" i="285"/>
  <c r="C12"/>
  <c r="C19"/>
  <c r="D59" i="287"/>
  <c r="I95" i="285"/>
  <c r="B18"/>
  <c r="M59" i="287"/>
  <c r="C14" i="285"/>
  <c r="J20" i="292"/>
  <c r="J25"/>
  <c r="F10" i="38"/>
  <c r="N59" i="287"/>
  <c r="B10" i="285"/>
  <c r="G14" i="283"/>
  <c r="G59" i="287"/>
  <c r="D9" i="38"/>
  <c r="F9"/>
  <c r="N83" i="1"/>
  <c r="I94" i="287"/>
  <c r="S35" i="1"/>
  <c r="S76"/>
  <c r="M65"/>
  <c r="M68"/>
  <c r="M67"/>
  <c r="M66"/>
  <c r="P8" i="292"/>
  <c r="M80" i="1"/>
  <c r="AI55"/>
  <c r="AH55"/>
  <c r="AJ55"/>
  <c r="Q67"/>
  <c r="Q80"/>
  <c r="Q66"/>
  <c r="Q65"/>
  <c r="Q68"/>
  <c r="K76"/>
  <c r="K70"/>
  <c r="K81"/>
  <c r="K82"/>
  <c r="G94" i="285"/>
  <c r="I94"/>
  <c r="G69" i="287"/>
  <c r="I92" i="285"/>
  <c r="Q12" i="4"/>
  <c r="L14" i="5"/>
  <c r="J233" i="287"/>
  <c r="BL60" i="1"/>
  <c r="N25" i="5"/>
  <c r="I67" i="1"/>
  <c r="I80"/>
  <c r="I66"/>
  <c r="I19" i="285"/>
  <c r="E53" i="1"/>
  <c r="E69"/>
  <c r="I68"/>
  <c r="F8" i="38"/>
  <c r="J70" i="4"/>
  <c r="BL55" i="1"/>
  <c r="Q16" i="4"/>
  <c r="S66" i="1"/>
  <c r="S65"/>
  <c r="S67"/>
  <c r="S68"/>
  <c r="S70"/>
  <c r="S81"/>
  <c r="S82"/>
  <c r="G99" i="285"/>
  <c r="G108"/>
  <c r="G103"/>
  <c r="G97"/>
  <c r="G111"/>
  <c r="G102"/>
  <c r="G95"/>
  <c r="G105"/>
  <c r="I12"/>
  <c r="AL60" i="1"/>
  <c r="G98" i="285"/>
  <c r="G107"/>
  <c r="N69" i="287"/>
  <c r="AY69" i="1"/>
  <c r="BC69"/>
  <c r="N19" i="5"/>
  <c r="C59" i="287"/>
  <c r="K59"/>
  <c r="H59"/>
  <c r="P59"/>
  <c r="L59"/>
  <c r="J59"/>
  <c r="I59"/>
  <c r="E59"/>
  <c r="O59"/>
  <c r="B13" i="285"/>
  <c r="C13"/>
  <c r="AO76" i="1"/>
  <c r="B9" i="285"/>
  <c r="C9"/>
  <c r="AJ70" i="1"/>
  <c r="AI70"/>
  <c r="AH70"/>
  <c r="N8" i="5"/>
  <c r="N26"/>
  <c r="I91" i="285"/>
  <c r="AZ69" i="1"/>
  <c r="S31"/>
  <c r="G100" i="285"/>
  <c r="AL56" i="1"/>
  <c r="AO56"/>
  <c r="AL61"/>
  <c r="AL73"/>
  <c r="Q38" i="4"/>
  <c r="R76" i="1"/>
  <c r="L76"/>
  <c r="G76"/>
  <c r="AH74"/>
  <c r="AJ74"/>
  <c r="AI74"/>
  <c r="T67"/>
  <c r="T66"/>
  <c r="T80"/>
  <c r="T68"/>
  <c r="AL59"/>
  <c r="N70"/>
  <c r="N81"/>
  <c r="N82"/>
  <c r="AJ71"/>
  <c r="AI71"/>
  <c r="AH71"/>
  <c r="I10" i="285"/>
  <c r="S29" i="1"/>
  <c r="D69"/>
  <c r="D67"/>
  <c r="U72"/>
  <c r="S33"/>
  <c r="U80"/>
  <c r="D68"/>
  <c r="G93" i="285"/>
  <c r="G110"/>
  <c r="B17"/>
  <c r="C17"/>
  <c r="AI69" i="1"/>
  <c r="AJ69"/>
  <c r="AH69"/>
  <c r="AL69"/>
  <c r="AO69"/>
  <c r="AJ58"/>
  <c r="AI58"/>
  <c r="AH58"/>
  <c r="G69"/>
  <c r="G70"/>
  <c r="G81"/>
  <c r="G82"/>
  <c r="G53"/>
  <c r="C21" i="285"/>
  <c r="AL48" i="1"/>
  <c r="BL57"/>
  <c r="L70"/>
  <c r="L81"/>
  <c r="L82"/>
  <c r="S36"/>
  <c r="I96" i="285"/>
  <c r="BC17" i="1"/>
  <c r="G106" i="285"/>
  <c r="P106"/>
  <c r="M69" i="1"/>
  <c r="M53"/>
  <c r="S32"/>
  <c r="H67"/>
  <c r="X267" i="287"/>
  <c r="AO66" i="1"/>
  <c r="E65"/>
  <c r="M233" i="287"/>
  <c r="L13" i="5"/>
  <c r="Q53" i="1"/>
  <c r="AZ23"/>
  <c r="BC7"/>
  <c r="S30"/>
  <c r="O68"/>
  <c r="O67"/>
  <c r="O80"/>
  <c r="AO68"/>
  <c r="S34"/>
  <c r="U83"/>
  <c r="C9" i="46"/>
  <c r="E9"/>
  <c r="E7"/>
  <c r="E8"/>
  <c r="AI52" i="1"/>
  <c r="AH52"/>
  <c r="AJ52"/>
  <c r="AJ53"/>
  <c r="AJ77"/>
  <c r="BL58"/>
  <c r="BL50"/>
  <c r="BA23"/>
  <c r="AI53"/>
  <c r="AH53"/>
  <c r="AL53"/>
  <c r="AO53"/>
  <c r="N20" i="5"/>
  <c r="S28" i="1"/>
  <c r="AL49"/>
  <c r="AH75"/>
  <c r="AL75"/>
  <c r="F70"/>
  <c r="F81"/>
  <c r="F82"/>
  <c r="Q14" i="4"/>
  <c r="AO50" i="1"/>
  <c r="Q20" i="4"/>
  <c r="F94" i="287"/>
  <c r="X270"/>
  <c r="K69"/>
  <c r="BJ64" i="1"/>
  <c r="G90" i="285"/>
  <c r="G109"/>
  <c r="M76" i="1"/>
  <c r="M70"/>
  <c r="M81"/>
  <c r="M82"/>
  <c r="H69" i="287"/>
  <c r="AO49" i="1"/>
  <c r="G7" i="4"/>
  <c r="BC22" i="1"/>
  <c r="U68"/>
  <c r="AL74"/>
  <c r="AL70"/>
  <c r="U66"/>
  <c r="G91" i="285"/>
  <c r="N28" i="292"/>
  <c r="P28"/>
  <c r="U71" i="1"/>
  <c r="G9" i="38"/>
  <c r="R61" i="287"/>
  <c r="J61"/>
  <c r="M61"/>
  <c r="E61"/>
  <c r="O61"/>
  <c r="D61"/>
  <c r="P61"/>
  <c r="F61"/>
  <c r="Q61"/>
  <c r="G61"/>
  <c r="K61"/>
  <c r="C61"/>
  <c r="I61"/>
  <c r="L61"/>
  <c r="N61"/>
  <c r="H61"/>
  <c r="E62"/>
  <c r="J62"/>
  <c r="J95"/>
  <c r="D62"/>
  <c r="R62"/>
  <c r="G62"/>
  <c r="Q62"/>
  <c r="M62"/>
  <c r="P62"/>
  <c r="L62"/>
  <c r="H62"/>
  <c r="N62"/>
  <c r="N95"/>
  <c r="O62"/>
  <c r="O95"/>
  <c r="C62"/>
  <c r="K62"/>
  <c r="F62"/>
  <c r="F95"/>
  <c r="I62"/>
  <c r="BL59" i="1"/>
  <c r="Q35" i="4"/>
  <c r="H70" i="1"/>
  <c r="H81"/>
  <c r="H82"/>
  <c r="H76"/>
  <c r="BD69"/>
  <c r="J69" i="287"/>
  <c r="Q76" i="1"/>
  <c r="Q70"/>
  <c r="Q81"/>
  <c r="Q82"/>
  <c r="N13" i="292"/>
  <c r="P13"/>
  <c r="O94" i="287"/>
  <c r="G13" i="283"/>
  <c r="Q140" i="4"/>
  <c r="P120" i="288"/>
  <c r="X33" i="32"/>
  <c r="L107" i="288"/>
  <c r="L108"/>
  <c r="BB22" i="1"/>
  <c r="Q10" i="4"/>
  <c r="AL52" i="1"/>
  <c r="AO52"/>
  <c r="AO54"/>
  <c r="AO62"/>
  <c r="G92" i="285"/>
  <c r="AL55" i="1"/>
  <c r="AO55"/>
  <c r="J15" i="292"/>
  <c r="O69" i="287"/>
  <c r="O76" i="1"/>
  <c r="O70"/>
  <c r="O81"/>
  <c r="O82"/>
  <c r="I76"/>
  <c r="I70"/>
  <c r="I81"/>
  <c r="I82"/>
  <c r="BL51"/>
  <c r="AO51"/>
  <c r="P134" i="4"/>
  <c r="Q134"/>
  <c r="AO48" i="1"/>
  <c r="C58" i="287"/>
  <c r="K58"/>
  <c r="H58"/>
  <c r="P58"/>
  <c r="F58"/>
  <c r="Q58"/>
  <c r="E58"/>
  <c r="O58"/>
  <c r="D58"/>
  <c r="N58"/>
  <c r="J58"/>
  <c r="L58"/>
  <c r="I58"/>
  <c r="G58"/>
  <c r="M58"/>
  <c r="R58"/>
  <c r="Q18" i="4"/>
  <c r="BL54" i="1"/>
  <c r="P57" i="287"/>
  <c r="H57"/>
  <c r="K57"/>
  <c r="C57"/>
  <c r="J57"/>
  <c r="L57"/>
  <c r="M57"/>
  <c r="Q57"/>
  <c r="F57"/>
  <c r="O57"/>
  <c r="R57"/>
  <c r="D57"/>
  <c r="G57"/>
  <c r="I57"/>
  <c r="E57"/>
  <c r="N57"/>
  <c r="U67" i="1"/>
  <c r="I69" i="287"/>
  <c r="N23" i="292"/>
  <c r="P23"/>
  <c r="AO61" i="1"/>
  <c r="G28" i="4"/>
  <c r="M28"/>
  <c r="AL58" i="1"/>
  <c r="AO58"/>
  <c r="AL71"/>
  <c r="AO67"/>
  <c r="G36" i="4"/>
  <c r="U65" i="1"/>
  <c r="P69" i="287"/>
  <c r="BL56" i="1"/>
  <c r="Q24" i="4"/>
  <c r="N18" i="292"/>
  <c r="P18"/>
  <c r="E76" i="1"/>
  <c r="E70"/>
  <c r="E81"/>
  <c r="E82"/>
  <c r="D70"/>
  <c r="D81"/>
  <c r="D82"/>
  <c r="D76"/>
  <c r="J94" i="287"/>
  <c r="W4" i="288"/>
  <c r="AO59" i="1"/>
  <c r="Q26" i="4"/>
  <c r="AO57" i="1"/>
  <c r="G22" i="4"/>
  <c r="AO60" i="1"/>
  <c r="G27" i="4"/>
  <c r="M22"/>
  <c r="R68" i="287"/>
  <c r="O68"/>
  <c r="M7" i="4"/>
  <c r="BE67" i="1"/>
  <c r="BE65"/>
  <c r="BE66"/>
  <c r="I71" i="287"/>
  <c r="O71"/>
  <c r="BL49" i="1"/>
  <c r="BK64"/>
  <c r="AL77"/>
  <c r="I17" i="285"/>
  <c r="N71" i="287"/>
  <c r="P71"/>
  <c r="O67"/>
  <c r="H71"/>
  <c r="F71"/>
  <c r="L12" i="38"/>
  <c r="G67" i="287"/>
  <c r="N67"/>
  <c r="AZ40" i="1"/>
  <c r="F67" i="287"/>
  <c r="P67"/>
  <c r="R67"/>
  <c r="K67"/>
  <c r="I68"/>
  <c r="F68"/>
  <c r="R71"/>
  <c r="Z30" i="40"/>
  <c r="M27" i="4"/>
  <c r="Q67" i="287"/>
  <c r="N68"/>
  <c r="J68"/>
  <c r="I11" i="285"/>
  <c r="U73" i="1"/>
  <c r="J71" i="287"/>
  <c r="BF69" i="1"/>
  <c r="L9" i="38"/>
  <c r="AB78" i="288"/>
  <c r="I15" i="285"/>
  <c r="I14"/>
  <c r="I8"/>
  <c r="J27" i="46"/>
  <c r="I13" i="285"/>
  <c r="BE69" i="1"/>
  <c r="BE70"/>
  <c r="AB79" i="288"/>
  <c r="I21" i="285"/>
  <c r="AB80" i="288"/>
  <c r="I16" i="285"/>
  <c r="L28" i="32"/>
  <c r="I7" i="285"/>
  <c r="G25"/>
  <c r="AW43" i="1"/>
  <c r="G21" i="46"/>
  <c r="BG40" i="1"/>
  <c r="T76"/>
  <c r="T70"/>
  <c r="T81"/>
  <c r="T82"/>
  <c r="U69"/>
  <c r="S219" i="287"/>
  <c r="L30" i="12"/>
  <c r="I14" i="291"/>
  <c r="J14"/>
  <c r="I28"/>
  <c r="J28"/>
  <c r="I12"/>
  <c r="J12"/>
  <c r="I26"/>
  <c r="J26"/>
  <c r="I20"/>
  <c r="J20"/>
  <c r="I24"/>
  <c r="J24"/>
  <c r="I22"/>
  <c r="J22"/>
  <c r="I10"/>
  <c r="J10"/>
  <c r="I18"/>
  <c r="J18"/>
  <c r="I16"/>
  <c r="J16"/>
  <c r="I8"/>
  <c r="J8"/>
  <c r="T53" i="1"/>
  <c r="K6" i="26"/>
  <c r="I10"/>
  <c r="I11"/>
  <c r="I6"/>
  <c r="I12"/>
  <c r="I7"/>
  <c r="I9"/>
  <c r="I8"/>
  <c r="P21" i="46"/>
  <c r="R9"/>
  <c r="M21"/>
  <c r="O21"/>
  <c r="K21"/>
  <c r="L21"/>
  <c r="N21"/>
  <c r="H22" i="12"/>
  <c r="H26"/>
  <c r="L21"/>
  <c r="H25"/>
  <c r="H23"/>
  <c r="H24"/>
  <c r="G55" i="32"/>
  <c r="G25" i="46"/>
  <c r="K23"/>
  <c r="K9"/>
  <c r="L9"/>
  <c r="M9"/>
  <c r="N9"/>
  <c r="O9"/>
  <c r="P9"/>
  <c r="I30" i="291"/>
  <c r="J30"/>
  <c r="G104" i="285"/>
  <c r="R219" i="287"/>
  <c r="I34" i="291"/>
  <c r="J34"/>
  <c r="I32"/>
  <c r="J32"/>
  <c r="U76" i="1"/>
  <c r="T77"/>
  <c r="U70"/>
  <c r="V64"/>
  <c r="V69"/>
  <c r="U69" i="12"/>
  <c r="U77" i="1"/>
  <c r="N77"/>
  <c r="P77"/>
  <c r="J77"/>
  <c r="F77"/>
  <c r="G77"/>
  <c r="R77"/>
  <c r="S77"/>
  <c r="K77"/>
  <c r="L77"/>
  <c r="M77"/>
  <c r="O77"/>
  <c r="I77"/>
  <c r="H77"/>
  <c r="E77"/>
  <c r="Q77"/>
  <c r="D77"/>
  <c r="U81"/>
  <c r="U82"/>
  <c r="V65"/>
  <c r="V68"/>
  <c r="V66"/>
  <c r="V67"/>
  <c r="P25" i="46"/>
  <c r="N25"/>
  <c r="K25"/>
  <c r="BH40" i="1"/>
  <c r="K26" i="46"/>
  <c r="P26"/>
  <c r="P23"/>
  <c r="N26"/>
  <c r="N23"/>
  <c r="L26"/>
  <c r="M26"/>
  <c r="K38" i="26"/>
  <c r="Q42" i="4"/>
  <c r="AO75" i="1"/>
  <c r="AO73"/>
  <c r="G44" i="4"/>
  <c r="AO71" i="1"/>
  <c r="AO74"/>
  <c r="G45" i="4"/>
  <c r="M45"/>
  <c r="AO70" i="1"/>
  <c r="M81" i="285"/>
  <c r="J81"/>
  <c r="J6" i="6"/>
  <c r="H9"/>
  <c r="H10"/>
  <c r="H8"/>
  <c r="H7"/>
  <c r="H12"/>
  <c r="H11"/>
  <c r="U88" i="288"/>
  <c r="W88"/>
  <c r="J16" i="6"/>
  <c r="M44" i="4"/>
  <c r="J26" i="6"/>
  <c r="U89" i="288"/>
  <c r="W89"/>
  <c r="U90"/>
  <c r="W90"/>
  <c r="J6" i="19"/>
  <c r="J18"/>
  <c r="J30"/>
  <c r="U91" i="288"/>
  <c r="W91"/>
  <c r="V92"/>
  <c r="W92"/>
  <c r="J47" i="19"/>
  <c r="H44"/>
  <c r="J39"/>
  <c r="H42"/>
  <c r="H43"/>
  <c r="H40"/>
  <c r="H41"/>
  <c r="H39"/>
  <c r="J74"/>
  <c r="AH241" i="287"/>
  <c r="Y241"/>
  <c r="R241"/>
  <c r="J241"/>
  <c r="AI241"/>
  <c r="Z241"/>
  <c r="S241"/>
  <c r="K241"/>
  <c r="AJ241"/>
  <c r="AB241"/>
  <c r="T241"/>
  <c r="L241"/>
  <c r="D241"/>
  <c r="AE241"/>
  <c r="V241"/>
  <c r="O241"/>
  <c r="G241"/>
  <c r="AG241"/>
  <c r="Q241"/>
  <c r="AK241"/>
  <c r="U241"/>
  <c r="E241"/>
  <c r="F241"/>
  <c r="AC241"/>
  <c r="M241"/>
  <c r="W241"/>
  <c r="X241"/>
  <c r="AD241"/>
  <c r="I241"/>
  <c r="AF241"/>
  <c r="H241"/>
  <c r="P241"/>
  <c r="N241"/>
  <c r="O65" i="12"/>
  <c r="P65"/>
  <c r="M65"/>
  <c r="C242" i="287"/>
  <c r="C248"/>
  <c r="D242"/>
  <c r="D248"/>
  <c r="E242"/>
  <c r="E248"/>
  <c r="F242"/>
  <c r="F248"/>
  <c r="G242"/>
  <c r="G248"/>
  <c r="H242"/>
  <c r="H248"/>
  <c r="I242"/>
  <c r="I248"/>
  <c r="J242"/>
  <c r="J248"/>
  <c r="K242"/>
  <c r="K248"/>
  <c r="L242"/>
  <c r="L248"/>
  <c r="M242"/>
  <c r="M248"/>
  <c r="N242"/>
  <c r="N248"/>
  <c r="O242"/>
  <c r="O248"/>
  <c r="P242"/>
  <c r="P248"/>
  <c r="Q242"/>
  <c r="Q248"/>
  <c r="R242"/>
  <c r="R248"/>
  <c r="S242"/>
  <c r="S248"/>
  <c r="T242"/>
  <c r="T248"/>
  <c r="U242"/>
  <c r="U248"/>
  <c r="V242"/>
  <c r="V248"/>
  <c r="W242"/>
  <c r="W248"/>
  <c r="X242"/>
  <c r="X248"/>
  <c r="Y242"/>
  <c r="Y248"/>
  <c r="Z242"/>
  <c r="Z248"/>
  <c r="AB242"/>
  <c r="AB248"/>
  <c r="AC242"/>
  <c r="AC248"/>
  <c r="AD242"/>
  <c r="AD248"/>
  <c r="AE242"/>
  <c r="AE248"/>
  <c r="AF242"/>
  <c r="AF248"/>
  <c r="AG242"/>
  <c r="AG248"/>
  <c r="AH242"/>
  <c r="AH248"/>
  <c r="AI242"/>
  <c r="AI248"/>
  <c r="AJ242"/>
  <c r="AJ248"/>
  <c r="AK242"/>
  <c r="AK248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B246"/>
  <c r="AC246"/>
  <c r="AD246"/>
  <c r="AE246"/>
  <c r="AF246"/>
  <c r="AG246"/>
  <c r="AH246"/>
  <c r="AI246"/>
  <c r="AJ246"/>
  <c r="AK246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B244"/>
  <c r="AC244"/>
  <c r="AD244"/>
  <c r="AE244"/>
  <c r="AF244"/>
  <c r="AG244"/>
  <c r="AH244"/>
  <c r="AI244"/>
  <c r="AJ244"/>
  <c r="AK244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B247"/>
  <c r="AC247"/>
  <c r="AD247"/>
  <c r="AE247"/>
  <c r="AF247"/>
  <c r="AG247"/>
  <c r="AH247"/>
  <c r="AI247"/>
  <c r="AJ247"/>
  <c r="AK247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B245"/>
  <c r="AC245"/>
  <c r="AD245"/>
  <c r="AE245"/>
  <c r="AF245"/>
  <c r="AG245"/>
  <c r="AH245"/>
  <c r="AI245"/>
  <c r="AJ245"/>
  <c r="AK245"/>
  <c r="C163" a="1"/>
  <c r="AA242"/>
  <c r="AA245"/>
  <c r="AL245"/>
  <c r="AA247"/>
  <c r="AL247"/>
  <c r="AA244"/>
  <c r="AL244"/>
  <c r="AA246"/>
  <c r="AL246"/>
  <c r="AA248"/>
  <c r="AL248"/>
  <c r="AA249"/>
  <c r="AA252"/>
  <c r="AA253"/>
  <c r="AA254"/>
  <c r="AA255"/>
  <c r="AA251"/>
  <c r="AA256"/>
  <c r="AA257"/>
  <c r="AH249"/>
  <c r="AH255"/>
  <c r="AG249"/>
  <c r="AG255"/>
  <c r="AF249"/>
  <c r="AF255"/>
  <c r="AE249"/>
  <c r="AE255"/>
  <c r="AD249"/>
  <c r="AD255"/>
  <c r="AC249"/>
  <c r="AC255"/>
  <c r="AB249"/>
  <c r="AB255"/>
  <c r="Z249"/>
  <c r="Z255"/>
  <c r="Y249"/>
  <c r="Y255"/>
  <c r="X249"/>
  <c r="X255"/>
  <c r="W249"/>
  <c r="W255"/>
  <c r="V249"/>
  <c r="V255"/>
  <c r="U249"/>
  <c r="U255"/>
  <c r="T249"/>
  <c r="T255"/>
  <c r="S249"/>
  <c r="S255"/>
  <c r="R249"/>
  <c r="R255"/>
  <c r="Q249"/>
  <c r="Q255"/>
  <c r="P249"/>
  <c r="P255"/>
  <c r="O249"/>
  <c r="O255"/>
  <c r="N249"/>
  <c r="N255"/>
  <c r="M249"/>
  <c r="M255"/>
  <c r="L249"/>
  <c r="L255"/>
  <c r="K249"/>
  <c r="K255"/>
  <c r="J249"/>
  <c r="J255"/>
  <c r="I249"/>
  <c r="I255"/>
  <c r="H249"/>
  <c r="H255"/>
  <c r="G249"/>
  <c r="G255"/>
  <c r="F249"/>
  <c r="F255"/>
  <c r="E249"/>
  <c r="E255"/>
  <c r="D249"/>
  <c r="D255"/>
  <c r="AK249"/>
  <c r="AK254"/>
  <c r="AJ249"/>
  <c r="AJ254"/>
  <c r="AI249"/>
  <c r="AI254"/>
  <c r="AH254"/>
  <c r="AG254"/>
  <c r="AF254"/>
  <c r="AE254"/>
  <c r="AD254"/>
  <c r="AC254"/>
  <c r="AB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AK253"/>
  <c r="AJ253"/>
  <c r="AI253"/>
  <c r="AH253"/>
  <c r="AG253"/>
  <c r="AF253"/>
  <c r="AE253"/>
  <c r="AD253"/>
  <c r="AC253"/>
  <c r="AB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AK252"/>
  <c r="AJ252"/>
  <c r="AI252"/>
  <c r="AH252"/>
  <c r="AG252"/>
  <c r="AF252"/>
  <c r="AE252"/>
  <c r="AD252"/>
  <c r="AC252"/>
  <c r="AB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AK255"/>
  <c r="AJ255"/>
  <c r="AI255"/>
  <c r="P251"/>
  <c r="P256"/>
  <c r="P257"/>
  <c r="Z251"/>
  <c r="Z256"/>
  <c r="Z257"/>
  <c r="I251"/>
  <c r="I256"/>
  <c r="I257"/>
  <c r="AD251"/>
  <c r="AD256"/>
  <c r="AD257"/>
  <c r="L251"/>
  <c r="L256"/>
  <c r="L257"/>
  <c r="AK251"/>
  <c r="AK256"/>
  <c r="AK257"/>
  <c r="AH251"/>
  <c r="AH256"/>
  <c r="AH257"/>
  <c r="H251"/>
  <c r="H256"/>
  <c r="H257"/>
  <c r="R251"/>
  <c r="R256"/>
  <c r="Q251"/>
  <c r="Q256"/>
  <c r="S251"/>
  <c r="S256"/>
  <c r="S257"/>
  <c r="G251"/>
  <c r="G256"/>
  <c r="D251"/>
  <c r="D256"/>
  <c r="AG251"/>
  <c r="AG256"/>
  <c r="AG257"/>
  <c r="AI251"/>
  <c r="AI256"/>
  <c r="AI257"/>
  <c r="AJ251"/>
  <c r="AJ256"/>
  <c r="AJ257"/>
  <c r="U251"/>
  <c r="U256"/>
  <c r="U257"/>
  <c r="AF251"/>
  <c r="AF256"/>
  <c r="AF257"/>
  <c r="X251"/>
  <c r="X256"/>
  <c r="X257"/>
  <c r="AE251"/>
  <c r="AE256"/>
  <c r="AE257"/>
  <c r="V251"/>
  <c r="V256"/>
  <c r="J251"/>
  <c r="J256"/>
  <c r="J257"/>
  <c r="M251"/>
  <c r="M256"/>
  <c r="M257"/>
  <c r="N251"/>
  <c r="N256"/>
  <c r="N257"/>
  <c r="E251"/>
  <c r="E256"/>
  <c r="W251"/>
  <c r="W256"/>
  <c r="T251"/>
  <c r="T256"/>
  <c r="T257"/>
  <c r="Y251"/>
  <c r="Y256"/>
  <c r="Y257"/>
  <c r="AC251"/>
  <c r="AC256"/>
  <c r="AC257"/>
  <c r="F251"/>
  <c r="F256"/>
  <c r="K251"/>
  <c r="K256"/>
  <c r="K257"/>
  <c r="AB251"/>
  <c r="AB256"/>
  <c r="O251"/>
  <c r="O256"/>
  <c r="O257"/>
  <c r="C249"/>
  <c r="C254"/>
  <c r="AL254"/>
  <c r="F42" i="19"/>
  <c r="C252" i="287"/>
  <c r="AL252"/>
  <c r="F25" i="19"/>
  <c r="C253" i="287"/>
  <c r="AL253"/>
  <c r="F34" i="19"/>
  <c r="C251" i="287"/>
  <c r="AL251"/>
  <c r="F13" i="19"/>
  <c r="C255" i="287"/>
  <c r="AL255"/>
  <c r="F54" i="19"/>
  <c r="H13"/>
  <c r="AL256" i="287"/>
  <c r="H34" i="19"/>
  <c r="AM253" i="287"/>
  <c r="H25" i="19"/>
  <c r="AM254" i="287"/>
  <c r="AM252"/>
  <c r="AM255"/>
  <c r="AM251"/>
  <c r="C256"/>
  <c r="AL249"/>
  <c r="H54" i="19"/>
  <c r="C163" i="306" a="1"/>
  <c r="AA242"/>
  <c r="AA248"/>
  <c r="AL248"/>
  <c r="AA247"/>
  <c r="AL247"/>
  <c r="AA246"/>
  <c r="AL246"/>
  <c r="AA245"/>
  <c r="AL245"/>
  <c r="AA244"/>
  <c r="AL244"/>
  <c r="AA249"/>
  <c r="AA252"/>
  <c r="AA253"/>
  <c r="AA254"/>
  <c r="AA255"/>
  <c r="AA251"/>
  <c r="AA256"/>
  <c r="AA257"/>
  <c r="D249"/>
  <c r="D252"/>
  <c r="E249"/>
  <c r="E252"/>
  <c r="F249"/>
  <c r="F252"/>
  <c r="G249"/>
  <c r="G252"/>
  <c r="H249"/>
  <c r="H252"/>
  <c r="I249"/>
  <c r="I252"/>
  <c r="J249"/>
  <c r="J252"/>
  <c r="K249"/>
  <c r="K252"/>
  <c r="L249"/>
  <c r="L252"/>
  <c r="M249"/>
  <c r="M252"/>
  <c r="N249"/>
  <c r="N252"/>
  <c r="O249"/>
  <c r="O252"/>
  <c r="P249"/>
  <c r="P252"/>
  <c r="Q249"/>
  <c r="Q252"/>
  <c r="R249"/>
  <c r="R252"/>
  <c r="S249"/>
  <c r="S252"/>
  <c r="T249"/>
  <c r="T252"/>
  <c r="U249"/>
  <c r="U252"/>
  <c r="V249"/>
  <c r="V252"/>
  <c r="W249"/>
  <c r="W252"/>
  <c r="X249"/>
  <c r="X252"/>
  <c r="Y249"/>
  <c r="Y252"/>
  <c r="Z249"/>
  <c r="Z252"/>
  <c r="AB249"/>
  <c r="AB252"/>
  <c r="AC249"/>
  <c r="AC252"/>
  <c r="AD249"/>
  <c r="AD252"/>
  <c r="AE249"/>
  <c r="AE252"/>
  <c r="AF249"/>
  <c r="AF252"/>
  <c r="AG249"/>
  <c r="AG252"/>
  <c r="AH249"/>
  <c r="AH252"/>
  <c r="AI249"/>
  <c r="AI252"/>
  <c r="AJ249"/>
  <c r="AJ252"/>
  <c r="AK249"/>
  <c r="AK252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B253"/>
  <c r="AC253"/>
  <c r="AD253"/>
  <c r="AE253"/>
  <c r="AF253"/>
  <c r="AG253"/>
  <c r="AH253"/>
  <c r="AI253"/>
  <c r="AJ253"/>
  <c r="AK253"/>
  <c r="D254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B254"/>
  <c r="AC254"/>
  <c r="AD254"/>
  <c r="AE254"/>
  <c r="AF254"/>
  <c r="AG254"/>
  <c r="AH254"/>
  <c r="AI254"/>
  <c r="AJ254"/>
  <c r="AK254"/>
  <c r="D255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B255"/>
  <c r="AC255"/>
  <c r="AD255"/>
  <c r="AE255"/>
  <c r="AF255"/>
  <c r="AG255"/>
  <c r="AH255"/>
  <c r="AI255"/>
  <c r="AJ255"/>
  <c r="AK255"/>
  <c r="D251"/>
  <c r="D256"/>
  <c r="E251"/>
  <c r="E256"/>
  <c r="F251"/>
  <c r="F256"/>
  <c r="G251"/>
  <c r="G256"/>
  <c r="H251"/>
  <c r="H256"/>
  <c r="I251"/>
  <c r="I256"/>
  <c r="J251"/>
  <c r="J256"/>
  <c r="K251"/>
  <c r="K256"/>
  <c r="L251"/>
  <c r="L256"/>
  <c r="M251"/>
  <c r="M256"/>
  <c r="N251"/>
  <c r="N256"/>
  <c r="O251"/>
  <c r="O256"/>
  <c r="P251"/>
  <c r="P256"/>
  <c r="Q251"/>
  <c r="Q256"/>
  <c r="R251"/>
  <c r="R256"/>
  <c r="S251"/>
  <c r="S256"/>
  <c r="T251"/>
  <c r="T256"/>
  <c r="U251"/>
  <c r="U256"/>
  <c r="V251"/>
  <c r="V256"/>
  <c r="W251"/>
  <c r="W256"/>
  <c r="X251"/>
  <c r="X256"/>
  <c r="Y251"/>
  <c r="Y256"/>
  <c r="Z251"/>
  <c r="Z256"/>
  <c r="AB251"/>
  <c r="AB256"/>
  <c r="AC251"/>
  <c r="AC256"/>
  <c r="AD251"/>
  <c r="AD256"/>
  <c r="AE251"/>
  <c r="AE256"/>
  <c r="AF251"/>
  <c r="AF256"/>
  <c r="AG251"/>
  <c r="AG256"/>
  <c r="AH251"/>
  <c r="AH256"/>
  <c r="AI251"/>
  <c r="AI256"/>
  <c r="AJ251"/>
  <c r="AJ256"/>
  <c r="AK251"/>
  <c r="AK256"/>
  <c r="D257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B257"/>
  <c r="AC257"/>
  <c r="AD257"/>
  <c r="AE257"/>
  <c r="AF257"/>
  <c r="AG257"/>
  <c r="AH257"/>
  <c r="AI257"/>
  <c r="AJ257"/>
  <c r="AK257"/>
  <c r="C249"/>
  <c r="C251"/>
  <c r="AL251"/>
  <c r="G13" i="19"/>
  <c r="C252" i="306"/>
  <c r="AL252"/>
  <c r="G25" i="19"/>
  <c r="C253" i="306"/>
  <c r="AL253"/>
  <c r="G34" i="19"/>
  <c r="C254" i="306"/>
  <c r="AL254"/>
  <c r="G42" i="19"/>
  <c r="C255" i="306"/>
  <c r="AL255"/>
  <c r="G54" i="19"/>
  <c r="AL249" i="306"/>
  <c r="AM251"/>
  <c r="AM252"/>
  <c r="AM253"/>
  <c r="AM254"/>
  <c r="AM255"/>
  <c r="C256"/>
  <c r="AL256"/>
  <c r="I13" i="19"/>
  <c r="I25"/>
  <c r="I34"/>
  <c r="I54"/>
  <c r="G70" i="38" a="1"/>
  <c r="G75"/>
  <c r="H70" a="1"/>
  <c r="H75"/>
  <c r="U59" i="305"/>
  <c r="V59"/>
  <c r="U68"/>
  <c r="V68"/>
  <c r="U59" i="288"/>
  <c r="V59"/>
  <c r="U68"/>
  <c r="V68"/>
  <c r="L29" i="305"/>
  <c r="P29"/>
  <c r="AB59"/>
  <c r="AB60"/>
  <c r="AB61"/>
  <c r="AB63"/>
  <c r="AB64"/>
  <c r="AB66"/>
  <c r="AB68"/>
  <c r="AB69"/>
  <c r="AB70"/>
  <c r="V173" i="306"/>
  <c r="V174"/>
  <c r="V175"/>
  <c r="V179"/>
  <c r="V180"/>
  <c r="V181"/>
  <c r="V182"/>
  <c r="V186"/>
  <c r="V187"/>
  <c r="V188"/>
  <c r="V188" i="287"/>
  <c r="V187"/>
  <c r="V186"/>
  <c r="V182"/>
  <c r="V181"/>
  <c r="V180"/>
  <c r="V179"/>
  <c r="V175"/>
  <c r="V174"/>
  <c r="V173"/>
  <c r="AB70" i="288"/>
  <c r="AB69"/>
  <c r="AB68"/>
  <c r="AB66"/>
  <c r="AB64"/>
  <c r="AB59"/>
  <c r="AB61"/>
  <c r="AB63"/>
  <c r="AB60"/>
  <c r="P29"/>
  <c r="L29"/>
  <c r="G59" i="38" a="1"/>
  <c r="G38" a="1"/>
  <c r="G43" a="1"/>
  <c r="G54" a="1"/>
  <c r="G76" a="1"/>
  <c r="H38" a="1"/>
  <c r="H43" a="1"/>
  <c r="H54" a="1"/>
  <c r="H59" a="1"/>
  <c r="H76" a="1"/>
  <c r="Y29" i="26"/>
  <c r="C94" i="287"/>
  <c r="C95"/>
  <c r="G18" i="40"/>
  <c r="G38"/>
  <c r="G20" i="42"/>
  <c r="G31"/>
  <c r="I6" i="38"/>
  <c r="Q31" i="42"/>
  <c r="F30" i="38"/>
  <c r="Q20" i="42"/>
  <c r="G6" i="283"/>
  <c r="Q38" i="40"/>
  <c r="Q18"/>
  <c r="D30" i="38"/>
  <c r="H67" i="306"/>
  <c r="I67"/>
  <c r="J67"/>
  <c r="L67"/>
  <c r="M67"/>
  <c r="H68"/>
  <c r="K68"/>
  <c r="D69"/>
  <c r="M69"/>
  <c r="Q69"/>
  <c r="M71"/>
  <c r="J67" i="287"/>
  <c r="H67"/>
  <c r="M71"/>
  <c r="I67"/>
  <c r="H68"/>
  <c r="Q33" i="42"/>
  <c r="G33"/>
  <c r="C94" i="306"/>
  <c r="C95"/>
  <c r="H20" i="42"/>
  <c r="M20"/>
  <c r="H18" i="40"/>
  <c r="H38"/>
  <c r="H31" i="42"/>
  <c r="I16" i="38"/>
  <c r="M31" i="42"/>
  <c r="R31"/>
  <c r="G30" i="38"/>
  <c r="M18" i="40"/>
  <c r="M38"/>
  <c r="H6" i="283"/>
  <c r="R18" i="40"/>
  <c r="R20" i="42"/>
  <c r="E30" i="38"/>
  <c r="R38" i="40"/>
  <c r="H33" i="42"/>
  <c r="M33"/>
  <c r="R33"/>
  <c r="L94" i="287"/>
  <c r="L95"/>
  <c r="G8" i="39"/>
  <c r="M94" i="287"/>
  <c r="M95"/>
  <c r="G10" i="39"/>
  <c r="D94" i="287"/>
  <c r="D95"/>
  <c r="G12" i="39"/>
  <c r="E94" i="287"/>
  <c r="E95"/>
  <c r="G18" i="39"/>
  <c r="Q94" i="287"/>
  <c r="Q95"/>
  <c r="G20" i="39"/>
  <c r="G8" i="40"/>
  <c r="G10"/>
  <c r="G12"/>
  <c r="G20"/>
  <c r="G22"/>
  <c r="G32"/>
  <c r="G34"/>
  <c r="G36"/>
  <c r="G40"/>
  <c r="G42"/>
  <c r="G8" i="42"/>
  <c r="G10"/>
  <c r="G12"/>
  <c r="G24"/>
  <c r="G26"/>
  <c r="G30"/>
  <c r="E6" i="38"/>
  <c r="H6"/>
  <c r="D28"/>
  <c r="D31"/>
  <c r="H9"/>
  <c r="M9"/>
  <c r="L22" i="40"/>
  <c r="G7" i="283"/>
  <c r="G8"/>
  <c r="G10"/>
  <c r="G11"/>
  <c r="G15"/>
  <c r="G16"/>
  <c r="R8" i="39"/>
  <c r="R10"/>
  <c r="R12"/>
  <c r="R18"/>
  <c r="R20"/>
  <c r="F28" i="38"/>
  <c r="L42" i="40"/>
  <c r="F29" i="38"/>
  <c r="I9"/>
  <c r="J9"/>
  <c r="E13"/>
  <c r="Q8" i="42"/>
  <c r="Q10"/>
  <c r="Q12"/>
  <c r="Q24"/>
  <c r="Q26"/>
  <c r="Q30"/>
  <c r="F31" i="38"/>
  <c r="K94" i="287"/>
  <c r="K95"/>
  <c r="I7" i="283"/>
  <c r="I8"/>
  <c r="I9"/>
  <c r="I10"/>
  <c r="I11"/>
  <c r="I12"/>
  <c r="I13"/>
  <c r="I14"/>
  <c r="I15"/>
  <c r="I16"/>
  <c r="Q10" i="40"/>
  <c r="T10"/>
  <c r="D29" i="38"/>
  <c r="Q8" i="40"/>
  <c r="Q12"/>
  <c r="Q20"/>
  <c r="Q22"/>
  <c r="AA20" i="42"/>
  <c r="AA24"/>
  <c r="AA28"/>
  <c r="AA18"/>
  <c r="AA16"/>
  <c r="AA22"/>
  <c r="AA14"/>
  <c r="AA12"/>
  <c r="AA8"/>
  <c r="AA26"/>
  <c r="AA10"/>
  <c r="Q32" i="40"/>
  <c r="Q34"/>
  <c r="Q36"/>
  <c r="Q40"/>
  <c r="Q42"/>
  <c r="AB40"/>
  <c r="AB38"/>
  <c r="AB36"/>
  <c r="AB34"/>
  <c r="AB32"/>
  <c r="L16" i="283"/>
  <c r="L94" i="306"/>
  <c r="L95"/>
  <c r="H8" i="39"/>
  <c r="M8"/>
  <c r="M94" i="306"/>
  <c r="M95"/>
  <c r="H10" i="39"/>
  <c r="M10"/>
  <c r="D94" i="306"/>
  <c r="D95"/>
  <c r="H12" i="39"/>
  <c r="M12"/>
  <c r="E94" i="306"/>
  <c r="E95"/>
  <c r="H18" i="39"/>
  <c r="M18"/>
  <c r="Q94" i="306"/>
  <c r="Q95"/>
  <c r="H20" i="39"/>
  <c r="M20"/>
  <c r="K94" i="306"/>
  <c r="K95"/>
  <c r="H8" i="42"/>
  <c r="M8"/>
  <c r="H10"/>
  <c r="M10"/>
  <c r="H12"/>
  <c r="M12"/>
  <c r="H24"/>
  <c r="M24"/>
  <c r="H26"/>
  <c r="M26"/>
  <c r="M30"/>
  <c r="G18" i="46"/>
  <c r="R18"/>
  <c r="K18"/>
  <c r="L18"/>
  <c r="M18"/>
  <c r="N18"/>
  <c r="O18"/>
  <c r="P18"/>
  <c r="H30" i="42"/>
  <c r="H8" i="40"/>
  <c r="H10"/>
  <c r="H12"/>
  <c r="H20"/>
  <c r="H22"/>
  <c r="H16" i="38"/>
  <c r="H32" i="40"/>
  <c r="H34"/>
  <c r="H36"/>
  <c r="H40"/>
  <c r="H42"/>
  <c r="E16" i="38"/>
  <c r="H19"/>
  <c r="I19"/>
  <c r="J19"/>
  <c r="E23"/>
  <c r="M8" i="40"/>
  <c r="M10"/>
  <c r="M12"/>
  <c r="M20"/>
  <c r="M22"/>
  <c r="G28" i="38"/>
  <c r="M32" i="40"/>
  <c r="M34"/>
  <c r="M36"/>
  <c r="M40"/>
  <c r="M42"/>
  <c r="G29" i="38"/>
  <c r="H7" i="283"/>
  <c r="H8"/>
  <c r="H10"/>
  <c r="H11"/>
  <c r="H15"/>
  <c r="M16"/>
  <c r="F39"/>
  <c r="E39"/>
  <c r="K6"/>
  <c r="E28" i="38"/>
  <c r="E31"/>
  <c r="M19"/>
  <c r="G17" i="46"/>
  <c r="K17"/>
  <c r="L17"/>
  <c r="M17"/>
  <c r="N17"/>
  <c r="O17"/>
  <c r="P17"/>
  <c r="J17"/>
  <c r="R8" i="40"/>
  <c r="R10"/>
  <c r="R12"/>
  <c r="R20"/>
  <c r="R22"/>
  <c r="G13" i="46"/>
  <c r="R13"/>
  <c r="K13"/>
  <c r="L13"/>
  <c r="M13"/>
  <c r="N13"/>
  <c r="O13"/>
  <c r="P13"/>
  <c r="AB18" i="40"/>
  <c r="AB10"/>
  <c r="AB20"/>
  <c r="AB14"/>
  <c r="AB16"/>
  <c r="AB8"/>
  <c r="AB12"/>
  <c r="R8" i="42"/>
  <c r="R10"/>
  <c r="R12"/>
  <c r="R24"/>
  <c r="R26"/>
  <c r="R30"/>
  <c r="G31" i="38"/>
  <c r="E29"/>
  <c r="R32" i="40"/>
  <c r="R34"/>
  <c r="R36"/>
  <c r="R40"/>
  <c r="R42"/>
  <c r="E93" i="38"/>
  <c r="L48" i="46"/>
  <c r="H48"/>
  <c r="F48"/>
  <c r="F93" i="38"/>
  <c r="M48" i="46"/>
  <c r="I48"/>
  <c r="G48"/>
  <c r="G20"/>
  <c r="R20"/>
  <c r="K20"/>
  <c r="L20"/>
  <c r="M20"/>
  <c r="N20"/>
  <c r="O20"/>
  <c r="P20"/>
  <c r="G16"/>
  <c r="K16"/>
  <c r="L16"/>
  <c r="M16"/>
  <c r="N16"/>
  <c r="O16"/>
  <c r="P16"/>
  <c r="J16"/>
  <c r="H16" i="283"/>
  <c r="J7"/>
  <c r="J8"/>
  <c r="J9"/>
  <c r="J10"/>
  <c r="J11"/>
  <c r="J12"/>
  <c r="J13"/>
  <c r="J14"/>
  <c r="J15"/>
  <c r="J16"/>
  <c r="S8" i="39"/>
  <c r="S10"/>
  <c r="S12"/>
  <c r="S18"/>
  <c r="S20"/>
  <c r="D257" i="287"/>
  <c r="U26" i="302"/>
  <c r="E257" i="287"/>
  <c r="U27" i="302"/>
  <c r="F257" i="287"/>
  <c r="U28" i="302"/>
  <c r="G257" i="287"/>
  <c r="U29" i="302"/>
  <c r="Q257" i="287"/>
  <c r="U30" i="302"/>
  <c r="R257" i="287"/>
  <c r="U31" i="302"/>
  <c r="V257" i="287"/>
  <c r="U32" i="302"/>
  <c r="AB257" i="287"/>
  <c r="U33" i="302"/>
  <c r="W257" i="287"/>
  <c r="U34" i="302"/>
  <c r="U35"/>
  <c r="BD24" i="1"/>
  <c r="U57" i="287"/>
  <c r="C60" a="1"/>
  <c r="BJ36" i="1"/>
  <c r="S60" i="287"/>
  <c r="T60"/>
  <c r="BJ37" i="1"/>
  <c r="S61" i="287"/>
  <c r="U61"/>
  <c r="F82" i="288"/>
  <c r="J82"/>
  <c r="I82"/>
  <c r="M82"/>
  <c r="R90"/>
  <c r="N82"/>
  <c r="M88"/>
  <c r="R91"/>
  <c r="K82"/>
  <c r="O82"/>
  <c r="M93"/>
  <c r="R92"/>
  <c r="U58" i="287"/>
  <c r="U59"/>
  <c r="U60"/>
  <c r="BJ39" i="1"/>
  <c r="S62" i="287"/>
  <c r="S63"/>
  <c r="V70" i="288"/>
  <c r="V69"/>
  <c r="V71"/>
  <c r="U69"/>
  <c r="U71"/>
  <c r="U70"/>
  <c r="U61"/>
  <c r="U60"/>
  <c r="V61"/>
  <c r="V60"/>
  <c r="BD24" i="304"/>
  <c r="U57" i="306"/>
  <c r="C60" a="1"/>
  <c r="BJ36" i="304"/>
  <c r="S60" i="306"/>
  <c r="T60"/>
  <c r="BJ37" i="304"/>
  <c r="S61" i="306"/>
  <c r="U61"/>
  <c r="F82" i="305"/>
  <c r="J82"/>
  <c r="I82"/>
  <c r="M82"/>
  <c r="R90"/>
  <c r="N82"/>
  <c r="M88"/>
  <c r="R91"/>
  <c r="K82"/>
  <c r="O82"/>
  <c r="M93"/>
  <c r="R92"/>
  <c r="U58" i="306"/>
  <c r="U59"/>
  <c r="U60"/>
  <c r="BJ39" i="304"/>
  <c r="S62" i="306"/>
  <c r="S63"/>
  <c r="U82" i="305"/>
  <c r="U78"/>
  <c r="U79"/>
  <c r="V78"/>
  <c r="V82"/>
  <c r="V79"/>
  <c r="V80"/>
  <c r="V81"/>
  <c r="U80"/>
  <c r="U81"/>
  <c r="U66" i="288"/>
  <c r="U65"/>
  <c r="U64"/>
  <c r="V65"/>
  <c r="V64"/>
  <c r="V66"/>
  <c r="U63"/>
  <c r="V63"/>
  <c r="U67"/>
  <c r="V67"/>
  <c r="U64" i="305"/>
  <c r="V64"/>
  <c r="U65"/>
  <c r="V65"/>
  <c r="U66"/>
  <c r="V66"/>
  <c r="U63"/>
  <c r="V63"/>
  <c r="U67"/>
  <c r="V67"/>
  <c r="U61"/>
  <c r="V61"/>
  <c r="V60"/>
  <c r="U60"/>
  <c r="U71"/>
  <c r="V71"/>
  <c r="U69"/>
  <c r="V69"/>
  <c r="V70"/>
  <c r="U70"/>
  <c r="S94" i="306"/>
  <c r="S95"/>
  <c r="H22" i="39"/>
  <c r="M22"/>
  <c r="M24"/>
  <c r="G27" i="38"/>
  <c r="H24" i="39"/>
  <c r="D16" i="38"/>
  <c r="F16"/>
  <c r="G16"/>
  <c r="F23"/>
  <c r="F24" a="1"/>
  <c r="F24"/>
  <c r="G21"/>
  <c r="K21"/>
  <c r="H59"/>
  <c r="X266" i="287"/>
  <c r="S94"/>
  <c r="S95"/>
  <c r="Y266"/>
  <c r="G22" i="39"/>
  <c r="L24"/>
  <c r="F27" i="38"/>
  <c r="G24" i="39"/>
  <c r="D6" i="38"/>
  <c r="F6"/>
  <c r="G6"/>
  <c r="F13"/>
  <c r="F14" a="1"/>
  <c r="F14"/>
  <c r="G11"/>
  <c r="K11"/>
  <c r="G59"/>
  <c r="R113" i="285"/>
  <c r="J112"/>
  <c r="I112"/>
  <c r="G7" i="38"/>
  <c r="H7"/>
  <c r="L7"/>
  <c r="M7"/>
  <c r="G8"/>
  <c r="H8"/>
  <c r="L8"/>
  <c r="M8"/>
  <c r="G10"/>
  <c r="H10"/>
  <c r="L10"/>
  <c r="M10"/>
  <c r="H11"/>
  <c r="L11"/>
  <c r="M11"/>
  <c r="G12"/>
  <c r="H12"/>
  <c r="M12"/>
  <c r="G13"/>
  <c r="H13"/>
  <c r="L13"/>
  <c r="M13"/>
  <c r="M14"/>
  <c r="I31"/>
  <c r="H21"/>
  <c r="L21"/>
  <c r="M21"/>
  <c r="H63"/>
  <c r="R63"/>
  <c r="H60"/>
  <c r="I21"/>
  <c r="J21"/>
  <c r="G17"/>
  <c r="H17"/>
  <c r="I17"/>
  <c r="J17"/>
  <c r="G18"/>
  <c r="H18"/>
  <c r="I18"/>
  <c r="J18"/>
  <c r="G20"/>
  <c r="H20"/>
  <c r="I20"/>
  <c r="J20"/>
  <c r="G22"/>
  <c r="H22"/>
  <c r="I22"/>
  <c r="J22"/>
  <c r="G23"/>
  <c r="H23"/>
  <c r="I23"/>
  <c r="J23"/>
  <c r="J16"/>
  <c r="N21"/>
  <c r="H61"/>
  <c r="H62"/>
  <c r="J63"/>
  <c r="K17"/>
  <c r="H38"/>
  <c r="L17"/>
  <c r="H39"/>
  <c r="N17"/>
  <c r="H40"/>
  <c r="H41"/>
  <c r="M17"/>
  <c r="H42"/>
  <c r="J42"/>
  <c r="L38"/>
  <c r="L39"/>
  <c r="L40"/>
  <c r="L41"/>
  <c r="L42"/>
  <c r="K18"/>
  <c r="H43"/>
  <c r="L18"/>
  <c r="H44"/>
  <c r="N18"/>
  <c r="H45"/>
  <c r="H46"/>
  <c r="M18"/>
  <c r="H47"/>
  <c r="J47"/>
  <c r="L43"/>
  <c r="L44"/>
  <c r="L45"/>
  <c r="L46"/>
  <c r="L47"/>
  <c r="K19"/>
  <c r="N19"/>
  <c r="K20"/>
  <c r="H54"/>
  <c r="L20"/>
  <c r="H55"/>
  <c r="N20"/>
  <c r="H56"/>
  <c r="H57"/>
  <c r="M20"/>
  <c r="H58"/>
  <c r="J58"/>
  <c r="L54"/>
  <c r="L55"/>
  <c r="L56"/>
  <c r="L57"/>
  <c r="L58"/>
  <c r="N22"/>
  <c r="M22"/>
  <c r="K23"/>
  <c r="H76"/>
  <c r="L23"/>
  <c r="H77"/>
  <c r="N23"/>
  <c r="H78"/>
  <c r="H79"/>
  <c r="M23"/>
  <c r="H80"/>
  <c r="J80"/>
  <c r="L76"/>
  <c r="L77"/>
  <c r="L78"/>
  <c r="L79"/>
  <c r="L80"/>
  <c r="F86"/>
  <c r="M41" i="46"/>
  <c r="I41"/>
  <c r="G41"/>
  <c r="F87" i="38"/>
  <c r="M42" i="46"/>
  <c r="I42"/>
  <c r="G42"/>
  <c r="F89" i="38"/>
  <c r="M44" i="46"/>
  <c r="I44"/>
  <c r="G44"/>
  <c r="F92" i="38"/>
  <c r="M47" i="46"/>
  <c r="I47"/>
  <c r="G47"/>
  <c r="N24" i="38"/>
  <c r="L24"/>
  <c r="K24"/>
  <c r="H24"/>
  <c r="D23"/>
  <c r="T62" i="306"/>
  <c r="T63"/>
  <c r="T94"/>
  <c r="T95"/>
  <c r="J22" i="26"/>
  <c r="J21"/>
  <c r="E27" i="38"/>
  <c r="E33"/>
  <c r="G33"/>
  <c r="M24"/>
  <c r="R61"/>
  <c r="R60"/>
  <c r="X266" i="306"/>
  <c r="Y266"/>
  <c r="S113" i="285"/>
  <c r="R59" i="38"/>
  <c r="R62"/>
  <c r="Y267" i="306"/>
  <c r="Y268"/>
  <c r="Y270"/>
  <c r="G12" i="46"/>
  <c r="R12"/>
  <c r="K12"/>
  <c r="L12"/>
  <c r="M12"/>
  <c r="N12"/>
  <c r="O12"/>
  <c r="P12"/>
  <c r="AA8" i="39"/>
  <c r="AA12"/>
  <c r="AA22"/>
  <c r="AA10"/>
  <c r="AA20"/>
  <c r="AA18"/>
  <c r="AA14"/>
  <c r="AA16"/>
  <c r="S96" i="306"/>
  <c r="O136" i="4"/>
  <c r="V80" i="288"/>
  <c r="U80"/>
  <c r="V82"/>
  <c r="V78"/>
  <c r="V79"/>
  <c r="V81"/>
  <c r="U79"/>
  <c r="U78"/>
  <c r="U81"/>
  <c r="U82"/>
  <c r="K13" i="38"/>
  <c r="G76"/>
  <c r="G77"/>
  <c r="I13"/>
  <c r="J13"/>
  <c r="I7"/>
  <c r="J7"/>
  <c r="I8"/>
  <c r="J8"/>
  <c r="I10"/>
  <c r="J10"/>
  <c r="I11"/>
  <c r="J11"/>
  <c r="I12"/>
  <c r="J12"/>
  <c r="J6"/>
  <c r="N13"/>
  <c r="G78"/>
  <c r="G79"/>
  <c r="G80"/>
  <c r="I80"/>
  <c r="E92"/>
  <c r="L47" i="46"/>
  <c r="H47"/>
  <c r="F47"/>
  <c r="K10" i="38"/>
  <c r="G54"/>
  <c r="G55"/>
  <c r="N10"/>
  <c r="G56"/>
  <c r="G57"/>
  <c r="G58"/>
  <c r="I58"/>
  <c r="E89"/>
  <c r="L44" i="46"/>
  <c r="H44"/>
  <c r="F44"/>
  <c r="K8" i="38"/>
  <c r="G43"/>
  <c r="G44"/>
  <c r="N8"/>
  <c r="G45"/>
  <c r="G46"/>
  <c r="G47"/>
  <c r="I47"/>
  <c r="E87"/>
  <c r="L42" i="46"/>
  <c r="H42"/>
  <c r="F42"/>
  <c r="K7" i="38"/>
  <c r="G38"/>
  <c r="G39"/>
  <c r="N7"/>
  <c r="G40"/>
  <c r="G41"/>
  <c r="G42"/>
  <c r="I42"/>
  <c r="E86"/>
  <c r="L41" i="46"/>
  <c r="H41"/>
  <c r="F41"/>
  <c r="G60" i="38"/>
  <c r="Q60"/>
  <c r="N11"/>
  <c r="G61"/>
  <c r="Q61"/>
  <c r="G62"/>
  <c r="Q62"/>
  <c r="G63"/>
  <c r="Q63"/>
  <c r="I63"/>
  <c r="Q59"/>
  <c r="H20" i="6"/>
  <c r="H28"/>
  <c r="I21" i="26"/>
  <c r="H17" i="6"/>
  <c r="H27"/>
  <c r="I22" i="26"/>
  <c r="I19"/>
  <c r="I30"/>
  <c r="H19" i="6"/>
  <c r="H18"/>
  <c r="T62" i="287"/>
  <c r="T63"/>
  <c r="T94"/>
  <c r="T95"/>
  <c r="D27" i="38"/>
  <c r="D33"/>
  <c r="D13"/>
  <c r="F33"/>
  <c r="K9"/>
  <c r="K14"/>
  <c r="H14"/>
  <c r="L14"/>
  <c r="N9"/>
  <c r="N12"/>
  <c r="N14"/>
  <c r="Y267" i="287"/>
  <c r="Y268"/>
  <c r="Y270"/>
  <c r="S96"/>
  <c r="R66" i="4"/>
  <c r="S66"/>
  <c r="T66"/>
  <c r="N136"/>
  <c r="Q136"/>
  <c r="K38" i="38"/>
  <c r="K39"/>
  <c r="K40"/>
  <c r="K41"/>
  <c r="K42"/>
  <c r="K43"/>
  <c r="K44"/>
  <c r="K45"/>
  <c r="K46"/>
  <c r="K47"/>
  <c r="K54"/>
  <c r="K55"/>
  <c r="K56"/>
  <c r="K57"/>
  <c r="K58"/>
  <c r="K76"/>
  <c r="K77"/>
  <c r="K78"/>
  <c r="K79"/>
  <c r="K80"/>
  <c r="U83" i="305"/>
  <c r="U83" i="288"/>
  <c r="V206" i="287"/>
  <c r="V205"/>
  <c r="V204"/>
  <c r="O134" i="4"/>
  <c r="F70" i="306"/>
  <c r="G70"/>
  <c r="H70"/>
  <c r="I70"/>
  <c r="J70"/>
  <c r="K70"/>
  <c r="P70"/>
  <c r="R70"/>
  <c r="F70" i="287"/>
  <c r="J70"/>
  <c r="R70"/>
  <c r="H70"/>
  <c r="G70"/>
  <c r="K70"/>
  <c r="I70"/>
  <c r="P70"/>
  <c r="X261" i="306"/>
  <c r="X262"/>
  <c r="X263"/>
  <c r="X264"/>
  <c r="X265"/>
  <c r="X271"/>
  <c r="X269"/>
  <c r="BJ40" i="304"/>
  <c r="BL39"/>
  <c r="AB82" i="288"/>
  <c r="X261" i="287"/>
  <c r="X262"/>
  <c r="X263"/>
  <c r="X264"/>
  <c r="X265"/>
  <c r="X269"/>
  <c r="X271"/>
  <c r="BL39" i="1"/>
  <c r="BJ40"/>
  <c r="N134" i="4"/>
  <c r="V206" i="306"/>
  <c r="V205"/>
  <c r="V204"/>
  <c r="AB82" i="305"/>
  <c r="V191" i="306"/>
  <c r="V190"/>
  <c r="V189"/>
  <c r="V185"/>
  <c r="V184"/>
  <c r="V183"/>
  <c r="AB71" i="305"/>
  <c r="AB67"/>
  <c r="V191" i="287"/>
  <c r="V190"/>
  <c r="V189"/>
  <c r="V185"/>
  <c r="V184"/>
  <c r="V183"/>
  <c r="AB71" i="288"/>
  <c r="AB67"/>
  <c r="T61" i="287"/>
  <c r="N70"/>
  <c r="O70"/>
  <c r="T61" i="306"/>
  <c r="N70"/>
  <c r="R60" i="287"/>
  <c r="Q60"/>
  <c r="J60"/>
  <c r="F60"/>
  <c r="C60"/>
  <c r="M60"/>
  <c r="K60"/>
  <c r="H60"/>
  <c r="G60"/>
  <c r="P60"/>
  <c r="D60"/>
  <c r="N60"/>
  <c r="L60"/>
  <c r="I60"/>
  <c r="E60"/>
  <c r="O60"/>
  <c r="R60" i="306"/>
  <c r="Q60"/>
  <c r="P60"/>
  <c r="O60"/>
  <c r="N60"/>
  <c r="L60"/>
  <c r="K60"/>
  <c r="J60"/>
  <c r="I60"/>
  <c r="H60"/>
  <c r="G60"/>
  <c r="F60"/>
  <c r="E60"/>
  <c r="D60"/>
  <c r="C60"/>
  <c r="M60"/>
  <c r="I29" i="26"/>
  <c r="I39"/>
  <c r="I18"/>
  <c r="H41" i="12"/>
  <c r="H32"/>
  <c r="H42"/>
  <c r="H7"/>
  <c r="H8"/>
  <c r="H9"/>
  <c r="H10"/>
  <c r="H11"/>
  <c r="H12"/>
  <c r="H13"/>
  <c r="H7" i="19"/>
  <c r="H11"/>
  <c r="H19"/>
  <c r="H31"/>
  <c r="H32"/>
  <c r="H23"/>
  <c r="H40" i="12"/>
  <c r="H31"/>
  <c r="H6"/>
  <c r="H20" i="19"/>
  <c r="H24"/>
  <c r="H33"/>
  <c r="H12"/>
  <c r="H8"/>
  <c r="J31" i="32"/>
  <c r="J52"/>
  <c r="H30" i="19"/>
  <c r="H6"/>
  <c r="H18"/>
  <c r="H47"/>
  <c r="H26" i="6"/>
  <c r="H16"/>
  <c r="H30" i="12"/>
  <c r="H39"/>
  <c r="J9" i="32"/>
  <c r="J19"/>
  <c r="J29"/>
  <c r="J50"/>
  <c r="J21"/>
  <c r="J30"/>
  <c r="L22"/>
  <c r="J51"/>
  <c r="J7"/>
  <c r="J17"/>
  <c r="J8"/>
  <c r="J18"/>
  <c r="H21" i="19"/>
  <c r="H9"/>
  <c r="I31" i="26"/>
  <c r="I20"/>
  <c r="I40"/>
  <c r="I18" i="6"/>
  <c r="I28"/>
  <c r="I27"/>
  <c r="I17"/>
  <c r="I20"/>
  <c r="I19"/>
  <c r="J39" i="26"/>
  <c r="J29"/>
  <c r="J18"/>
  <c r="J19"/>
  <c r="J30"/>
  <c r="I11" i="19"/>
  <c r="I23"/>
  <c r="I32"/>
  <c r="I13" i="12"/>
  <c r="I12"/>
  <c r="I11"/>
  <c r="I10"/>
  <c r="I9"/>
  <c r="I8"/>
  <c r="I6"/>
  <c r="I31"/>
  <c r="I30"/>
  <c r="I26" i="6"/>
  <c r="I16"/>
  <c r="I8" i="19"/>
  <c r="I12"/>
  <c r="I20"/>
  <c r="I24"/>
  <c r="I33"/>
  <c r="I7" i="12"/>
  <c r="I32"/>
  <c r="I33"/>
  <c r="I22" i="19"/>
  <c r="I10"/>
  <c r="I30" i="6"/>
  <c r="I29"/>
  <c r="I21"/>
  <c r="I22"/>
  <c r="J41" i="26"/>
  <c r="I35" i="12"/>
  <c r="I34"/>
  <c r="I15"/>
  <c r="I14"/>
  <c r="I21" i="19"/>
  <c r="I9"/>
  <c r="J31" i="26"/>
  <c r="J20"/>
  <c r="J40"/>
  <c r="I6" i="19"/>
  <c r="I18"/>
  <c r="I30"/>
  <c r="I47"/>
  <c r="I49"/>
  <c r="I48"/>
  <c r="I36"/>
  <c r="I35"/>
  <c r="I27"/>
  <c r="I26"/>
  <c r="I15"/>
  <c r="I14"/>
  <c r="I7"/>
  <c r="I19"/>
  <c r="I31"/>
  <c r="I38" i="26"/>
  <c r="I17"/>
  <c r="J17"/>
  <c r="J38"/>
  <c r="J42"/>
  <c r="J43"/>
  <c r="J32"/>
  <c r="J33"/>
  <c r="J23"/>
  <c r="J24"/>
  <c r="I42"/>
  <c r="I23"/>
  <c r="I32"/>
  <c r="I24"/>
  <c r="I33"/>
  <c r="I43"/>
  <c r="K29" i="32"/>
  <c r="K7"/>
  <c r="K17"/>
  <c r="K30"/>
  <c r="K8"/>
  <c r="K18"/>
  <c r="M22"/>
  <c r="K51"/>
  <c r="K21"/>
  <c r="K50"/>
  <c r="K9"/>
  <c r="K19"/>
  <c r="K31"/>
  <c r="K52"/>
  <c r="H26" i="19"/>
  <c r="H14"/>
  <c r="H48"/>
  <c r="H35"/>
  <c r="H15"/>
  <c r="H27"/>
  <c r="H36"/>
  <c r="H49"/>
  <c r="H14" i="12"/>
  <c r="H34"/>
  <c r="H43"/>
  <c r="H35"/>
  <c r="H44"/>
  <c r="H15"/>
  <c r="H30" i="6"/>
  <c r="H22"/>
  <c r="H21"/>
  <c r="H29"/>
  <c r="H22" i="19"/>
  <c r="H10"/>
  <c r="I41" i="26"/>
  <c r="H33" i="12"/>
  <c r="Q28" i="288"/>
  <c r="F72"/>
  <c r="M72"/>
  <c r="R78"/>
  <c r="R28"/>
  <c r="F73"/>
  <c r="M73"/>
  <c r="R79"/>
  <c r="S28"/>
  <c r="F74"/>
  <c r="M74"/>
  <c r="R80"/>
  <c r="U28"/>
  <c r="F76"/>
  <c r="M76"/>
  <c r="R82"/>
  <c r="J72"/>
  <c r="N72"/>
  <c r="K72"/>
  <c r="O72"/>
  <c r="J73"/>
  <c r="N73"/>
  <c r="K73"/>
  <c r="O73"/>
  <c r="J74"/>
  <c r="N74"/>
  <c r="K74"/>
  <c r="O74"/>
  <c r="J76"/>
  <c r="N76"/>
  <c r="K76"/>
  <c r="O76"/>
  <c r="Q28" i="305"/>
  <c r="F72"/>
  <c r="M72"/>
  <c r="R78"/>
  <c r="R28"/>
  <c r="F73"/>
  <c r="M73"/>
  <c r="R79"/>
  <c r="S28"/>
  <c r="F74"/>
  <c r="M74"/>
  <c r="R80"/>
  <c r="U28"/>
  <c r="F76"/>
  <c r="M76"/>
  <c r="R82"/>
  <c r="J72"/>
  <c r="N72"/>
  <c r="K72"/>
  <c r="O72"/>
  <c r="J73"/>
  <c r="N73"/>
  <c r="K73"/>
  <c r="O73"/>
  <c r="J74"/>
  <c r="N74"/>
  <c r="K74"/>
  <c r="O74"/>
  <c r="J76"/>
  <c r="N76"/>
  <c r="K76"/>
  <c r="O76"/>
  <c r="G48" i="38" a="1"/>
  <c r="G48"/>
  <c r="G49"/>
  <c r="G50"/>
  <c r="G51"/>
  <c r="G52"/>
  <c r="G53"/>
  <c r="I53"/>
  <c r="K48"/>
  <c r="K50"/>
  <c r="K51"/>
  <c r="K52"/>
  <c r="K53"/>
  <c r="H48" a="1"/>
  <c r="H48"/>
  <c r="H49"/>
  <c r="H50"/>
  <c r="H51"/>
  <c r="H52"/>
  <c r="H53"/>
  <c r="J53"/>
  <c r="L48"/>
  <c r="L50"/>
  <c r="L51"/>
  <c r="L52"/>
  <c r="L53"/>
  <c r="V196" i="306"/>
  <c r="V194"/>
  <c r="V193"/>
  <c r="V192"/>
  <c r="AB76" i="305"/>
  <c r="AB74"/>
  <c r="AB73"/>
  <c r="AB72"/>
  <c r="AB76" i="288"/>
  <c r="AB74"/>
  <c r="AB73"/>
  <c r="AB72"/>
  <c r="V192" i="287"/>
  <c r="V193"/>
  <c r="V194"/>
  <c r="V196"/>
  <c r="E88" i="38"/>
  <c r="L43" i="46"/>
  <c r="H43"/>
  <c r="F43"/>
  <c r="F88" i="38"/>
  <c r="M43" i="46"/>
  <c r="I43"/>
  <c r="G43"/>
  <c r="D28" i="288"/>
  <c r="F58"/>
  <c r="M58"/>
  <c r="R58"/>
  <c r="G58"/>
  <c r="J58"/>
  <c r="N58"/>
  <c r="K58"/>
  <c r="O58"/>
  <c r="G62"/>
  <c r="F62"/>
  <c r="J62"/>
  <c r="I62"/>
  <c r="M62"/>
  <c r="R62"/>
  <c r="N62"/>
  <c r="M84"/>
  <c r="R63"/>
  <c r="K62"/>
  <c r="O62"/>
  <c r="M89"/>
  <c r="R64"/>
  <c r="T28"/>
  <c r="F75"/>
  <c r="M75"/>
  <c r="R81"/>
  <c r="J75"/>
  <c r="N75"/>
  <c r="K75"/>
  <c r="O75"/>
  <c r="G77"/>
  <c r="F77"/>
  <c r="J77"/>
  <c r="I77"/>
  <c r="M77"/>
  <c r="R83"/>
  <c r="N77"/>
  <c r="M87"/>
  <c r="R84"/>
  <c r="K77"/>
  <c r="O77"/>
  <c r="M92"/>
  <c r="R85"/>
  <c r="D49" i="287" a="1"/>
  <c r="E49" a="1"/>
  <c r="F49" a="1"/>
  <c r="G49" a="1"/>
  <c r="H49" a="1"/>
  <c r="I49" a="1"/>
  <c r="J49" a="1"/>
  <c r="K49" a="1"/>
  <c r="L49" a="1"/>
  <c r="M49" a="1"/>
  <c r="N49" a="1"/>
  <c r="O49" a="1"/>
  <c r="P49" a="1"/>
  <c r="Q49" a="1"/>
  <c r="R49" a="1"/>
  <c r="S49" a="1"/>
  <c r="U49"/>
  <c r="U67"/>
  <c r="M79"/>
  <c r="D50" a="1"/>
  <c r="E50" a="1"/>
  <c r="F50" a="1"/>
  <c r="G50" a="1"/>
  <c r="H50" a="1"/>
  <c r="I50" a="1"/>
  <c r="J50" a="1"/>
  <c r="K50" a="1"/>
  <c r="L50" a="1"/>
  <c r="M50" a="1"/>
  <c r="N50" a="1"/>
  <c r="O50" a="1"/>
  <c r="P50" a="1"/>
  <c r="Q50" a="1"/>
  <c r="R50" a="1"/>
  <c r="S50" a="1"/>
  <c r="U50"/>
  <c r="U68"/>
  <c r="M80"/>
  <c r="D51" a="1"/>
  <c r="E51" a="1"/>
  <c r="F51" a="1"/>
  <c r="G51" a="1"/>
  <c r="H51" a="1"/>
  <c r="I51" a="1"/>
  <c r="J51" a="1"/>
  <c r="K51" a="1"/>
  <c r="L51" a="1"/>
  <c r="M51" a="1"/>
  <c r="N51" a="1"/>
  <c r="O51" a="1"/>
  <c r="P51" a="1"/>
  <c r="Q51" a="1"/>
  <c r="R51" a="1"/>
  <c r="S51" a="1"/>
  <c r="U51"/>
  <c r="U69"/>
  <c r="M81"/>
  <c r="D52" a="1"/>
  <c r="E52" a="1"/>
  <c r="F52" a="1"/>
  <c r="G52" a="1"/>
  <c r="H52" a="1"/>
  <c r="I52" a="1"/>
  <c r="J52" a="1"/>
  <c r="K52" a="1"/>
  <c r="L52" a="1"/>
  <c r="M52" a="1"/>
  <c r="N52" a="1"/>
  <c r="O52" a="1"/>
  <c r="P52" a="1"/>
  <c r="Q52" a="1"/>
  <c r="R52" a="1"/>
  <c r="S52" a="1"/>
  <c r="U52"/>
  <c r="U70"/>
  <c r="M82"/>
  <c r="D53" a="1"/>
  <c r="E53" a="1"/>
  <c r="F53" a="1"/>
  <c r="G53" a="1"/>
  <c r="H53" a="1"/>
  <c r="I53" a="1"/>
  <c r="J53" a="1"/>
  <c r="K53" a="1"/>
  <c r="L53" a="1"/>
  <c r="M53" a="1"/>
  <c r="N53" a="1"/>
  <c r="O53" a="1"/>
  <c r="P53" a="1"/>
  <c r="Q53" a="1"/>
  <c r="R53" a="1"/>
  <c r="S53" a="1"/>
  <c r="U53"/>
  <c r="U71"/>
  <c r="M83"/>
  <c r="M84"/>
  <c r="M88"/>
  <c r="M99"/>
  <c r="M118"/>
  <c r="C49" a="1"/>
  <c r="C67"/>
  <c r="C79"/>
  <c r="C88"/>
  <c r="C99"/>
  <c r="C118"/>
  <c r="D79"/>
  <c r="D80"/>
  <c r="D81"/>
  <c r="D82"/>
  <c r="D83"/>
  <c r="D84"/>
  <c r="D88"/>
  <c r="D99"/>
  <c r="D118"/>
  <c r="E79"/>
  <c r="E80"/>
  <c r="E81"/>
  <c r="E82"/>
  <c r="E83"/>
  <c r="E84"/>
  <c r="E88"/>
  <c r="E99"/>
  <c r="E118"/>
  <c r="F79"/>
  <c r="F80"/>
  <c r="F81"/>
  <c r="F82"/>
  <c r="F84"/>
  <c r="F88"/>
  <c r="F99"/>
  <c r="F118"/>
  <c r="G79"/>
  <c r="G80"/>
  <c r="G81"/>
  <c r="G82"/>
  <c r="G83"/>
  <c r="G84"/>
  <c r="G88"/>
  <c r="G99"/>
  <c r="G118"/>
  <c r="H79"/>
  <c r="H80"/>
  <c r="H81"/>
  <c r="H82"/>
  <c r="H84"/>
  <c r="H88"/>
  <c r="H99"/>
  <c r="H118"/>
  <c r="I79"/>
  <c r="I80"/>
  <c r="I81"/>
  <c r="I82"/>
  <c r="I84"/>
  <c r="I88"/>
  <c r="I99"/>
  <c r="I118"/>
  <c r="J79"/>
  <c r="J80"/>
  <c r="J81"/>
  <c r="J82"/>
  <c r="J84"/>
  <c r="J88"/>
  <c r="J99"/>
  <c r="J118"/>
  <c r="K79"/>
  <c r="K80"/>
  <c r="K81"/>
  <c r="K82"/>
  <c r="K84"/>
  <c r="K88"/>
  <c r="K99"/>
  <c r="K118"/>
  <c r="L79"/>
  <c r="L80"/>
  <c r="L81"/>
  <c r="L82"/>
  <c r="L83"/>
  <c r="L84"/>
  <c r="L88"/>
  <c r="L99"/>
  <c r="L118"/>
  <c r="N79"/>
  <c r="N80"/>
  <c r="N81"/>
  <c r="N82"/>
  <c r="N84"/>
  <c r="N88"/>
  <c r="N99"/>
  <c r="N118"/>
  <c r="O79"/>
  <c r="O80"/>
  <c r="O81"/>
  <c r="O82"/>
  <c r="O84"/>
  <c r="O88"/>
  <c r="O99"/>
  <c r="O118"/>
  <c r="P79"/>
  <c r="P80"/>
  <c r="P81"/>
  <c r="P82"/>
  <c r="P84"/>
  <c r="P88"/>
  <c r="P99"/>
  <c r="P118"/>
  <c r="Q79"/>
  <c r="Q80"/>
  <c r="Q81"/>
  <c r="Q82"/>
  <c r="Q83"/>
  <c r="Q84"/>
  <c r="Q88"/>
  <c r="Q99"/>
  <c r="Q118"/>
  <c r="R79"/>
  <c r="R80"/>
  <c r="R81"/>
  <c r="R82"/>
  <c r="R84"/>
  <c r="R88"/>
  <c r="R99"/>
  <c r="R118"/>
  <c r="S79"/>
  <c r="S80"/>
  <c r="S81"/>
  <c r="S82"/>
  <c r="S83"/>
  <c r="S84"/>
  <c r="S88"/>
  <c r="S99"/>
  <c r="S118"/>
  <c r="T118"/>
  <c r="M89"/>
  <c r="M100"/>
  <c r="M125"/>
  <c r="C50" a="1"/>
  <c r="C68"/>
  <c r="C80"/>
  <c r="C89"/>
  <c r="C100"/>
  <c r="C125"/>
  <c r="D89"/>
  <c r="D100"/>
  <c r="D125"/>
  <c r="E89"/>
  <c r="E100"/>
  <c r="E125"/>
  <c r="F89"/>
  <c r="F100"/>
  <c r="F125"/>
  <c r="G89"/>
  <c r="G100"/>
  <c r="G125"/>
  <c r="H89"/>
  <c r="H100"/>
  <c r="H125"/>
  <c r="I89"/>
  <c r="I100"/>
  <c r="I125"/>
  <c r="J89"/>
  <c r="J100"/>
  <c r="J125"/>
  <c r="K89"/>
  <c r="K100"/>
  <c r="K125"/>
  <c r="L89"/>
  <c r="L100"/>
  <c r="L125"/>
  <c r="N89"/>
  <c r="N100"/>
  <c r="N125"/>
  <c r="O89"/>
  <c r="O100"/>
  <c r="O125"/>
  <c r="P89"/>
  <c r="P100"/>
  <c r="P125"/>
  <c r="Q89"/>
  <c r="Q100"/>
  <c r="Q125"/>
  <c r="R89"/>
  <c r="R100"/>
  <c r="R125"/>
  <c r="S89"/>
  <c r="S100"/>
  <c r="S125"/>
  <c r="T125"/>
  <c r="M90"/>
  <c r="M101"/>
  <c r="M132"/>
  <c r="C51" a="1"/>
  <c r="C69"/>
  <c r="C81"/>
  <c r="C90"/>
  <c r="C101"/>
  <c r="C132"/>
  <c r="D90"/>
  <c r="D101"/>
  <c r="D132"/>
  <c r="E90"/>
  <c r="E101"/>
  <c r="E132"/>
  <c r="F90"/>
  <c r="F101"/>
  <c r="F132"/>
  <c r="G90"/>
  <c r="G101"/>
  <c r="G132"/>
  <c r="H90"/>
  <c r="H101"/>
  <c r="H132"/>
  <c r="I90"/>
  <c r="I101"/>
  <c r="I132"/>
  <c r="J90"/>
  <c r="J101"/>
  <c r="J132"/>
  <c r="K90"/>
  <c r="K101"/>
  <c r="K132"/>
  <c r="L90"/>
  <c r="L101"/>
  <c r="L132"/>
  <c r="N90"/>
  <c r="N101"/>
  <c r="N132"/>
  <c r="O132"/>
  <c r="P90"/>
  <c r="P101"/>
  <c r="P132"/>
  <c r="Q90"/>
  <c r="Q101"/>
  <c r="Q132"/>
  <c r="R90"/>
  <c r="R101"/>
  <c r="R132"/>
  <c r="S90"/>
  <c r="S101"/>
  <c r="S132"/>
  <c r="T132"/>
  <c r="M123"/>
  <c r="C123"/>
  <c r="D123"/>
  <c r="E123"/>
  <c r="F123"/>
  <c r="G123"/>
  <c r="H123"/>
  <c r="I123"/>
  <c r="J123"/>
  <c r="K123"/>
  <c r="L123"/>
  <c r="N123"/>
  <c r="O123"/>
  <c r="P123"/>
  <c r="Q123"/>
  <c r="R123"/>
  <c r="S123"/>
  <c r="T123"/>
  <c r="M91"/>
  <c r="M102"/>
  <c r="M138"/>
  <c r="C52" a="1"/>
  <c r="C70"/>
  <c r="C82"/>
  <c r="C91"/>
  <c r="C102"/>
  <c r="C138"/>
  <c r="D91"/>
  <c r="D102"/>
  <c r="D138"/>
  <c r="E91"/>
  <c r="E102"/>
  <c r="E138"/>
  <c r="F91"/>
  <c r="F102"/>
  <c r="F138"/>
  <c r="G91"/>
  <c r="G102"/>
  <c r="G138"/>
  <c r="H91"/>
  <c r="H102"/>
  <c r="H138"/>
  <c r="I91"/>
  <c r="I102"/>
  <c r="I138"/>
  <c r="J91"/>
  <c r="J102"/>
  <c r="J138"/>
  <c r="K91"/>
  <c r="K102"/>
  <c r="K138"/>
  <c r="L91"/>
  <c r="L102"/>
  <c r="L138"/>
  <c r="N91"/>
  <c r="N102"/>
  <c r="N138"/>
  <c r="O91"/>
  <c r="O102"/>
  <c r="O138"/>
  <c r="P91"/>
  <c r="P102"/>
  <c r="P138"/>
  <c r="Q91"/>
  <c r="Q102"/>
  <c r="Q138"/>
  <c r="R91"/>
  <c r="R102"/>
  <c r="R138"/>
  <c r="S91"/>
  <c r="S102"/>
  <c r="S138"/>
  <c r="T138"/>
  <c r="M136"/>
  <c r="C136"/>
  <c r="D136"/>
  <c r="E136"/>
  <c r="F136"/>
  <c r="G136"/>
  <c r="H136"/>
  <c r="I136"/>
  <c r="J136"/>
  <c r="K136"/>
  <c r="L136"/>
  <c r="N136"/>
  <c r="O136"/>
  <c r="P136"/>
  <c r="Q136"/>
  <c r="R136"/>
  <c r="S136"/>
  <c r="T136"/>
  <c r="M144"/>
  <c r="C144"/>
  <c r="D144"/>
  <c r="E144"/>
  <c r="F144"/>
  <c r="G144"/>
  <c r="H144"/>
  <c r="I144"/>
  <c r="J144"/>
  <c r="K144"/>
  <c r="L144"/>
  <c r="N144"/>
  <c r="O144"/>
  <c r="P144"/>
  <c r="Q144"/>
  <c r="R144"/>
  <c r="S144"/>
  <c r="T144"/>
  <c r="M130"/>
  <c r="C130"/>
  <c r="D130"/>
  <c r="E130"/>
  <c r="F130"/>
  <c r="G130"/>
  <c r="H130"/>
  <c r="I130"/>
  <c r="J130"/>
  <c r="K130"/>
  <c r="L130"/>
  <c r="N130"/>
  <c r="O130"/>
  <c r="P130"/>
  <c r="Q130"/>
  <c r="R130"/>
  <c r="S130"/>
  <c r="T130"/>
  <c r="C134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O90"/>
  <c r="O101"/>
  <c r="T10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T99"/>
  <c r="U62" i="288"/>
  <c r="U58"/>
  <c r="V62"/>
  <c r="V58"/>
  <c r="C143" i="287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T102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75" i="288"/>
  <c r="V75"/>
  <c r="U76"/>
  <c r="V76"/>
  <c r="U73"/>
  <c r="V73"/>
  <c r="U74"/>
  <c r="V74"/>
  <c r="U72"/>
  <c r="V72"/>
  <c r="V77"/>
  <c r="U77"/>
  <c r="Q92" i="287"/>
  <c r="D92"/>
  <c r="E92"/>
  <c r="F92"/>
  <c r="G92"/>
  <c r="H92"/>
  <c r="I92"/>
  <c r="J92"/>
  <c r="K92"/>
  <c r="L92"/>
  <c r="M92"/>
  <c r="N92"/>
  <c r="O92"/>
  <c r="P92"/>
  <c r="R92"/>
  <c r="S92"/>
  <c r="Q103"/>
  <c r="Q152"/>
  <c r="C53" a="1"/>
  <c r="C71"/>
  <c r="C83"/>
  <c r="C92"/>
  <c r="C103"/>
  <c r="C152"/>
  <c r="D103"/>
  <c r="D152"/>
  <c r="E103"/>
  <c r="E152"/>
  <c r="F103"/>
  <c r="F152"/>
  <c r="G103"/>
  <c r="G152"/>
  <c r="H103"/>
  <c r="H152"/>
  <c r="I103"/>
  <c r="I152"/>
  <c r="J152"/>
  <c r="K103"/>
  <c r="K152"/>
  <c r="L103"/>
  <c r="L152"/>
  <c r="M103"/>
  <c r="M152"/>
  <c r="N152"/>
  <c r="O103"/>
  <c r="O152"/>
  <c r="P152"/>
  <c r="R103"/>
  <c r="R152"/>
  <c r="S103"/>
  <c r="S152"/>
  <c r="T152"/>
  <c r="D28" i="305"/>
  <c r="F58"/>
  <c r="M58"/>
  <c r="R58"/>
  <c r="G58"/>
  <c r="J58"/>
  <c r="N58"/>
  <c r="K58"/>
  <c r="O58"/>
  <c r="G62"/>
  <c r="F62"/>
  <c r="J62"/>
  <c r="I62"/>
  <c r="M62"/>
  <c r="R62"/>
  <c r="N62"/>
  <c r="M84"/>
  <c r="R63"/>
  <c r="K62"/>
  <c r="O62"/>
  <c r="M89"/>
  <c r="R64"/>
  <c r="T28"/>
  <c r="F75"/>
  <c r="M75"/>
  <c r="R81"/>
  <c r="J75"/>
  <c r="N75"/>
  <c r="K75"/>
  <c r="O75"/>
  <c r="G77"/>
  <c r="F77"/>
  <c r="J77"/>
  <c r="I77"/>
  <c r="M77"/>
  <c r="R83"/>
  <c r="N77"/>
  <c r="M87"/>
  <c r="R84"/>
  <c r="K77"/>
  <c r="O77"/>
  <c r="M92"/>
  <c r="R85"/>
  <c r="M53" i="306" a="1"/>
  <c r="D49" a="1"/>
  <c r="E49" a="1"/>
  <c r="F49" a="1"/>
  <c r="G49" a="1"/>
  <c r="H49" a="1"/>
  <c r="I49" a="1"/>
  <c r="J49" a="1"/>
  <c r="K49" a="1"/>
  <c r="L49" a="1"/>
  <c r="M49" a="1"/>
  <c r="N49" a="1"/>
  <c r="O49" a="1"/>
  <c r="P49" a="1"/>
  <c r="Q49" a="1"/>
  <c r="R49" a="1"/>
  <c r="S49" a="1"/>
  <c r="U49"/>
  <c r="U67"/>
  <c r="M79"/>
  <c r="D50" a="1"/>
  <c r="E50" a="1"/>
  <c r="F50" a="1"/>
  <c r="G50" a="1"/>
  <c r="H50" a="1"/>
  <c r="I50" a="1"/>
  <c r="J50" a="1"/>
  <c r="K50" a="1"/>
  <c r="L50" a="1"/>
  <c r="M50" a="1"/>
  <c r="N50" a="1"/>
  <c r="O50" a="1"/>
  <c r="P50" a="1"/>
  <c r="Q50" a="1"/>
  <c r="R50" a="1"/>
  <c r="S50" a="1"/>
  <c r="U50"/>
  <c r="U68"/>
  <c r="M80"/>
  <c r="D51" a="1"/>
  <c r="E51" a="1"/>
  <c r="F51" a="1"/>
  <c r="G51" a="1"/>
  <c r="H51" a="1"/>
  <c r="I51" a="1"/>
  <c r="J51" a="1"/>
  <c r="K51" a="1"/>
  <c r="L51" a="1"/>
  <c r="M51" a="1"/>
  <c r="N51" a="1"/>
  <c r="O51" a="1"/>
  <c r="P51" a="1"/>
  <c r="Q51" a="1"/>
  <c r="R51" a="1"/>
  <c r="S51" a="1"/>
  <c r="U51"/>
  <c r="U69"/>
  <c r="M81"/>
  <c r="D52" a="1"/>
  <c r="E52" a="1"/>
  <c r="F52" a="1"/>
  <c r="G52" a="1"/>
  <c r="H52" a="1"/>
  <c r="I52" a="1"/>
  <c r="J52" a="1"/>
  <c r="K52" a="1"/>
  <c r="L52" a="1"/>
  <c r="M52" a="1"/>
  <c r="N52" a="1"/>
  <c r="O52" a="1"/>
  <c r="P52" a="1"/>
  <c r="Q52" a="1"/>
  <c r="R52" a="1"/>
  <c r="S52" a="1"/>
  <c r="U52"/>
  <c r="U70"/>
  <c r="M82"/>
  <c r="D53" a="1"/>
  <c r="E53" a="1"/>
  <c r="F53" a="1"/>
  <c r="G53" a="1"/>
  <c r="H53" a="1"/>
  <c r="I53" a="1"/>
  <c r="J53" a="1"/>
  <c r="K53" a="1"/>
  <c r="L53" a="1"/>
  <c r="N53" a="1"/>
  <c r="O53" a="1"/>
  <c r="P53" a="1"/>
  <c r="Q53" a="1"/>
  <c r="R53" a="1"/>
  <c r="S53" a="1"/>
  <c r="U53"/>
  <c r="U71"/>
  <c r="M83"/>
  <c r="M84"/>
  <c r="M92"/>
  <c r="M103"/>
  <c r="M146"/>
  <c r="C53" a="1"/>
  <c r="C71"/>
  <c r="C83"/>
  <c r="C92"/>
  <c r="C103"/>
  <c r="C146"/>
  <c r="D79"/>
  <c r="D80"/>
  <c r="D81"/>
  <c r="D82"/>
  <c r="D83"/>
  <c r="D84"/>
  <c r="D92"/>
  <c r="D103"/>
  <c r="D146"/>
  <c r="E79"/>
  <c r="E80"/>
  <c r="E81"/>
  <c r="E82"/>
  <c r="E83"/>
  <c r="E84"/>
  <c r="E92"/>
  <c r="E103"/>
  <c r="E146"/>
  <c r="F79"/>
  <c r="F80"/>
  <c r="F81"/>
  <c r="F82"/>
  <c r="F84"/>
  <c r="F92"/>
  <c r="F103"/>
  <c r="F146"/>
  <c r="G79"/>
  <c r="G80"/>
  <c r="G81"/>
  <c r="G82"/>
  <c r="G83"/>
  <c r="G84"/>
  <c r="G92"/>
  <c r="G103"/>
  <c r="G146"/>
  <c r="H79"/>
  <c r="H80"/>
  <c r="H81"/>
  <c r="H82"/>
  <c r="H84"/>
  <c r="H92"/>
  <c r="H103"/>
  <c r="H146"/>
  <c r="I79"/>
  <c r="I80"/>
  <c r="I81"/>
  <c r="I82"/>
  <c r="I84"/>
  <c r="I92"/>
  <c r="I103"/>
  <c r="I146"/>
  <c r="J146"/>
  <c r="K79"/>
  <c r="K80"/>
  <c r="K81"/>
  <c r="K82"/>
  <c r="K84"/>
  <c r="K92"/>
  <c r="K103"/>
  <c r="K146"/>
  <c r="L79"/>
  <c r="L80"/>
  <c r="L81"/>
  <c r="L82"/>
  <c r="L83"/>
  <c r="L84"/>
  <c r="L92"/>
  <c r="L103"/>
  <c r="L146"/>
  <c r="N146"/>
  <c r="O79"/>
  <c r="O80"/>
  <c r="O81"/>
  <c r="O82"/>
  <c r="O84"/>
  <c r="O92"/>
  <c r="O103"/>
  <c r="O146"/>
  <c r="P146"/>
  <c r="Q79"/>
  <c r="Q80"/>
  <c r="Q81"/>
  <c r="Q82"/>
  <c r="Q83"/>
  <c r="Q84"/>
  <c r="Q92"/>
  <c r="J79"/>
  <c r="J80"/>
  <c r="J81"/>
  <c r="J82"/>
  <c r="J84"/>
  <c r="J92"/>
  <c r="N79"/>
  <c r="N80"/>
  <c r="N81"/>
  <c r="N82"/>
  <c r="N84"/>
  <c r="N92"/>
  <c r="P79"/>
  <c r="P80"/>
  <c r="P81"/>
  <c r="P82"/>
  <c r="P84"/>
  <c r="P92"/>
  <c r="R79"/>
  <c r="R80"/>
  <c r="R81"/>
  <c r="R82"/>
  <c r="R84"/>
  <c r="R92"/>
  <c r="S79"/>
  <c r="S80"/>
  <c r="S81"/>
  <c r="S82"/>
  <c r="S83"/>
  <c r="S84"/>
  <c r="S92"/>
  <c r="Q103"/>
  <c r="Q146"/>
  <c r="R103"/>
  <c r="R146"/>
  <c r="S103"/>
  <c r="S146"/>
  <c r="T146"/>
  <c r="J103"/>
  <c r="N103"/>
  <c r="P103"/>
  <c r="T103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M88"/>
  <c r="M99"/>
  <c r="M123"/>
  <c r="C49" a="1"/>
  <c r="C67"/>
  <c r="C79"/>
  <c r="C88"/>
  <c r="C99"/>
  <c r="C123"/>
  <c r="D88"/>
  <c r="D99"/>
  <c r="D123"/>
  <c r="E88"/>
  <c r="E99"/>
  <c r="E123"/>
  <c r="F88"/>
  <c r="F99"/>
  <c r="F123"/>
  <c r="G88"/>
  <c r="G99"/>
  <c r="G123"/>
  <c r="H88"/>
  <c r="H99"/>
  <c r="H123"/>
  <c r="I88"/>
  <c r="I99"/>
  <c r="I123"/>
  <c r="J88"/>
  <c r="J99"/>
  <c r="J123"/>
  <c r="K88"/>
  <c r="K99"/>
  <c r="K123"/>
  <c r="L88"/>
  <c r="L99"/>
  <c r="L123"/>
  <c r="N88"/>
  <c r="N99"/>
  <c r="N123"/>
  <c r="O88"/>
  <c r="O99"/>
  <c r="O123"/>
  <c r="P88"/>
  <c r="P99"/>
  <c r="P123"/>
  <c r="Q88"/>
  <c r="Q99"/>
  <c r="Q123"/>
  <c r="R88"/>
  <c r="R99"/>
  <c r="R123"/>
  <c r="S88"/>
  <c r="S99"/>
  <c r="S123"/>
  <c r="T123"/>
  <c r="D124"/>
  <c r="C124"/>
  <c r="E124"/>
  <c r="F124"/>
  <c r="G124"/>
  <c r="H124"/>
  <c r="I124"/>
  <c r="J124"/>
  <c r="K124"/>
  <c r="L124"/>
  <c r="M124"/>
  <c r="N124"/>
  <c r="O124"/>
  <c r="P124"/>
  <c r="Q124"/>
  <c r="R124"/>
  <c r="S124"/>
  <c r="T124"/>
  <c r="C129" i="287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C128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C126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C127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T100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C50" i="306" a="1"/>
  <c r="C68"/>
  <c r="C80"/>
  <c r="C89"/>
  <c r="C100"/>
  <c r="C130"/>
  <c r="D89"/>
  <c r="D100"/>
  <c r="D130"/>
  <c r="E89"/>
  <c r="E100"/>
  <c r="E130"/>
  <c r="F89"/>
  <c r="F100"/>
  <c r="F130"/>
  <c r="G89"/>
  <c r="G100"/>
  <c r="G130"/>
  <c r="H89"/>
  <c r="H100"/>
  <c r="H130"/>
  <c r="I89"/>
  <c r="I100"/>
  <c r="I130"/>
  <c r="J89"/>
  <c r="J100"/>
  <c r="J130"/>
  <c r="K89"/>
  <c r="K100"/>
  <c r="K130"/>
  <c r="L89"/>
  <c r="L100"/>
  <c r="L130"/>
  <c r="M89"/>
  <c r="M100"/>
  <c r="M130"/>
  <c r="N89"/>
  <c r="N100"/>
  <c r="N130"/>
  <c r="O89"/>
  <c r="O100"/>
  <c r="O130"/>
  <c r="P89"/>
  <c r="P100"/>
  <c r="P130"/>
  <c r="Q89"/>
  <c r="Q100"/>
  <c r="Q130"/>
  <c r="R89"/>
  <c r="R100"/>
  <c r="R130"/>
  <c r="S89"/>
  <c r="S100"/>
  <c r="S130"/>
  <c r="T130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T100"/>
  <c r="C125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C129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C126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C127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C128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D91"/>
  <c r="D102"/>
  <c r="D138"/>
  <c r="C52" a="1"/>
  <c r="C70"/>
  <c r="C82"/>
  <c r="C91"/>
  <c r="C102"/>
  <c r="C138"/>
  <c r="E91"/>
  <c r="E102"/>
  <c r="E138"/>
  <c r="F91"/>
  <c r="F102"/>
  <c r="F138"/>
  <c r="G91"/>
  <c r="G102"/>
  <c r="G138"/>
  <c r="H91"/>
  <c r="H102"/>
  <c r="H138"/>
  <c r="I91"/>
  <c r="I102"/>
  <c r="I138"/>
  <c r="J91"/>
  <c r="J102"/>
  <c r="J138"/>
  <c r="K91"/>
  <c r="K102"/>
  <c r="K138"/>
  <c r="L91"/>
  <c r="L102"/>
  <c r="L138"/>
  <c r="M91"/>
  <c r="M102"/>
  <c r="M138"/>
  <c r="N91"/>
  <c r="N102"/>
  <c r="N138"/>
  <c r="O91"/>
  <c r="O102"/>
  <c r="O138"/>
  <c r="P91"/>
  <c r="P102"/>
  <c r="P138"/>
  <c r="Q91"/>
  <c r="Q102"/>
  <c r="Q138"/>
  <c r="R91"/>
  <c r="R102"/>
  <c r="R138"/>
  <c r="S91"/>
  <c r="S102"/>
  <c r="S138"/>
  <c r="T138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76" i="305"/>
  <c r="V76"/>
  <c r="C140" i="306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L143"/>
  <c r="C143"/>
  <c r="D143"/>
  <c r="E143"/>
  <c r="F143"/>
  <c r="G143"/>
  <c r="H143"/>
  <c r="I143"/>
  <c r="J143"/>
  <c r="K143"/>
  <c r="M143"/>
  <c r="N143"/>
  <c r="O143"/>
  <c r="P143"/>
  <c r="Q143"/>
  <c r="R143"/>
  <c r="S143"/>
  <c r="T143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V72" i="305"/>
  <c r="U72"/>
  <c r="V73"/>
  <c r="U73"/>
  <c r="V74"/>
  <c r="U74"/>
  <c r="V75"/>
  <c r="U75"/>
  <c r="V77"/>
  <c r="U77"/>
  <c r="T102" i="306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62" i="305"/>
  <c r="V62"/>
  <c r="C121" i="306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D118"/>
  <c r="C118"/>
  <c r="E118"/>
  <c r="F118"/>
  <c r="G118"/>
  <c r="H118"/>
  <c r="I118"/>
  <c r="J118"/>
  <c r="K118"/>
  <c r="L118"/>
  <c r="M118"/>
  <c r="N118"/>
  <c r="O118"/>
  <c r="P118"/>
  <c r="Q118"/>
  <c r="R118"/>
  <c r="S118"/>
  <c r="T118"/>
  <c r="V58" i="305"/>
  <c r="U58"/>
  <c r="E90" i="306"/>
  <c r="E101"/>
  <c r="E136"/>
  <c r="C51" a="1"/>
  <c r="C69"/>
  <c r="C81"/>
  <c r="C90"/>
  <c r="C101"/>
  <c r="C136"/>
  <c r="D90"/>
  <c r="D101"/>
  <c r="D136"/>
  <c r="F90"/>
  <c r="F101"/>
  <c r="F136"/>
  <c r="G90"/>
  <c r="G101"/>
  <c r="G136"/>
  <c r="H90"/>
  <c r="H101"/>
  <c r="H136"/>
  <c r="I90"/>
  <c r="I101"/>
  <c r="I136"/>
  <c r="J90"/>
  <c r="J101"/>
  <c r="J136"/>
  <c r="K90"/>
  <c r="K101"/>
  <c r="K136"/>
  <c r="L90"/>
  <c r="L101"/>
  <c r="L136"/>
  <c r="M90"/>
  <c r="M101"/>
  <c r="M136"/>
  <c r="N90"/>
  <c r="N101"/>
  <c r="N136"/>
  <c r="O136"/>
  <c r="P90"/>
  <c r="P101"/>
  <c r="P136"/>
  <c r="Q90"/>
  <c r="Q101"/>
  <c r="Q136"/>
  <c r="R90"/>
  <c r="R101"/>
  <c r="R136"/>
  <c r="S90"/>
  <c r="S101"/>
  <c r="S136"/>
  <c r="T136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C134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C132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O90"/>
  <c r="O101"/>
  <c r="T101"/>
  <c r="T99"/>
  <c r="L148" i="287"/>
  <c r="C148"/>
  <c r="D148"/>
  <c r="E148"/>
  <c r="F148"/>
  <c r="G148"/>
  <c r="H148"/>
  <c r="I148"/>
  <c r="J148"/>
  <c r="K148"/>
  <c r="M148"/>
  <c r="N148"/>
  <c r="O148"/>
  <c r="P148"/>
  <c r="Q148"/>
  <c r="R148"/>
  <c r="S148"/>
  <c r="T148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L150"/>
  <c r="C150"/>
  <c r="D150"/>
  <c r="E150"/>
  <c r="F150"/>
  <c r="G150"/>
  <c r="H150"/>
  <c r="I150"/>
  <c r="J150"/>
  <c r="K150"/>
  <c r="M150"/>
  <c r="N150"/>
  <c r="O150"/>
  <c r="P150"/>
  <c r="Q150"/>
  <c r="R150"/>
  <c r="S150"/>
  <c r="T150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J103"/>
  <c r="N103"/>
  <c r="P103"/>
  <c r="T103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H62" i="32"/>
  <c r="H65"/>
  <c r="G73"/>
  <c r="J75"/>
  <c r="F80"/>
  <c r="M39" i="46"/>
  <c r="I39"/>
  <c r="G39"/>
  <c r="G62" i="32"/>
  <c r="G65"/>
  <c r="F73"/>
  <c r="I75"/>
  <c r="E80"/>
  <c r="L39" i="46"/>
  <c r="H39"/>
  <c r="F39"/>
  <c r="V195" i="287"/>
  <c r="AB75" i="288"/>
  <c r="AB75" i="305"/>
  <c r="V195" i="306"/>
  <c r="M271"/>
  <c r="D269"/>
  <c r="N270"/>
  <c r="H267"/>
  <c r="I267"/>
  <c r="J267"/>
  <c r="L267"/>
  <c r="M267"/>
  <c r="M269"/>
  <c r="Q267"/>
  <c r="H70" i="38"/>
  <c r="L70"/>
  <c r="H72"/>
  <c r="L72"/>
  <c r="H73"/>
  <c r="L73"/>
  <c r="H74"/>
  <c r="H71"/>
  <c r="J75"/>
  <c r="L74"/>
  <c r="L75"/>
  <c r="L81"/>
  <c r="H81"/>
  <c r="F91"/>
  <c r="M46" i="46"/>
  <c r="I46"/>
  <c r="G46"/>
  <c r="T49" i="306"/>
  <c r="T50"/>
  <c r="T51"/>
  <c r="T52"/>
  <c r="T53"/>
  <c r="T54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T104"/>
  <c r="C157" a="1"/>
  <c r="D157" a="1"/>
  <c r="E157" a="1"/>
  <c r="F157" a="1"/>
  <c r="G157" a="1"/>
  <c r="H157" a="1"/>
  <c r="I157" a="1"/>
  <c r="J157" a="1"/>
  <c r="K157" a="1"/>
  <c r="L157" a="1"/>
  <c r="M157" a="1"/>
  <c r="N157" a="1"/>
  <c r="O157" a="1"/>
  <c r="P157" a="1"/>
  <c r="Q157" a="1"/>
  <c r="R157" a="1"/>
  <c r="S157" a="1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C161" a="1"/>
  <c r="D161" a="1"/>
  <c r="E161" a="1"/>
  <c r="F161" a="1"/>
  <c r="G161" a="1"/>
  <c r="H161" a="1"/>
  <c r="I161" a="1"/>
  <c r="J161" a="1"/>
  <c r="K161" a="1"/>
  <c r="L161" a="1"/>
  <c r="M161" a="1"/>
  <c r="N161" a="1"/>
  <c r="O161" a="1"/>
  <c r="P161" a="1"/>
  <c r="Q161" a="1"/>
  <c r="R161" a="1"/>
  <c r="S161" a="1"/>
  <c r="T161"/>
  <c r="S161"/>
  <c r="R161"/>
  <c r="P161"/>
  <c r="O161"/>
  <c r="N161"/>
  <c r="M161"/>
  <c r="L161"/>
  <c r="K161"/>
  <c r="J161"/>
  <c r="I161"/>
  <c r="F161"/>
  <c r="E161"/>
  <c r="C161"/>
  <c r="Q158" a="1"/>
  <c r="Q164"/>
  <c r="Q185"/>
  <c r="Q221"/>
  <c r="Q159" a="1"/>
  <c r="Q165"/>
  <c r="Q191"/>
  <c r="Q222"/>
  <c r="Q160" a="1"/>
  <c r="Q166"/>
  <c r="Q199"/>
  <c r="Q223"/>
  <c r="Q184"/>
  <c r="Q212"/>
  <c r="Q190"/>
  <c r="Q213"/>
  <c r="Q198"/>
  <c r="Q214"/>
  <c r="Q167"/>
  <c r="Q205"/>
  <c r="Q215"/>
  <c r="D167"/>
  <c r="D200"/>
  <c r="D201"/>
  <c r="D202"/>
  <c r="D203"/>
  <c r="D204"/>
  <c r="D205"/>
  <c r="D206"/>
  <c r="D265"/>
  <c r="D271"/>
  <c r="G167"/>
  <c r="G200"/>
  <c r="G201"/>
  <c r="G202"/>
  <c r="G203"/>
  <c r="G204"/>
  <c r="G205"/>
  <c r="G206"/>
  <c r="G265"/>
  <c r="G271"/>
  <c r="Q200"/>
  <c r="Q201"/>
  <c r="Q202"/>
  <c r="Q203"/>
  <c r="Q204"/>
  <c r="Q206"/>
  <c r="Q265"/>
  <c r="Q271"/>
  <c r="Q224"/>
  <c r="P129" i="305"/>
  <c r="P128"/>
  <c r="J103" i="285"/>
  <c r="J104"/>
  <c r="H167" i="306"/>
  <c r="H200"/>
  <c r="H201"/>
  <c r="H202"/>
  <c r="H203"/>
  <c r="H204"/>
  <c r="H205"/>
  <c r="H206"/>
  <c r="H265"/>
  <c r="G10" i="298"/>
  <c r="J10"/>
  <c r="R10"/>
  <c r="G12"/>
  <c r="J12"/>
  <c r="R12"/>
  <c r="G13"/>
  <c r="J13"/>
  <c r="R13"/>
  <c r="G18"/>
  <c r="J18"/>
  <c r="G21"/>
  <c r="J21"/>
  <c r="Q161" i="306"/>
  <c r="G22" i="298"/>
  <c r="J22"/>
  <c r="G23"/>
  <c r="J23"/>
  <c r="D215" i="306"/>
  <c r="D224"/>
  <c r="D161"/>
  <c r="H215"/>
  <c r="G215"/>
  <c r="H224"/>
  <c r="H161"/>
  <c r="G224"/>
  <c r="G161"/>
  <c r="F158" a="1"/>
  <c r="F164"/>
  <c r="F185"/>
  <c r="F221"/>
  <c r="H158" a="1"/>
  <c r="H164"/>
  <c r="H185"/>
  <c r="H221"/>
  <c r="I158" a="1"/>
  <c r="I164"/>
  <c r="I185"/>
  <c r="I221"/>
  <c r="J158" a="1"/>
  <c r="J164"/>
  <c r="J185"/>
  <c r="J221"/>
  <c r="K158" a="1"/>
  <c r="K164"/>
  <c r="K185"/>
  <c r="K221"/>
  <c r="N158" a="1"/>
  <c r="N164"/>
  <c r="N185"/>
  <c r="N221"/>
  <c r="P158" a="1"/>
  <c r="P164"/>
  <c r="P185"/>
  <c r="P221"/>
  <c r="R158" a="1"/>
  <c r="R164"/>
  <c r="R185"/>
  <c r="R221"/>
  <c r="S158" a="1"/>
  <c r="S164"/>
  <c r="S185"/>
  <c r="S221"/>
  <c r="F184"/>
  <c r="F212"/>
  <c r="H184"/>
  <c r="H212"/>
  <c r="I184"/>
  <c r="I212"/>
  <c r="J184"/>
  <c r="J212"/>
  <c r="K184"/>
  <c r="K212"/>
  <c r="N184"/>
  <c r="N212"/>
  <c r="P184"/>
  <c r="P212"/>
  <c r="R184"/>
  <c r="R212"/>
  <c r="S184"/>
  <c r="S212"/>
  <c r="P179"/>
  <c r="H10" i="26"/>
  <c r="Q180" i="306"/>
  <c r="H22" i="26"/>
  <c r="P180" i="306"/>
  <c r="H21" i="26"/>
  <c r="P181" i="306"/>
  <c r="P182"/>
  <c r="P183"/>
  <c r="P262"/>
  <c r="P268"/>
  <c r="Q179"/>
  <c r="Q181"/>
  <c r="Q182"/>
  <c r="Q183"/>
  <c r="Q262"/>
  <c r="Q268"/>
  <c r="F160" a="1"/>
  <c r="F166"/>
  <c r="F198"/>
  <c r="F214"/>
  <c r="R160" a="1"/>
  <c r="R166"/>
  <c r="R198"/>
  <c r="R214"/>
  <c r="S160" a="1"/>
  <c r="S166"/>
  <c r="S198"/>
  <c r="S214"/>
  <c r="F199"/>
  <c r="F223"/>
  <c r="R199"/>
  <c r="R223"/>
  <c r="S199"/>
  <c r="S223"/>
  <c r="F179"/>
  <c r="F180"/>
  <c r="F181"/>
  <c r="F182"/>
  <c r="F183"/>
  <c r="F262"/>
  <c r="I179"/>
  <c r="I180"/>
  <c r="I181"/>
  <c r="I182"/>
  <c r="I183"/>
  <c r="I262"/>
  <c r="J179"/>
  <c r="J180"/>
  <c r="J181"/>
  <c r="J182"/>
  <c r="J183"/>
  <c r="J262"/>
  <c r="N179"/>
  <c r="N180"/>
  <c r="N181"/>
  <c r="N182"/>
  <c r="N183"/>
  <c r="N262"/>
  <c r="R179"/>
  <c r="R180"/>
  <c r="R181"/>
  <c r="R182"/>
  <c r="R183"/>
  <c r="R262"/>
  <c r="F192"/>
  <c r="F193"/>
  <c r="F194"/>
  <c r="F195"/>
  <c r="F196"/>
  <c r="F197"/>
  <c r="F264"/>
  <c r="I160" a="1"/>
  <c r="I166"/>
  <c r="I192"/>
  <c r="I193"/>
  <c r="I194"/>
  <c r="I195"/>
  <c r="I196"/>
  <c r="I197"/>
  <c r="I198"/>
  <c r="I199"/>
  <c r="I264"/>
  <c r="J160" a="1"/>
  <c r="J166"/>
  <c r="J192"/>
  <c r="J193"/>
  <c r="J194"/>
  <c r="J195"/>
  <c r="J196"/>
  <c r="J197"/>
  <c r="J198"/>
  <c r="J199"/>
  <c r="J264"/>
  <c r="K160" a="1"/>
  <c r="K166"/>
  <c r="K192"/>
  <c r="K193"/>
  <c r="K194"/>
  <c r="K195"/>
  <c r="K196"/>
  <c r="K197"/>
  <c r="K198"/>
  <c r="K199"/>
  <c r="K264"/>
  <c r="P160" a="1"/>
  <c r="P166"/>
  <c r="P192"/>
  <c r="P193"/>
  <c r="P194"/>
  <c r="P195"/>
  <c r="P196"/>
  <c r="P197"/>
  <c r="P198"/>
  <c r="P199"/>
  <c r="P264"/>
  <c r="R192"/>
  <c r="R193"/>
  <c r="R194"/>
  <c r="R195"/>
  <c r="R196"/>
  <c r="R197"/>
  <c r="R264"/>
  <c r="H268"/>
  <c r="H179"/>
  <c r="H180"/>
  <c r="H181"/>
  <c r="H182"/>
  <c r="H183"/>
  <c r="H262"/>
  <c r="K268"/>
  <c r="K179"/>
  <c r="K180"/>
  <c r="K181"/>
  <c r="K182"/>
  <c r="K183"/>
  <c r="K262"/>
  <c r="S179"/>
  <c r="S180"/>
  <c r="S181"/>
  <c r="S182"/>
  <c r="S183"/>
  <c r="S262"/>
  <c r="S268"/>
  <c r="Q269"/>
  <c r="Q186"/>
  <c r="Q187"/>
  <c r="Q188"/>
  <c r="Q189"/>
  <c r="Q263"/>
  <c r="Q192"/>
  <c r="Q193"/>
  <c r="Q194"/>
  <c r="Q195"/>
  <c r="Q196"/>
  <c r="Q197"/>
  <c r="Q264"/>
  <c r="Q270"/>
  <c r="S192"/>
  <c r="S193"/>
  <c r="S194"/>
  <c r="S195"/>
  <c r="S196"/>
  <c r="S197"/>
  <c r="S264"/>
  <c r="S270"/>
  <c r="Y265"/>
  <c r="Y263"/>
  <c r="P223"/>
  <c r="K223"/>
  <c r="J223"/>
  <c r="I223"/>
  <c r="P214"/>
  <c r="K214"/>
  <c r="J214"/>
  <c r="I214"/>
  <c r="T67"/>
  <c r="T88"/>
  <c r="T108"/>
  <c r="C158" a="1"/>
  <c r="D158" a="1"/>
  <c r="E158" a="1"/>
  <c r="G158" a="1"/>
  <c r="L158" a="1"/>
  <c r="M158" a="1"/>
  <c r="O158" a="1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C159" a="1"/>
  <c r="D159" a="1"/>
  <c r="E159" a="1"/>
  <c r="F159" a="1"/>
  <c r="G159" a="1"/>
  <c r="H159" a="1"/>
  <c r="I159" a="1"/>
  <c r="J159" a="1"/>
  <c r="K159" a="1"/>
  <c r="L159" a="1"/>
  <c r="M159" a="1"/>
  <c r="N159" a="1"/>
  <c r="O159" a="1"/>
  <c r="P159" a="1"/>
  <c r="R159" a="1"/>
  <c r="S159" a="1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C160" a="1"/>
  <c r="D160" a="1"/>
  <c r="E160" a="1"/>
  <c r="G160" a="1"/>
  <c r="H160" a="1"/>
  <c r="L160" a="1"/>
  <c r="M160" a="1"/>
  <c r="N160" a="1"/>
  <c r="O160" a="1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V92"/>
  <c r="T112"/>
  <c r="T92"/>
  <c r="R271"/>
  <c r="P271"/>
  <c r="O271"/>
  <c r="N271"/>
  <c r="J271"/>
  <c r="I271"/>
  <c r="H271"/>
  <c r="F271"/>
  <c r="R270"/>
  <c r="P270"/>
  <c r="K270"/>
  <c r="J270"/>
  <c r="I270"/>
  <c r="H270"/>
  <c r="G270"/>
  <c r="F270"/>
  <c r="R269"/>
  <c r="P269"/>
  <c r="O269"/>
  <c r="N269"/>
  <c r="K269"/>
  <c r="J269"/>
  <c r="I269"/>
  <c r="H269"/>
  <c r="G269"/>
  <c r="F269"/>
  <c r="R268"/>
  <c r="O268"/>
  <c r="N268"/>
  <c r="J268"/>
  <c r="I268"/>
  <c r="F268"/>
  <c r="R267"/>
  <c r="P267"/>
  <c r="O267"/>
  <c r="N267"/>
  <c r="K267"/>
  <c r="F267"/>
  <c r="U103"/>
  <c r="U112"/>
  <c r="S112"/>
  <c r="R112"/>
  <c r="Q112"/>
  <c r="P112"/>
  <c r="O112"/>
  <c r="N112"/>
  <c r="M112"/>
  <c r="L112"/>
  <c r="K112"/>
  <c r="J112"/>
  <c r="I112"/>
  <c r="H112"/>
  <c r="G112"/>
  <c r="F112"/>
  <c r="E112"/>
  <c r="D112"/>
  <c r="U102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U101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U100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U99"/>
  <c r="U108"/>
  <c r="S108"/>
  <c r="R108"/>
  <c r="Q108"/>
  <c r="P108"/>
  <c r="O108"/>
  <c r="N108"/>
  <c r="M108"/>
  <c r="L108"/>
  <c r="K108"/>
  <c r="J108"/>
  <c r="I108"/>
  <c r="H108"/>
  <c r="G108"/>
  <c r="F108"/>
  <c r="E108"/>
  <c r="D108"/>
  <c r="T91"/>
  <c r="T90"/>
  <c r="T89"/>
  <c r="D67"/>
  <c r="T81" a="1"/>
  <c r="U81"/>
  <c r="T81"/>
  <c r="T82" a="1"/>
  <c r="U82"/>
  <c r="T82"/>
  <c r="T79" a="1"/>
  <c r="U79"/>
  <c r="T79"/>
  <c r="O270" i="287"/>
  <c r="M271"/>
  <c r="N270"/>
  <c r="H267"/>
  <c r="I267"/>
  <c r="J267"/>
  <c r="C158" a="1"/>
  <c r="D158" a="1"/>
  <c r="E158" a="1"/>
  <c r="F158" a="1"/>
  <c r="G158" a="1"/>
  <c r="H158" a="1"/>
  <c r="I158" a="1"/>
  <c r="J158" a="1"/>
  <c r="K158" a="1"/>
  <c r="L158" a="1"/>
  <c r="M158" a="1"/>
  <c r="N158" a="1"/>
  <c r="O158" a="1"/>
  <c r="P158" a="1"/>
  <c r="Q158" a="1"/>
  <c r="R158" a="1"/>
  <c r="S158" a="1"/>
  <c r="T158"/>
  <c r="O158"/>
  <c r="M158"/>
  <c r="L158"/>
  <c r="E158"/>
  <c r="D158"/>
  <c r="C158"/>
  <c r="C160" a="1"/>
  <c r="D160" a="1"/>
  <c r="E160" a="1"/>
  <c r="F160" a="1"/>
  <c r="G160" a="1"/>
  <c r="H160" a="1"/>
  <c r="I160" a="1"/>
  <c r="J160" a="1"/>
  <c r="K160" a="1"/>
  <c r="L160" a="1"/>
  <c r="M160" a="1"/>
  <c r="N160" a="1"/>
  <c r="O160" a="1"/>
  <c r="P160" a="1"/>
  <c r="Q160" a="1"/>
  <c r="R160" a="1"/>
  <c r="S160" a="1"/>
  <c r="T160"/>
  <c r="O160"/>
  <c r="N160"/>
  <c r="M160"/>
  <c r="L160"/>
  <c r="H160"/>
  <c r="G160"/>
  <c r="E160"/>
  <c r="D160"/>
  <c r="C160"/>
  <c r="C159" a="1"/>
  <c r="D159" a="1"/>
  <c r="E159" a="1"/>
  <c r="F159" a="1"/>
  <c r="G159" a="1"/>
  <c r="H159" a="1"/>
  <c r="I159" a="1"/>
  <c r="J159" a="1"/>
  <c r="K159" a="1"/>
  <c r="L159" a="1"/>
  <c r="M159" a="1"/>
  <c r="N159" a="1"/>
  <c r="O159" a="1"/>
  <c r="P159" a="1"/>
  <c r="Q159" a="1"/>
  <c r="R159" a="1"/>
  <c r="S159" a="1"/>
  <c r="T159"/>
  <c r="O159"/>
  <c r="M159"/>
  <c r="E159"/>
  <c r="C159"/>
  <c r="T49"/>
  <c r="T108"/>
  <c r="T88"/>
  <c r="T67"/>
  <c r="I166"/>
  <c r="I199"/>
  <c r="I223"/>
  <c r="J166"/>
  <c r="J199"/>
  <c r="J223"/>
  <c r="K166"/>
  <c r="K199"/>
  <c r="K223"/>
  <c r="P166"/>
  <c r="P199"/>
  <c r="P223"/>
  <c r="Q166"/>
  <c r="Q199"/>
  <c r="Q223"/>
  <c r="R166"/>
  <c r="R199"/>
  <c r="R223"/>
  <c r="S166"/>
  <c r="S199"/>
  <c r="S223"/>
  <c r="L165"/>
  <c r="L186"/>
  <c r="F10" i="6"/>
  <c r="H165" i="287"/>
  <c r="H186"/>
  <c r="F9" i="6"/>
  <c r="G165" i="287"/>
  <c r="G186"/>
  <c r="F8" i="6"/>
  <c r="D165" i="287"/>
  <c r="D186"/>
  <c r="F7" i="6"/>
  <c r="S165" i="287"/>
  <c r="S190"/>
  <c r="S213"/>
  <c r="R165"/>
  <c r="R190"/>
  <c r="R213"/>
  <c r="Q165"/>
  <c r="Q190"/>
  <c r="Q213"/>
  <c r="P165"/>
  <c r="P190"/>
  <c r="P213"/>
  <c r="N165"/>
  <c r="N190"/>
  <c r="N213"/>
  <c r="L190"/>
  <c r="L213"/>
  <c r="K165"/>
  <c r="K190"/>
  <c r="K213"/>
  <c r="J165"/>
  <c r="J190"/>
  <c r="J213"/>
  <c r="I165"/>
  <c r="I190"/>
  <c r="I213"/>
  <c r="H190"/>
  <c r="H213"/>
  <c r="G190"/>
  <c r="G213"/>
  <c r="D190"/>
  <c r="D213"/>
  <c r="S191"/>
  <c r="S222"/>
  <c r="R191"/>
  <c r="R222"/>
  <c r="Q191"/>
  <c r="Q222"/>
  <c r="P191"/>
  <c r="P222"/>
  <c r="N191"/>
  <c r="N222"/>
  <c r="L191"/>
  <c r="L222"/>
  <c r="K191"/>
  <c r="K222"/>
  <c r="J191"/>
  <c r="J222"/>
  <c r="I191"/>
  <c r="I222"/>
  <c r="H191"/>
  <c r="H222"/>
  <c r="G191"/>
  <c r="G222"/>
  <c r="D191"/>
  <c r="D222"/>
  <c r="L187"/>
  <c r="F20" i="6"/>
  <c r="L189" i="287"/>
  <c r="F38" i="6"/>
  <c r="H38"/>
  <c r="L188" i="287"/>
  <c r="F28" i="6"/>
  <c r="P164" i="287"/>
  <c r="P180"/>
  <c r="G21" i="26"/>
  <c r="D187" i="287"/>
  <c r="F17" i="6"/>
  <c r="D188" i="287"/>
  <c r="F27" i="6"/>
  <c r="D189" i="287"/>
  <c r="F35" i="6"/>
  <c r="H35"/>
  <c r="Q164" i="287"/>
  <c r="Q180"/>
  <c r="G22" i="26"/>
  <c r="G164" i="287"/>
  <c r="G180"/>
  <c r="G19" i="26"/>
  <c r="G181" i="287"/>
  <c r="G30" i="26"/>
  <c r="H187" i="287"/>
  <c r="F19" i="6"/>
  <c r="H189" i="287"/>
  <c r="F37" i="6"/>
  <c r="H37"/>
  <c r="G187" i="287"/>
  <c r="F18" i="6"/>
  <c r="F165" i="287"/>
  <c r="F186"/>
  <c r="F187"/>
  <c r="F188"/>
  <c r="F189"/>
  <c r="F190"/>
  <c r="F191"/>
  <c r="F263"/>
  <c r="P192"/>
  <c r="P193"/>
  <c r="P194"/>
  <c r="P195"/>
  <c r="P196"/>
  <c r="P197"/>
  <c r="P198"/>
  <c r="P264"/>
  <c r="L263"/>
  <c r="L269"/>
  <c r="L159"/>
  <c r="P186"/>
  <c r="P187"/>
  <c r="P188"/>
  <c r="P189"/>
  <c r="P263"/>
  <c r="P159"/>
  <c r="N186"/>
  <c r="N187"/>
  <c r="N188"/>
  <c r="N189"/>
  <c r="N263"/>
  <c r="N159"/>
  <c r="K192"/>
  <c r="K193"/>
  <c r="K194"/>
  <c r="K195"/>
  <c r="K196"/>
  <c r="K197"/>
  <c r="K198"/>
  <c r="K264"/>
  <c r="R164"/>
  <c r="R179"/>
  <c r="R180"/>
  <c r="R181"/>
  <c r="R182"/>
  <c r="R183"/>
  <c r="R184"/>
  <c r="R185"/>
  <c r="R262"/>
  <c r="F164"/>
  <c r="F179"/>
  <c r="F180"/>
  <c r="F181"/>
  <c r="F182"/>
  <c r="F183"/>
  <c r="F184"/>
  <c r="F185"/>
  <c r="F262"/>
  <c r="H188"/>
  <c r="H263"/>
  <c r="H159"/>
  <c r="D263"/>
  <c r="D269"/>
  <c r="D159"/>
  <c r="I192"/>
  <c r="I193"/>
  <c r="I194"/>
  <c r="I195"/>
  <c r="I196"/>
  <c r="I197"/>
  <c r="I198"/>
  <c r="I264"/>
  <c r="K164"/>
  <c r="K179"/>
  <c r="K180"/>
  <c r="K181"/>
  <c r="K182"/>
  <c r="K183"/>
  <c r="K184"/>
  <c r="K185"/>
  <c r="K262"/>
  <c r="K268"/>
  <c r="S198"/>
  <c r="S214"/>
  <c r="H268"/>
  <c r="H164"/>
  <c r="H179"/>
  <c r="H180"/>
  <c r="H181"/>
  <c r="H182"/>
  <c r="H183"/>
  <c r="H184"/>
  <c r="H185"/>
  <c r="H262"/>
  <c r="R198"/>
  <c r="R214"/>
  <c r="Q198"/>
  <c r="Q214"/>
  <c r="F166"/>
  <c r="F192"/>
  <c r="F193"/>
  <c r="F194"/>
  <c r="F195"/>
  <c r="F196"/>
  <c r="F197"/>
  <c r="F198"/>
  <c r="F199"/>
  <c r="F264"/>
  <c r="R186"/>
  <c r="R187"/>
  <c r="R188"/>
  <c r="R189"/>
  <c r="R263"/>
  <c r="R159"/>
  <c r="J192"/>
  <c r="J193"/>
  <c r="J194"/>
  <c r="J195"/>
  <c r="J196"/>
  <c r="J197"/>
  <c r="J198"/>
  <c r="J264"/>
  <c r="Q192"/>
  <c r="Q193"/>
  <c r="Q194"/>
  <c r="Q195"/>
  <c r="Q196"/>
  <c r="Q197"/>
  <c r="Q264"/>
  <c r="Q270"/>
  <c r="Q160"/>
  <c r="J164"/>
  <c r="J179"/>
  <c r="J180"/>
  <c r="J181"/>
  <c r="J182"/>
  <c r="J183"/>
  <c r="J184"/>
  <c r="J185"/>
  <c r="J262"/>
  <c r="R192"/>
  <c r="R193"/>
  <c r="R194"/>
  <c r="R195"/>
  <c r="R196"/>
  <c r="R197"/>
  <c r="R264"/>
  <c r="R160"/>
  <c r="I164"/>
  <c r="I179"/>
  <c r="I180"/>
  <c r="I181"/>
  <c r="I182"/>
  <c r="I183"/>
  <c r="I184"/>
  <c r="I185"/>
  <c r="I262"/>
  <c r="F157" a="1"/>
  <c r="F163"/>
  <c r="F172"/>
  <c r="F173"/>
  <c r="F174"/>
  <c r="F175"/>
  <c r="F176"/>
  <c r="F177"/>
  <c r="F178"/>
  <c r="F261"/>
  <c r="N164"/>
  <c r="N179"/>
  <c r="N180"/>
  <c r="N181"/>
  <c r="N182"/>
  <c r="N183"/>
  <c r="N184"/>
  <c r="N185"/>
  <c r="N262"/>
  <c r="I186"/>
  <c r="I187"/>
  <c r="I188"/>
  <c r="I189"/>
  <c r="I263"/>
  <c r="I159"/>
  <c r="Q186"/>
  <c r="Q187"/>
  <c r="Q188"/>
  <c r="Q189"/>
  <c r="Q263"/>
  <c r="Q269"/>
  <c r="Q159"/>
  <c r="G188"/>
  <c r="G189"/>
  <c r="G263"/>
  <c r="G159"/>
  <c r="J186"/>
  <c r="J187"/>
  <c r="J188"/>
  <c r="J189"/>
  <c r="J263"/>
  <c r="J159"/>
  <c r="K186"/>
  <c r="K187"/>
  <c r="K188"/>
  <c r="K189"/>
  <c r="K263"/>
  <c r="K159"/>
  <c r="S186"/>
  <c r="S187"/>
  <c r="S188"/>
  <c r="S189"/>
  <c r="S263"/>
  <c r="S269"/>
  <c r="S192"/>
  <c r="S193"/>
  <c r="S194"/>
  <c r="S195"/>
  <c r="S196"/>
  <c r="S197"/>
  <c r="S264"/>
  <c r="S270"/>
  <c r="S164"/>
  <c r="S179"/>
  <c r="S180"/>
  <c r="S181"/>
  <c r="S182"/>
  <c r="S183"/>
  <c r="S184"/>
  <c r="S185"/>
  <c r="S262"/>
  <c r="S268"/>
  <c r="Y262"/>
  <c r="S159"/>
  <c r="Y263"/>
  <c r="S160"/>
  <c r="Y265"/>
  <c r="J214"/>
  <c r="J160"/>
  <c r="P214"/>
  <c r="P160"/>
  <c r="I214"/>
  <c r="I160"/>
  <c r="K214"/>
  <c r="K160"/>
  <c r="G179"/>
  <c r="G182"/>
  <c r="G183"/>
  <c r="G184"/>
  <c r="G185"/>
  <c r="G262"/>
  <c r="G268"/>
  <c r="P179"/>
  <c r="P181"/>
  <c r="P182"/>
  <c r="P183"/>
  <c r="P184"/>
  <c r="P185"/>
  <c r="P262"/>
  <c r="P268"/>
  <c r="Q179"/>
  <c r="Q181"/>
  <c r="Q182"/>
  <c r="Q183"/>
  <c r="Q184"/>
  <c r="Q185"/>
  <c r="Q262"/>
  <c r="Q268"/>
  <c r="G10" i="26"/>
  <c r="G8"/>
  <c r="S212" i="287"/>
  <c r="R212"/>
  <c r="Q212"/>
  <c r="P212"/>
  <c r="N212"/>
  <c r="K212"/>
  <c r="J212"/>
  <c r="I212"/>
  <c r="H212"/>
  <c r="G212"/>
  <c r="S221"/>
  <c r="S158"/>
  <c r="R221"/>
  <c r="R158"/>
  <c r="Q221"/>
  <c r="Q158"/>
  <c r="P221"/>
  <c r="P158"/>
  <c r="N221"/>
  <c r="N158"/>
  <c r="K221"/>
  <c r="K158"/>
  <c r="J221"/>
  <c r="J158"/>
  <c r="I221"/>
  <c r="I158"/>
  <c r="H221"/>
  <c r="H158"/>
  <c r="G221"/>
  <c r="G49" i="26"/>
  <c r="G158" i="287"/>
  <c r="I161" a="1"/>
  <c r="I167"/>
  <c r="I206"/>
  <c r="I224"/>
  <c r="J161" a="1"/>
  <c r="J167"/>
  <c r="J206"/>
  <c r="J224"/>
  <c r="K161" a="1"/>
  <c r="K167"/>
  <c r="K206"/>
  <c r="K224"/>
  <c r="N161" a="1"/>
  <c r="N167"/>
  <c r="N206"/>
  <c r="N224"/>
  <c r="P161" a="1"/>
  <c r="P167"/>
  <c r="P206"/>
  <c r="P224"/>
  <c r="R161" a="1"/>
  <c r="R167"/>
  <c r="R206"/>
  <c r="R224"/>
  <c r="S161" a="1"/>
  <c r="S167"/>
  <c r="S206"/>
  <c r="S224"/>
  <c r="I205"/>
  <c r="I215"/>
  <c r="J205"/>
  <c r="J215"/>
  <c r="K205"/>
  <c r="K215"/>
  <c r="N205"/>
  <c r="N215"/>
  <c r="P205"/>
  <c r="P215"/>
  <c r="R205"/>
  <c r="R215"/>
  <c r="S205"/>
  <c r="S215"/>
  <c r="S200"/>
  <c r="S201"/>
  <c r="S202"/>
  <c r="S203"/>
  <c r="S204"/>
  <c r="S265"/>
  <c r="Y264"/>
  <c r="S271"/>
  <c r="F211"/>
  <c r="F212"/>
  <c r="F213"/>
  <c r="F214"/>
  <c r="F161" a="1"/>
  <c r="F167"/>
  <c r="F205"/>
  <c r="F215"/>
  <c r="F216"/>
  <c r="I200"/>
  <c r="I201"/>
  <c r="I202"/>
  <c r="I203"/>
  <c r="I204"/>
  <c r="I265"/>
  <c r="R200"/>
  <c r="R201"/>
  <c r="R202"/>
  <c r="R203"/>
  <c r="R204"/>
  <c r="R265"/>
  <c r="J200"/>
  <c r="J201"/>
  <c r="J202"/>
  <c r="J203"/>
  <c r="J204"/>
  <c r="J265"/>
  <c r="N200"/>
  <c r="N201"/>
  <c r="N202"/>
  <c r="N203"/>
  <c r="N204"/>
  <c r="N265"/>
  <c r="F200"/>
  <c r="F201"/>
  <c r="F202"/>
  <c r="F203"/>
  <c r="F204"/>
  <c r="F206"/>
  <c r="F265"/>
  <c r="F220"/>
  <c r="F221"/>
  <c r="F222"/>
  <c r="F223"/>
  <c r="F224"/>
  <c r="F225"/>
  <c r="F160"/>
  <c r="F159"/>
  <c r="F158"/>
  <c r="P200"/>
  <c r="P201"/>
  <c r="P202"/>
  <c r="P203"/>
  <c r="P204"/>
  <c r="P265"/>
  <c r="K200"/>
  <c r="K201"/>
  <c r="K202"/>
  <c r="K203"/>
  <c r="K204"/>
  <c r="K265"/>
  <c r="K271"/>
  <c r="T50"/>
  <c r="T51"/>
  <c r="T52"/>
  <c r="T53"/>
  <c r="T54"/>
  <c r="T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T104"/>
  <c r="T112"/>
  <c r="C157" a="1"/>
  <c r="D157" a="1"/>
  <c r="E157" a="1"/>
  <c r="G157" a="1"/>
  <c r="H157" a="1"/>
  <c r="I157" a="1"/>
  <c r="J157" a="1"/>
  <c r="K157" a="1"/>
  <c r="L157" a="1"/>
  <c r="M157" a="1"/>
  <c r="N157" a="1"/>
  <c r="O157" a="1"/>
  <c r="P157" a="1"/>
  <c r="Q157" a="1"/>
  <c r="R157" a="1"/>
  <c r="S157" a="1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C161" a="1"/>
  <c r="D161" a="1"/>
  <c r="E161" a="1"/>
  <c r="G161" a="1"/>
  <c r="H161" a="1"/>
  <c r="L161" a="1"/>
  <c r="M161" a="1"/>
  <c r="O161" a="1"/>
  <c r="Q161" a="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S108"/>
  <c r="T109"/>
  <c r="T111"/>
  <c r="T110"/>
  <c r="Q112"/>
  <c r="U103"/>
  <c r="U112"/>
  <c r="N108"/>
  <c r="N267"/>
  <c r="R108"/>
  <c r="R267"/>
  <c r="U101"/>
  <c r="U110"/>
  <c r="D110"/>
  <c r="K108"/>
  <c r="K267"/>
  <c r="M108"/>
  <c r="L108"/>
  <c r="U100"/>
  <c r="U109"/>
  <c r="D109"/>
  <c r="D108"/>
  <c r="U99"/>
  <c r="U108"/>
  <c r="D112"/>
  <c r="U102"/>
  <c r="U111"/>
  <c r="D111"/>
  <c r="S112"/>
  <c r="J108"/>
  <c r="F267"/>
  <c r="F108"/>
  <c r="P108"/>
  <c r="P267"/>
  <c r="Q267"/>
  <c r="Q108"/>
  <c r="T89"/>
  <c r="M112"/>
  <c r="Q110"/>
  <c r="L112"/>
  <c r="P109"/>
  <c r="K112"/>
  <c r="I108"/>
  <c r="S110"/>
  <c r="F271"/>
  <c r="F112"/>
  <c r="N268"/>
  <c r="N109"/>
  <c r="M110"/>
  <c r="Q111"/>
  <c r="N111"/>
  <c r="J270"/>
  <c r="J111"/>
  <c r="L110"/>
  <c r="P271"/>
  <c r="P112"/>
  <c r="K270"/>
  <c r="K111"/>
  <c r="S111"/>
  <c r="T90"/>
  <c r="F270"/>
  <c r="F111"/>
  <c r="N269"/>
  <c r="N110"/>
  <c r="J109"/>
  <c r="J268"/>
  <c r="L111"/>
  <c r="P110"/>
  <c r="P269"/>
  <c r="R109"/>
  <c r="R268"/>
  <c r="G267"/>
  <c r="G108"/>
  <c r="F110"/>
  <c r="F269"/>
  <c r="T91"/>
  <c r="N112"/>
  <c r="N271"/>
  <c r="J110"/>
  <c r="J269"/>
  <c r="P111"/>
  <c r="P270"/>
  <c r="R112"/>
  <c r="R271"/>
  <c r="L109"/>
  <c r="E108"/>
  <c r="K110"/>
  <c r="K269"/>
  <c r="F268"/>
  <c r="F109"/>
  <c r="M109"/>
  <c r="Q109"/>
  <c r="J112"/>
  <c r="J271"/>
  <c r="O108"/>
  <c r="O267"/>
  <c r="R110"/>
  <c r="R269"/>
  <c r="H108"/>
  <c r="K109"/>
  <c r="M111"/>
  <c r="R111"/>
  <c r="R270"/>
  <c r="E109"/>
  <c r="S109"/>
  <c r="G109"/>
  <c r="E110"/>
  <c r="I268"/>
  <c r="I109"/>
  <c r="G112"/>
  <c r="G110"/>
  <c r="G269"/>
  <c r="O268"/>
  <c r="O109"/>
  <c r="O111"/>
  <c r="G111"/>
  <c r="G270"/>
  <c r="I270"/>
  <c r="I111"/>
  <c r="H271"/>
  <c r="H112"/>
  <c r="O269"/>
  <c r="O110"/>
  <c r="E112"/>
  <c r="I112"/>
  <c r="I271"/>
  <c r="H109"/>
  <c r="O271"/>
  <c r="O112"/>
  <c r="I269"/>
  <c r="I110"/>
  <c r="H270"/>
  <c r="H111"/>
  <c r="E111"/>
  <c r="H110"/>
  <c r="H269"/>
  <c r="D67"/>
  <c r="V92"/>
  <c r="G70" i="38"/>
  <c r="K70"/>
  <c r="G72"/>
  <c r="K72"/>
  <c r="G73"/>
  <c r="K73"/>
  <c r="G74"/>
  <c r="G71"/>
  <c r="I75"/>
  <c r="K74"/>
  <c r="K75"/>
  <c r="K81"/>
  <c r="G81"/>
  <c r="E91"/>
  <c r="L46" i="46"/>
  <c r="H46"/>
  <c r="F46"/>
  <c r="T83" i="287" a="1"/>
  <c r="U83"/>
  <c r="T83"/>
  <c r="C108" i="306"/>
  <c r="C84"/>
  <c r="F75" i="32"/>
  <c r="J73"/>
  <c r="C108" i="287"/>
  <c r="C112"/>
  <c r="I71" i="32"/>
  <c r="J71"/>
  <c r="I72"/>
  <c r="J72"/>
  <c r="I73"/>
  <c r="T71" i="287"/>
  <c r="V199"/>
  <c r="V198"/>
  <c r="V197"/>
  <c r="G71"/>
  <c r="E68"/>
  <c r="G68"/>
  <c r="L67"/>
  <c r="P68"/>
  <c r="M68"/>
  <c r="T69"/>
  <c r="L71"/>
  <c r="T70"/>
  <c r="M67"/>
  <c r="D71"/>
  <c r="L70"/>
  <c r="K68"/>
  <c r="E67"/>
  <c r="E71"/>
  <c r="S68"/>
  <c r="S70"/>
  <c r="K71"/>
  <c r="E69"/>
  <c r="D69"/>
  <c r="S67"/>
  <c r="D70"/>
  <c r="S69"/>
  <c r="Q68"/>
  <c r="S71"/>
  <c r="D68"/>
  <c r="M69"/>
  <c r="M70"/>
  <c r="T68"/>
  <c r="Q71"/>
  <c r="L68"/>
  <c r="L69"/>
  <c r="Q69"/>
  <c r="Q70"/>
  <c r="E70"/>
  <c r="C109"/>
  <c r="C111"/>
  <c r="C110"/>
  <c r="V197" i="306"/>
  <c r="V198"/>
  <c r="V199"/>
  <c r="T71"/>
  <c r="C111"/>
  <c r="C110"/>
  <c r="C109"/>
  <c r="S71"/>
  <c r="Q71"/>
  <c r="L71"/>
  <c r="K71"/>
  <c r="G71"/>
  <c r="E71"/>
  <c r="D71"/>
  <c r="T70"/>
  <c r="S70"/>
  <c r="Q70"/>
  <c r="O70"/>
  <c r="M70"/>
  <c r="L70"/>
  <c r="E70"/>
  <c r="D70"/>
  <c r="T69"/>
  <c r="S69"/>
  <c r="L69"/>
  <c r="E69"/>
  <c r="T68"/>
  <c r="S68"/>
  <c r="Q68"/>
  <c r="P68"/>
  <c r="M68"/>
  <c r="L68"/>
  <c r="G68"/>
  <c r="E68"/>
  <c r="D68"/>
  <c r="S67"/>
  <c r="E67"/>
  <c r="G75" i="32"/>
  <c r="C112" i="306"/>
  <c r="C84" i="287"/>
  <c r="G67" i="306"/>
  <c r="T80" a="1"/>
  <c r="U80"/>
  <c r="T80"/>
  <c r="T79" i="287" a="1"/>
  <c r="U79"/>
  <c r="T79"/>
  <c r="T81" a="1"/>
  <c r="U81"/>
  <c r="T81"/>
  <c r="T82" a="1"/>
  <c r="U82"/>
  <c r="T82"/>
  <c r="T80" a="1"/>
  <c r="U80"/>
  <c r="T80"/>
  <c r="T83" i="306" a="1"/>
  <c r="U83"/>
  <c r="T83"/>
  <c r="C51"/>
  <c r="C52"/>
  <c r="C50"/>
  <c r="C49"/>
  <c r="C53"/>
  <c r="S53"/>
  <c r="R53"/>
  <c r="Q53"/>
  <c r="P53"/>
  <c r="O53"/>
  <c r="N53"/>
  <c r="L53"/>
  <c r="K53"/>
  <c r="J53"/>
  <c r="I53"/>
  <c r="H53"/>
  <c r="G53"/>
  <c r="F53"/>
  <c r="E53"/>
  <c r="D53"/>
  <c r="S52"/>
  <c r="R52"/>
  <c r="Q52"/>
  <c r="P52"/>
  <c r="O52"/>
  <c r="N52"/>
  <c r="M52"/>
  <c r="L52"/>
  <c r="K52"/>
  <c r="J52"/>
  <c r="I52"/>
  <c r="H52"/>
  <c r="G52"/>
  <c r="F52"/>
  <c r="E52"/>
  <c r="D52"/>
  <c r="S51"/>
  <c r="R51"/>
  <c r="Q51"/>
  <c r="P51"/>
  <c r="O51"/>
  <c r="N51"/>
  <c r="M51"/>
  <c r="L51"/>
  <c r="K51"/>
  <c r="J51"/>
  <c r="I51"/>
  <c r="H51"/>
  <c r="G51"/>
  <c r="F51"/>
  <c r="E51"/>
  <c r="D51"/>
  <c r="S50"/>
  <c r="R50"/>
  <c r="Q50"/>
  <c r="P50"/>
  <c r="O50"/>
  <c r="N50"/>
  <c r="M50"/>
  <c r="L50"/>
  <c r="K50"/>
  <c r="J50"/>
  <c r="I50"/>
  <c r="H50"/>
  <c r="G50"/>
  <c r="F50"/>
  <c r="E50"/>
  <c r="D50"/>
  <c r="S49"/>
  <c r="R49"/>
  <c r="Q49"/>
  <c r="P49"/>
  <c r="O49"/>
  <c r="N49"/>
  <c r="M49"/>
  <c r="L49"/>
  <c r="K49"/>
  <c r="J49"/>
  <c r="I49"/>
  <c r="H49"/>
  <c r="G49"/>
  <c r="F49"/>
  <c r="E49"/>
  <c r="D49"/>
  <c r="M53"/>
  <c r="C53" i="287"/>
  <c r="C52"/>
  <c r="C51"/>
  <c r="C50"/>
  <c r="C49"/>
  <c r="S53"/>
  <c r="R53"/>
  <c r="Q53"/>
  <c r="P53"/>
  <c r="O53"/>
  <c r="N53"/>
  <c r="M53"/>
  <c r="L53"/>
  <c r="K53"/>
  <c r="J53"/>
  <c r="I53"/>
  <c r="H53"/>
  <c r="G53"/>
  <c r="F53"/>
  <c r="E53"/>
  <c r="D53"/>
  <c r="S52"/>
  <c r="R52"/>
  <c r="Q52"/>
  <c r="P52"/>
  <c r="O52"/>
  <c r="N52"/>
  <c r="M52"/>
  <c r="L52"/>
  <c r="K52"/>
  <c r="J52"/>
  <c r="I52"/>
  <c r="H52"/>
  <c r="G52"/>
  <c r="F52"/>
  <c r="E52"/>
  <c r="D52"/>
  <c r="S51"/>
  <c r="R51"/>
  <c r="Q51"/>
  <c r="P51"/>
  <c r="O51"/>
  <c r="N51"/>
  <c r="M51"/>
  <c r="L51"/>
  <c r="K51"/>
  <c r="J51"/>
  <c r="I51"/>
  <c r="H51"/>
  <c r="G51"/>
  <c r="F51"/>
  <c r="E51"/>
  <c r="D51"/>
  <c r="S50"/>
  <c r="R50"/>
  <c r="Q50"/>
  <c r="P50"/>
  <c r="O50"/>
  <c r="N50"/>
  <c r="M50"/>
  <c r="L50"/>
  <c r="K50"/>
  <c r="J50"/>
  <c r="I50"/>
  <c r="H50"/>
  <c r="G50"/>
  <c r="F50"/>
  <c r="E50"/>
  <c r="D50"/>
  <c r="S49"/>
  <c r="R49"/>
  <c r="Q49"/>
  <c r="P49"/>
  <c r="O49"/>
  <c r="N49"/>
  <c r="M49"/>
  <c r="L49"/>
  <c r="K49"/>
  <c r="J49"/>
  <c r="I49"/>
  <c r="H49"/>
  <c r="G49"/>
  <c r="F49"/>
  <c r="E49"/>
  <c r="D49"/>
  <c r="V176"/>
  <c r="V177"/>
  <c r="V178"/>
  <c r="V176" i="306"/>
  <c r="V177"/>
  <c r="V178"/>
  <c r="AB58" i="288"/>
  <c r="V172" i="287"/>
  <c r="V172" i="306"/>
  <c r="AB58" i="305"/>
  <c r="T28" i="311"/>
  <c r="F75"/>
  <c r="M75"/>
  <c r="R81"/>
  <c r="J75"/>
  <c r="N75"/>
  <c r="K75"/>
  <c r="O75"/>
  <c r="G77"/>
  <c r="F77"/>
  <c r="J77"/>
  <c r="I77"/>
  <c r="M77"/>
  <c r="R83"/>
  <c r="N77"/>
  <c r="M87"/>
  <c r="R84"/>
  <c r="K77"/>
  <c r="O77"/>
  <c r="M92"/>
  <c r="R85"/>
  <c r="C49" i="312" a="1"/>
  <c r="C67"/>
  <c r="C79"/>
  <c r="C88"/>
  <c r="C50" a="1"/>
  <c r="C68"/>
  <c r="C80"/>
  <c r="C89"/>
  <c r="C51" a="1"/>
  <c r="C69"/>
  <c r="C81"/>
  <c r="C90"/>
  <c r="C52" a="1"/>
  <c r="C70"/>
  <c r="C82"/>
  <c r="C91"/>
  <c r="C53" a="1"/>
  <c r="C71"/>
  <c r="C83"/>
  <c r="C84"/>
  <c r="C92"/>
  <c r="C93"/>
  <c r="C94"/>
  <c r="H6" i="331"/>
  <c r="D49" i="312" a="1"/>
  <c r="E49" a="1"/>
  <c r="F49" a="1"/>
  <c r="G49" a="1"/>
  <c r="H49" a="1"/>
  <c r="I49" a="1"/>
  <c r="J49" a="1"/>
  <c r="K49" a="1"/>
  <c r="L49" a="1"/>
  <c r="M49" a="1"/>
  <c r="N49" a="1"/>
  <c r="O49" a="1"/>
  <c r="P49" a="1"/>
  <c r="Q49" a="1"/>
  <c r="R49" a="1"/>
  <c r="S49" a="1"/>
  <c r="U49"/>
  <c r="U67"/>
  <c r="D79"/>
  <c r="D50" a="1"/>
  <c r="E50" a="1"/>
  <c r="F50" a="1"/>
  <c r="G50" a="1"/>
  <c r="H50" a="1"/>
  <c r="I50" a="1"/>
  <c r="J50" a="1"/>
  <c r="K50" a="1"/>
  <c r="L50" a="1"/>
  <c r="M50" a="1"/>
  <c r="N50" a="1"/>
  <c r="O50" a="1"/>
  <c r="P50" a="1"/>
  <c r="Q50" a="1"/>
  <c r="R50" a="1"/>
  <c r="S50" a="1"/>
  <c r="U50"/>
  <c r="U68"/>
  <c r="D80"/>
  <c r="D51" a="1"/>
  <c r="E51" a="1"/>
  <c r="F51" a="1"/>
  <c r="G51" a="1"/>
  <c r="H51" a="1"/>
  <c r="I51" a="1"/>
  <c r="J51" a="1"/>
  <c r="K51" a="1"/>
  <c r="L51" a="1"/>
  <c r="M51" a="1"/>
  <c r="N51" a="1"/>
  <c r="O51" a="1"/>
  <c r="P51" a="1"/>
  <c r="Q51" a="1"/>
  <c r="R51" a="1"/>
  <c r="S51" a="1"/>
  <c r="U51"/>
  <c r="U69"/>
  <c r="D81"/>
  <c r="D52" a="1"/>
  <c r="E52" a="1"/>
  <c r="F52" a="1"/>
  <c r="G52" a="1"/>
  <c r="H52" a="1"/>
  <c r="I52" a="1"/>
  <c r="J52" a="1"/>
  <c r="K52" a="1"/>
  <c r="L52" a="1"/>
  <c r="M52" a="1"/>
  <c r="N52" a="1"/>
  <c r="O52" a="1"/>
  <c r="P52" a="1"/>
  <c r="Q52" a="1"/>
  <c r="R52" a="1"/>
  <c r="S52" a="1"/>
  <c r="U52"/>
  <c r="U70"/>
  <c r="D82"/>
  <c r="D53" a="1"/>
  <c r="E53" a="1"/>
  <c r="F53" a="1"/>
  <c r="G53" a="1"/>
  <c r="H53" a="1"/>
  <c r="I53" a="1"/>
  <c r="J53" a="1"/>
  <c r="K53" a="1"/>
  <c r="L53" a="1"/>
  <c r="M53" a="1"/>
  <c r="N53" a="1"/>
  <c r="O53" a="1"/>
  <c r="P53" a="1"/>
  <c r="Q53" a="1"/>
  <c r="R53" a="1"/>
  <c r="S53" a="1"/>
  <c r="U53"/>
  <c r="U71"/>
  <c r="D83"/>
  <c r="D84"/>
  <c r="D88"/>
  <c r="D89"/>
  <c r="D90"/>
  <c r="D91"/>
  <c r="D92"/>
  <c r="D93"/>
  <c r="D94"/>
  <c r="H7" i="331"/>
  <c r="E79" i="312"/>
  <c r="E80"/>
  <c r="E81"/>
  <c r="E82"/>
  <c r="E83"/>
  <c r="E84"/>
  <c r="E88"/>
  <c r="E89"/>
  <c r="E90"/>
  <c r="E91"/>
  <c r="E92"/>
  <c r="E93"/>
  <c r="E94"/>
  <c r="H8" i="331"/>
  <c r="L79" i="312"/>
  <c r="L80"/>
  <c r="L81"/>
  <c r="L82"/>
  <c r="L83"/>
  <c r="L84"/>
  <c r="L88"/>
  <c r="L89"/>
  <c r="L90"/>
  <c r="L91"/>
  <c r="L92"/>
  <c r="L93"/>
  <c r="L94"/>
  <c r="H10" i="331"/>
  <c r="M79" i="312"/>
  <c r="M80"/>
  <c r="M81"/>
  <c r="M82"/>
  <c r="M83"/>
  <c r="M84"/>
  <c r="M88"/>
  <c r="M89"/>
  <c r="M90"/>
  <c r="M91"/>
  <c r="M92"/>
  <c r="M93"/>
  <c r="M94"/>
  <c r="H11" i="331"/>
  <c r="Q79" i="312"/>
  <c r="Q80"/>
  <c r="Q81"/>
  <c r="Q82"/>
  <c r="Q83"/>
  <c r="Q84"/>
  <c r="F79"/>
  <c r="F80"/>
  <c r="F81"/>
  <c r="F82"/>
  <c r="F84"/>
  <c r="G79"/>
  <c r="G80"/>
  <c r="G81"/>
  <c r="G82"/>
  <c r="G83"/>
  <c r="G84"/>
  <c r="H79"/>
  <c r="H80"/>
  <c r="H81"/>
  <c r="H82"/>
  <c r="H84"/>
  <c r="I79"/>
  <c r="I80"/>
  <c r="I81"/>
  <c r="I82"/>
  <c r="I84"/>
  <c r="J79"/>
  <c r="J80"/>
  <c r="J81"/>
  <c r="J82"/>
  <c r="J84"/>
  <c r="K79"/>
  <c r="K80"/>
  <c r="K81"/>
  <c r="K82"/>
  <c r="K84"/>
  <c r="N79"/>
  <c r="N80"/>
  <c r="N81"/>
  <c r="N82"/>
  <c r="N84"/>
  <c r="O79"/>
  <c r="O80"/>
  <c r="O81"/>
  <c r="O82"/>
  <c r="O84"/>
  <c r="P79"/>
  <c r="P80"/>
  <c r="P81"/>
  <c r="P82"/>
  <c r="P84"/>
  <c r="R79"/>
  <c r="R80"/>
  <c r="R81"/>
  <c r="R82"/>
  <c r="R84"/>
  <c r="S79"/>
  <c r="S80"/>
  <c r="S81"/>
  <c r="S82"/>
  <c r="S83"/>
  <c r="S84"/>
  <c r="T79" a="1"/>
  <c r="U79"/>
  <c r="Q88"/>
  <c r="T80" a="1"/>
  <c r="U80"/>
  <c r="Q89"/>
  <c r="T81" a="1"/>
  <c r="U81"/>
  <c r="Q90"/>
  <c r="T82" a="1"/>
  <c r="U82"/>
  <c r="Q91"/>
  <c r="T83" a="1"/>
  <c r="U83"/>
  <c r="Q92"/>
  <c r="Q93"/>
  <c r="Q94"/>
  <c r="H15" i="331"/>
  <c r="M16"/>
  <c r="F39"/>
  <c r="F93" i="327"/>
  <c r="M48" i="332"/>
  <c r="I48"/>
  <c r="G48"/>
  <c r="E39" i="331"/>
  <c r="E93" i="327"/>
  <c r="L48" i="332"/>
  <c r="H48"/>
  <c r="F48"/>
  <c r="L95" i="312"/>
  <c r="H8" i="328"/>
  <c r="M8"/>
  <c r="M95" i="312"/>
  <c r="H10" i="328"/>
  <c r="M10"/>
  <c r="D95" i="312"/>
  <c r="H12" i="328"/>
  <c r="M12"/>
  <c r="E95" i="312"/>
  <c r="H18" i="328"/>
  <c r="M18"/>
  <c r="Q95" i="312"/>
  <c r="H20" i="328"/>
  <c r="M20"/>
  <c r="S88" i="312"/>
  <c r="S89"/>
  <c r="S90"/>
  <c r="S91"/>
  <c r="S92"/>
  <c r="S93"/>
  <c r="S94"/>
  <c r="S95"/>
  <c r="H22" i="328"/>
  <c r="M22"/>
  <c r="M24"/>
  <c r="G27" i="327"/>
  <c r="H24" i="328"/>
  <c r="H8" i="329"/>
  <c r="H10"/>
  <c r="H12"/>
  <c r="C95" i="312"/>
  <c r="H18" i="329"/>
  <c r="H20"/>
  <c r="H22"/>
  <c r="H32"/>
  <c r="H34"/>
  <c r="H36"/>
  <c r="H38"/>
  <c r="H40"/>
  <c r="H42"/>
  <c r="H8" i="330"/>
  <c r="H10"/>
  <c r="H12"/>
  <c r="H20"/>
  <c r="H24"/>
  <c r="H26"/>
  <c r="H30"/>
  <c r="H31"/>
  <c r="D16" i="327"/>
  <c r="I16"/>
  <c r="E16"/>
  <c r="F16"/>
  <c r="F23"/>
  <c r="G16"/>
  <c r="F24" a="1"/>
  <c r="G23"/>
  <c r="K23"/>
  <c r="H76"/>
  <c r="M8" i="329"/>
  <c r="M10"/>
  <c r="M12"/>
  <c r="M18"/>
  <c r="M20"/>
  <c r="M22"/>
  <c r="G28" i="327"/>
  <c r="G17"/>
  <c r="H16"/>
  <c r="H17"/>
  <c r="L17"/>
  <c r="G18"/>
  <c r="H18"/>
  <c r="L18"/>
  <c r="G20"/>
  <c r="H20"/>
  <c r="L20"/>
  <c r="G21"/>
  <c r="H21"/>
  <c r="L21"/>
  <c r="L23"/>
  <c r="H77"/>
  <c r="M32" i="329"/>
  <c r="M34"/>
  <c r="M36"/>
  <c r="M38"/>
  <c r="M40"/>
  <c r="M42"/>
  <c r="G29" i="327"/>
  <c r="E23"/>
  <c r="H23"/>
  <c r="I23"/>
  <c r="J23"/>
  <c r="I17"/>
  <c r="J17"/>
  <c r="I18"/>
  <c r="J18"/>
  <c r="H19"/>
  <c r="I19"/>
  <c r="J19"/>
  <c r="I20"/>
  <c r="J20"/>
  <c r="I21"/>
  <c r="J21"/>
  <c r="G22"/>
  <c r="H22"/>
  <c r="I22"/>
  <c r="J22"/>
  <c r="J16"/>
  <c r="N23"/>
  <c r="H78"/>
  <c r="M31" i="330"/>
  <c r="R31"/>
  <c r="G30" i="327"/>
  <c r="H79"/>
  <c r="M8" i="330"/>
  <c r="R8"/>
  <c r="M10"/>
  <c r="R10"/>
  <c r="M12"/>
  <c r="R12"/>
  <c r="M20"/>
  <c r="R20"/>
  <c r="M24"/>
  <c r="R24"/>
  <c r="M26"/>
  <c r="R26"/>
  <c r="R30"/>
  <c r="G31" i="327"/>
  <c r="T28" i="308"/>
  <c r="F75"/>
  <c r="M75"/>
  <c r="R81"/>
  <c r="J75"/>
  <c r="N75"/>
  <c r="K75"/>
  <c r="O75"/>
  <c r="G77"/>
  <c r="F77"/>
  <c r="J77"/>
  <c r="I77"/>
  <c r="M77"/>
  <c r="R83"/>
  <c r="N77"/>
  <c r="M87"/>
  <c r="R84"/>
  <c r="K77"/>
  <c r="O77"/>
  <c r="M92"/>
  <c r="R85"/>
  <c r="D49" i="309" a="1"/>
  <c r="E49" a="1"/>
  <c r="F49" a="1"/>
  <c r="G49" a="1"/>
  <c r="H49" a="1"/>
  <c r="I49" a="1"/>
  <c r="J49" a="1"/>
  <c r="K49" a="1"/>
  <c r="L49" a="1"/>
  <c r="M49" a="1"/>
  <c r="N49" a="1"/>
  <c r="O49" a="1"/>
  <c r="P49" a="1"/>
  <c r="Q49" a="1"/>
  <c r="R49" a="1"/>
  <c r="S49" a="1"/>
  <c r="U49"/>
  <c r="U67"/>
  <c r="L79"/>
  <c r="D50" a="1"/>
  <c r="E50" a="1"/>
  <c r="F50" a="1"/>
  <c r="G50" a="1"/>
  <c r="H50" a="1"/>
  <c r="I50" a="1"/>
  <c r="J50" a="1"/>
  <c r="K50" a="1"/>
  <c r="L50" a="1"/>
  <c r="M50" a="1"/>
  <c r="N50" a="1"/>
  <c r="O50" a="1"/>
  <c r="P50" a="1"/>
  <c r="Q50" a="1"/>
  <c r="R50" a="1"/>
  <c r="S50" a="1"/>
  <c r="U50"/>
  <c r="U68"/>
  <c r="L80"/>
  <c r="D51" a="1"/>
  <c r="E51" a="1"/>
  <c r="F51" a="1"/>
  <c r="G51" a="1"/>
  <c r="H51" a="1"/>
  <c r="I51" a="1"/>
  <c r="J51" a="1"/>
  <c r="K51" a="1"/>
  <c r="L51" a="1"/>
  <c r="M51" a="1"/>
  <c r="N51" a="1"/>
  <c r="O51" a="1"/>
  <c r="P51" a="1"/>
  <c r="Q51" a="1"/>
  <c r="R51" a="1"/>
  <c r="S51" a="1"/>
  <c r="U51"/>
  <c r="U69"/>
  <c r="L81"/>
  <c r="D52" a="1"/>
  <c r="E52" a="1"/>
  <c r="F52" a="1"/>
  <c r="G52" a="1"/>
  <c r="H52" a="1"/>
  <c r="I52" a="1"/>
  <c r="J52" a="1"/>
  <c r="K52" a="1"/>
  <c r="L52" a="1"/>
  <c r="M52" a="1"/>
  <c r="N52" a="1"/>
  <c r="O52" a="1"/>
  <c r="P52" a="1"/>
  <c r="Q52" a="1"/>
  <c r="R52" a="1"/>
  <c r="S52" a="1"/>
  <c r="U52"/>
  <c r="U70"/>
  <c r="L82"/>
  <c r="D53" a="1"/>
  <c r="E53" a="1"/>
  <c r="F53" a="1"/>
  <c r="G53" a="1"/>
  <c r="H53" a="1"/>
  <c r="I53" a="1"/>
  <c r="J53" a="1"/>
  <c r="K53" a="1"/>
  <c r="L53" a="1"/>
  <c r="M53" a="1"/>
  <c r="N53" a="1"/>
  <c r="O53" a="1"/>
  <c r="P53" a="1"/>
  <c r="Q53" a="1"/>
  <c r="R53" a="1"/>
  <c r="S53" a="1"/>
  <c r="U53"/>
  <c r="U71"/>
  <c r="L83"/>
  <c r="L84"/>
  <c r="L88"/>
  <c r="L89"/>
  <c r="L90"/>
  <c r="L91"/>
  <c r="L92"/>
  <c r="L93"/>
  <c r="L94"/>
  <c r="L95"/>
  <c r="G8" i="328"/>
  <c r="M79" i="309"/>
  <c r="M80"/>
  <c r="M81"/>
  <c r="M82"/>
  <c r="M83"/>
  <c r="M84"/>
  <c r="M88"/>
  <c r="M89"/>
  <c r="M90"/>
  <c r="M91"/>
  <c r="M92"/>
  <c r="M93"/>
  <c r="M94"/>
  <c r="M95"/>
  <c r="G10" i="328"/>
  <c r="D79" i="309"/>
  <c r="D80"/>
  <c r="D81"/>
  <c r="D82"/>
  <c r="D83"/>
  <c r="D84"/>
  <c r="D88"/>
  <c r="D89"/>
  <c r="D90"/>
  <c r="D91"/>
  <c r="D92"/>
  <c r="D93"/>
  <c r="D94"/>
  <c r="D95"/>
  <c r="G12" i="328"/>
  <c r="E79" i="309"/>
  <c r="E80"/>
  <c r="E81"/>
  <c r="E82"/>
  <c r="E83"/>
  <c r="E84"/>
  <c r="E88"/>
  <c r="E89"/>
  <c r="E90"/>
  <c r="E91"/>
  <c r="E92"/>
  <c r="E93"/>
  <c r="E94"/>
  <c r="E95"/>
  <c r="G18" i="328"/>
  <c r="Q79" i="309"/>
  <c r="Q80"/>
  <c r="Q81"/>
  <c r="Q82"/>
  <c r="Q83"/>
  <c r="Q84"/>
  <c r="F79"/>
  <c r="F80"/>
  <c r="F81"/>
  <c r="F82"/>
  <c r="F84"/>
  <c r="G79"/>
  <c r="G80"/>
  <c r="G81"/>
  <c r="G82"/>
  <c r="G83"/>
  <c r="G84"/>
  <c r="H79"/>
  <c r="H80"/>
  <c r="H81"/>
  <c r="H82"/>
  <c r="H84"/>
  <c r="I79"/>
  <c r="I80"/>
  <c r="I81"/>
  <c r="I82"/>
  <c r="I84"/>
  <c r="J79"/>
  <c r="J80"/>
  <c r="J81"/>
  <c r="J82"/>
  <c r="J84"/>
  <c r="K79"/>
  <c r="K80"/>
  <c r="K81"/>
  <c r="K82"/>
  <c r="K84"/>
  <c r="N79"/>
  <c r="N80"/>
  <c r="N81"/>
  <c r="N82"/>
  <c r="N84"/>
  <c r="O79"/>
  <c r="O80"/>
  <c r="O81"/>
  <c r="O82"/>
  <c r="O84"/>
  <c r="P79"/>
  <c r="P80"/>
  <c r="P81"/>
  <c r="P82"/>
  <c r="P84"/>
  <c r="R79"/>
  <c r="R80"/>
  <c r="R81"/>
  <c r="R82"/>
  <c r="R84"/>
  <c r="S79"/>
  <c r="S80"/>
  <c r="S81"/>
  <c r="S82"/>
  <c r="S83"/>
  <c r="S84"/>
  <c r="T79" a="1"/>
  <c r="U79"/>
  <c r="Q88"/>
  <c r="T80" a="1"/>
  <c r="U80"/>
  <c r="Q89"/>
  <c r="T81" a="1"/>
  <c r="U81"/>
  <c r="Q90"/>
  <c r="T82" a="1"/>
  <c r="U82"/>
  <c r="Q91"/>
  <c r="T83" a="1"/>
  <c r="U83"/>
  <c r="Q92"/>
  <c r="Q93"/>
  <c r="Q94"/>
  <c r="Q95"/>
  <c r="G20" i="328"/>
  <c r="S88" i="309"/>
  <c r="S89"/>
  <c r="S90"/>
  <c r="S91"/>
  <c r="S92"/>
  <c r="S93"/>
  <c r="S94"/>
  <c r="S95"/>
  <c r="G22" i="328"/>
  <c r="G24"/>
  <c r="G8" i="329"/>
  <c r="G10"/>
  <c r="G12"/>
  <c r="C49" i="309" a="1"/>
  <c r="C67"/>
  <c r="C79"/>
  <c r="C88"/>
  <c r="C50" a="1"/>
  <c r="C68"/>
  <c r="C80"/>
  <c r="C89"/>
  <c r="C51" a="1"/>
  <c r="C69"/>
  <c r="C81"/>
  <c r="C90"/>
  <c r="C52" a="1"/>
  <c r="C70"/>
  <c r="C82"/>
  <c r="C91"/>
  <c r="C53" a="1"/>
  <c r="C71"/>
  <c r="C83"/>
  <c r="C84"/>
  <c r="C92"/>
  <c r="C93"/>
  <c r="C94"/>
  <c r="C95"/>
  <c r="G18" i="329"/>
  <c r="G20"/>
  <c r="G22"/>
  <c r="G32"/>
  <c r="G34"/>
  <c r="G36"/>
  <c r="G38"/>
  <c r="G40"/>
  <c r="G42"/>
  <c r="G8" i="330"/>
  <c r="G10"/>
  <c r="G12"/>
  <c r="G20"/>
  <c r="G24"/>
  <c r="G26"/>
  <c r="G30"/>
  <c r="G31"/>
  <c r="D6" i="327"/>
  <c r="I6"/>
  <c r="E6"/>
  <c r="F6"/>
  <c r="G6"/>
  <c r="F13"/>
  <c r="F14" a="1"/>
  <c r="G7"/>
  <c r="H6"/>
  <c r="H7"/>
  <c r="L7"/>
  <c r="D28"/>
  <c r="D31"/>
  <c r="M7"/>
  <c r="G8"/>
  <c r="H8"/>
  <c r="L8"/>
  <c r="M8"/>
  <c r="H9"/>
  <c r="M9"/>
  <c r="G10"/>
  <c r="H10"/>
  <c r="L10"/>
  <c r="M10"/>
  <c r="G11"/>
  <c r="H11"/>
  <c r="L11"/>
  <c r="M11"/>
  <c r="G12"/>
  <c r="H12"/>
  <c r="M12"/>
  <c r="G13"/>
  <c r="H13"/>
  <c r="L13"/>
  <c r="M13"/>
  <c r="M14"/>
  <c r="I31"/>
  <c r="E28"/>
  <c r="E31"/>
  <c r="M23"/>
  <c r="H80"/>
  <c r="J80"/>
  <c r="F92"/>
  <c r="M47" i="332"/>
  <c r="I47"/>
  <c r="G47"/>
  <c r="L24" i="328"/>
  <c r="F27" i="327"/>
  <c r="K13"/>
  <c r="G76"/>
  <c r="L22" i="329"/>
  <c r="F28" i="327"/>
  <c r="G77"/>
  <c r="L42" i="329"/>
  <c r="F29" i="327"/>
  <c r="E13"/>
  <c r="I13"/>
  <c r="J13"/>
  <c r="I7"/>
  <c r="J7"/>
  <c r="I8"/>
  <c r="J8"/>
  <c r="I9"/>
  <c r="J9"/>
  <c r="I10"/>
  <c r="J10"/>
  <c r="I11"/>
  <c r="J11"/>
  <c r="I12"/>
  <c r="J12"/>
  <c r="J6"/>
  <c r="N13"/>
  <c r="G78"/>
  <c r="Q31" i="330"/>
  <c r="F30" i="327"/>
  <c r="G79"/>
  <c r="Q8" i="330"/>
  <c r="Q10"/>
  <c r="Q12"/>
  <c r="Q20"/>
  <c r="Q24"/>
  <c r="Q26"/>
  <c r="Q30"/>
  <c r="F31" i="327"/>
  <c r="G80"/>
  <c r="I80"/>
  <c r="E92"/>
  <c r="L47" i="332"/>
  <c r="H47"/>
  <c r="F47"/>
  <c r="H70" i="327"/>
  <c r="H71"/>
  <c r="N22"/>
  <c r="H72"/>
  <c r="H73"/>
  <c r="M22"/>
  <c r="H74"/>
  <c r="J75"/>
  <c r="F91"/>
  <c r="M46" i="332"/>
  <c r="I46"/>
  <c r="G46"/>
  <c r="G70" i="327"/>
  <c r="G71"/>
  <c r="N12"/>
  <c r="G72"/>
  <c r="G73"/>
  <c r="G74"/>
  <c r="I75"/>
  <c r="E91"/>
  <c r="L46" i="332"/>
  <c r="H46"/>
  <c r="F46"/>
  <c r="K20" i="327"/>
  <c r="H54"/>
  <c r="H55"/>
  <c r="N20"/>
  <c r="H56"/>
  <c r="H57"/>
  <c r="M20"/>
  <c r="H58"/>
  <c r="J58"/>
  <c r="F89"/>
  <c r="M44" i="332"/>
  <c r="I44"/>
  <c r="G44"/>
  <c r="K10" i="327"/>
  <c r="G54"/>
  <c r="G55"/>
  <c r="N10"/>
  <c r="G56"/>
  <c r="G57"/>
  <c r="G58"/>
  <c r="I58"/>
  <c r="E89"/>
  <c r="L44" i="332"/>
  <c r="H44"/>
  <c r="F44"/>
  <c r="K18" i="327"/>
  <c r="H43"/>
  <c r="H44"/>
  <c r="N18"/>
  <c r="H45"/>
  <c r="H46"/>
  <c r="M18"/>
  <c r="H47"/>
  <c r="J47"/>
  <c r="F87"/>
  <c r="M42" i="332"/>
  <c r="I42"/>
  <c r="G42"/>
  <c r="K8" i="327"/>
  <c r="G43"/>
  <c r="G44"/>
  <c r="N8"/>
  <c r="G45"/>
  <c r="G46"/>
  <c r="G47"/>
  <c r="I47"/>
  <c r="E87"/>
  <c r="L42" i="332"/>
  <c r="H42"/>
  <c r="F42"/>
  <c r="K17" i="327"/>
  <c r="H38"/>
  <c r="H39"/>
  <c r="N17"/>
  <c r="H40"/>
  <c r="H41"/>
  <c r="M17"/>
  <c r="H42"/>
  <c r="J42"/>
  <c r="F86"/>
  <c r="M41" i="332"/>
  <c r="I41"/>
  <c r="G41"/>
  <c r="K7" i="327"/>
  <c r="G38"/>
  <c r="G39"/>
  <c r="N7"/>
  <c r="G40"/>
  <c r="G41"/>
  <c r="G42"/>
  <c r="I42"/>
  <c r="E86"/>
  <c r="L41" i="332"/>
  <c r="H41"/>
  <c r="F41"/>
  <c r="C100" i="312"/>
  <c r="C129"/>
  <c r="D100"/>
  <c r="D129"/>
  <c r="E100"/>
  <c r="E129"/>
  <c r="F89"/>
  <c r="F100"/>
  <c r="F129"/>
  <c r="G89"/>
  <c r="G100"/>
  <c r="G129"/>
  <c r="H89"/>
  <c r="H100"/>
  <c r="H129"/>
  <c r="I89"/>
  <c r="I100"/>
  <c r="I129"/>
  <c r="J89"/>
  <c r="J100"/>
  <c r="J129"/>
  <c r="K89"/>
  <c r="K100"/>
  <c r="K129"/>
  <c r="L100"/>
  <c r="L129"/>
  <c r="M100"/>
  <c r="M129"/>
  <c r="N89"/>
  <c r="N100"/>
  <c r="N129"/>
  <c r="O89"/>
  <c r="O100"/>
  <c r="O129"/>
  <c r="P89"/>
  <c r="P100"/>
  <c r="P129"/>
  <c r="Q100"/>
  <c r="Q129"/>
  <c r="R89"/>
  <c r="R100"/>
  <c r="R129"/>
  <c r="S100"/>
  <c r="S129"/>
  <c r="T129"/>
  <c r="C100" i="309"/>
  <c r="C129"/>
  <c r="D100"/>
  <c r="D129"/>
  <c r="E100"/>
  <c r="E129"/>
  <c r="F89"/>
  <c r="F100"/>
  <c r="F129"/>
  <c r="G89"/>
  <c r="G100"/>
  <c r="G129"/>
  <c r="H89"/>
  <c r="H100"/>
  <c r="H129"/>
  <c r="I89"/>
  <c r="I100"/>
  <c r="I129"/>
  <c r="J89"/>
  <c r="J100"/>
  <c r="J129"/>
  <c r="K89"/>
  <c r="K100"/>
  <c r="K129"/>
  <c r="L100"/>
  <c r="L129"/>
  <c r="M100"/>
  <c r="M129"/>
  <c r="N89"/>
  <c r="N100"/>
  <c r="N129"/>
  <c r="O89"/>
  <c r="O100"/>
  <c r="O129"/>
  <c r="P89"/>
  <c r="P100"/>
  <c r="P129"/>
  <c r="Q100"/>
  <c r="Q129"/>
  <c r="R89"/>
  <c r="R100"/>
  <c r="R129"/>
  <c r="S100"/>
  <c r="S129"/>
  <c r="T129"/>
  <c r="G20" i="332"/>
  <c r="R20"/>
  <c r="K20"/>
  <c r="L20"/>
  <c r="M20"/>
  <c r="N20"/>
  <c r="O20"/>
  <c r="P20"/>
  <c r="M30" i="330"/>
  <c r="G18" i="332"/>
  <c r="R18"/>
  <c r="K18"/>
  <c r="L18"/>
  <c r="M18"/>
  <c r="N18"/>
  <c r="O18"/>
  <c r="P18"/>
  <c r="G17"/>
  <c r="K17"/>
  <c r="L17"/>
  <c r="M17"/>
  <c r="N17"/>
  <c r="O17"/>
  <c r="P17"/>
  <c r="J17"/>
  <c r="G16"/>
  <c r="K16"/>
  <c r="L16"/>
  <c r="M16"/>
  <c r="N16"/>
  <c r="O16"/>
  <c r="P16"/>
  <c r="J16"/>
  <c r="D102" i="312"/>
  <c r="D143"/>
  <c r="C102"/>
  <c r="C143"/>
  <c r="E102"/>
  <c r="E143"/>
  <c r="F91"/>
  <c r="F102"/>
  <c r="F143"/>
  <c r="G91"/>
  <c r="G102"/>
  <c r="G143"/>
  <c r="H91"/>
  <c r="H102"/>
  <c r="H143"/>
  <c r="I91"/>
  <c r="I102"/>
  <c r="I143"/>
  <c r="J91"/>
  <c r="J102"/>
  <c r="J143"/>
  <c r="K91"/>
  <c r="K102"/>
  <c r="K143"/>
  <c r="L102"/>
  <c r="L143"/>
  <c r="M102"/>
  <c r="M143"/>
  <c r="N91"/>
  <c r="N102"/>
  <c r="N143"/>
  <c r="O91"/>
  <c r="O102"/>
  <c r="O143"/>
  <c r="P91"/>
  <c r="P102"/>
  <c r="P143"/>
  <c r="Q102"/>
  <c r="Q143"/>
  <c r="R91"/>
  <c r="R102"/>
  <c r="R143"/>
  <c r="S102"/>
  <c r="S143"/>
  <c r="T143"/>
  <c r="G13" i="332"/>
  <c r="R13"/>
  <c r="K13"/>
  <c r="L13"/>
  <c r="M13"/>
  <c r="N13"/>
  <c r="O13"/>
  <c r="P13"/>
  <c r="G12"/>
  <c r="R12"/>
  <c r="K12"/>
  <c r="L12"/>
  <c r="M12"/>
  <c r="N12"/>
  <c r="O12"/>
  <c r="P12"/>
  <c r="L103" i="312"/>
  <c r="L150"/>
  <c r="C103"/>
  <c r="C150"/>
  <c r="D103"/>
  <c r="D150"/>
  <c r="E103"/>
  <c r="E150"/>
  <c r="F92"/>
  <c r="F103"/>
  <c r="F150"/>
  <c r="G92"/>
  <c r="G103"/>
  <c r="G150"/>
  <c r="H92"/>
  <c r="H103"/>
  <c r="H150"/>
  <c r="I92"/>
  <c r="I103"/>
  <c r="I150"/>
  <c r="J150"/>
  <c r="K92"/>
  <c r="K103"/>
  <c r="K150"/>
  <c r="M103"/>
  <c r="M150"/>
  <c r="N150"/>
  <c r="O92"/>
  <c r="O103"/>
  <c r="O150"/>
  <c r="P150"/>
  <c r="J92"/>
  <c r="N92"/>
  <c r="P92"/>
  <c r="R92"/>
  <c r="Q103"/>
  <c r="Q150"/>
  <c r="R103"/>
  <c r="R150"/>
  <c r="S103"/>
  <c r="S150"/>
  <c r="T150"/>
  <c r="G88"/>
  <c r="G99"/>
  <c r="G124"/>
  <c r="C99"/>
  <c r="C124"/>
  <c r="D99"/>
  <c r="D124"/>
  <c r="E99"/>
  <c r="E124"/>
  <c r="F88"/>
  <c r="F99"/>
  <c r="F124"/>
  <c r="H88"/>
  <c r="H99"/>
  <c r="H124"/>
  <c r="I88"/>
  <c r="I99"/>
  <c r="I124"/>
  <c r="J88"/>
  <c r="J99"/>
  <c r="J124"/>
  <c r="K88"/>
  <c r="K99"/>
  <c r="K124"/>
  <c r="L99"/>
  <c r="L124"/>
  <c r="M99"/>
  <c r="M124"/>
  <c r="N88"/>
  <c r="N99"/>
  <c r="N124"/>
  <c r="O88"/>
  <c r="O99"/>
  <c r="O124"/>
  <c r="P88"/>
  <c r="P99"/>
  <c r="P124"/>
  <c r="Q99"/>
  <c r="Q124"/>
  <c r="R88"/>
  <c r="R99"/>
  <c r="R124"/>
  <c r="S99"/>
  <c r="S124"/>
  <c r="T124"/>
  <c r="G6" i="331"/>
  <c r="G7"/>
  <c r="G8"/>
  <c r="G10"/>
  <c r="G11"/>
  <c r="G15"/>
  <c r="L16"/>
  <c r="G16"/>
  <c r="H16"/>
  <c r="J7"/>
  <c r="J8"/>
  <c r="J9"/>
  <c r="J10"/>
  <c r="J11"/>
  <c r="J12"/>
  <c r="J13"/>
  <c r="J14"/>
  <c r="J15"/>
  <c r="J16"/>
  <c r="I7"/>
  <c r="I8"/>
  <c r="I9"/>
  <c r="I10"/>
  <c r="I11"/>
  <c r="I12"/>
  <c r="I13"/>
  <c r="I14"/>
  <c r="I15"/>
  <c r="I16"/>
  <c r="K6"/>
  <c r="R33" i="330"/>
  <c r="Q33"/>
  <c r="M33"/>
  <c r="H33"/>
  <c r="G33"/>
  <c r="AA28"/>
  <c r="AA26"/>
  <c r="AA24"/>
  <c r="AA22"/>
  <c r="AA20"/>
  <c r="AA18"/>
  <c r="AA16"/>
  <c r="AA14"/>
  <c r="AA12"/>
  <c r="AA10"/>
  <c r="AA8"/>
  <c r="R32" i="329"/>
  <c r="R34"/>
  <c r="R36"/>
  <c r="R38"/>
  <c r="R40"/>
  <c r="R42"/>
  <c r="Q32"/>
  <c r="Q34"/>
  <c r="Q36"/>
  <c r="Q38"/>
  <c r="Q40"/>
  <c r="Q42"/>
  <c r="AB40"/>
  <c r="AB38"/>
  <c r="AB36"/>
  <c r="AB34"/>
  <c r="AB32"/>
  <c r="R8"/>
  <c r="R10"/>
  <c r="R12"/>
  <c r="R18"/>
  <c r="R20"/>
  <c r="R22"/>
  <c r="Q8"/>
  <c r="Q10"/>
  <c r="Q12"/>
  <c r="Q18"/>
  <c r="Q20"/>
  <c r="Q22"/>
  <c r="AB20"/>
  <c r="AB18"/>
  <c r="AB16"/>
  <c r="AB14"/>
  <c r="AB12"/>
  <c r="AB10"/>
  <c r="T10"/>
  <c r="AB8"/>
  <c r="S8" i="328"/>
  <c r="S10"/>
  <c r="S12"/>
  <c r="S18"/>
  <c r="S20"/>
  <c r="R8"/>
  <c r="R10"/>
  <c r="R12"/>
  <c r="R18"/>
  <c r="R20"/>
  <c r="AA22"/>
  <c r="AA20"/>
  <c r="AA18"/>
  <c r="AA16"/>
  <c r="AA14"/>
  <c r="AA12"/>
  <c r="AA10"/>
  <c r="AA8"/>
  <c r="L38" i="327"/>
  <c r="L39"/>
  <c r="L40"/>
  <c r="L41"/>
  <c r="L42"/>
  <c r="L43"/>
  <c r="L44"/>
  <c r="L45"/>
  <c r="L46"/>
  <c r="L47"/>
  <c r="K19"/>
  <c r="H48"/>
  <c r="L48"/>
  <c r="N19"/>
  <c r="H50"/>
  <c r="L50"/>
  <c r="H51"/>
  <c r="L51"/>
  <c r="M19"/>
  <c r="H52"/>
  <c r="L52"/>
  <c r="L54"/>
  <c r="L55"/>
  <c r="L56"/>
  <c r="L57"/>
  <c r="L58"/>
  <c r="L70"/>
  <c r="L72"/>
  <c r="L73"/>
  <c r="L74"/>
  <c r="L75"/>
  <c r="L76"/>
  <c r="L77"/>
  <c r="L78"/>
  <c r="L79"/>
  <c r="L80"/>
  <c r="L81"/>
  <c r="K38"/>
  <c r="K39"/>
  <c r="K40"/>
  <c r="K41"/>
  <c r="K42"/>
  <c r="K43"/>
  <c r="K44"/>
  <c r="K45"/>
  <c r="K46"/>
  <c r="K47"/>
  <c r="K9"/>
  <c r="G48"/>
  <c r="K48"/>
  <c r="N9"/>
  <c r="G50"/>
  <c r="K50"/>
  <c r="G51"/>
  <c r="K51"/>
  <c r="G52"/>
  <c r="K52"/>
  <c r="K54"/>
  <c r="K55"/>
  <c r="K56"/>
  <c r="K57"/>
  <c r="K58"/>
  <c r="K70"/>
  <c r="K72"/>
  <c r="K73"/>
  <c r="K74"/>
  <c r="K75"/>
  <c r="K76"/>
  <c r="K77"/>
  <c r="K78"/>
  <c r="K79"/>
  <c r="K80"/>
  <c r="K81"/>
  <c r="H49"/>
  <c r="K21"/>
  <c r="H59"/>
  <c r="H60"/>
  <c r="N21"/>
  <c r="H61"/>
  <c r="H62"/>
  <c r="M21"/>
  <c r="H63"/>
  <c r="H81"/>
  <c r="G49"/>
  <c r="K11"/>
  <c r="G59"/>
  <c r="G60"/>
  <c r="N11"/>
  <c r="G61"/>
  <c r="G62"/>
  <c r="G63"/>
  <c r="G81"/>
  <c r="R63"/>
  <c r="Q63"/>
  <c r="J63"/>
  <c r="I63"/>
  <c r="R62"/>
  <c r="Q62"/>
  <c r="R61"/>
  <c r="Q61"/>
  <c r="R60"/>
  <c r="Q60"/>
  <c r="R59"/>
  <c r="Q59"/>
  <c r="G33"/>
  <c r="F33"/>
  <c r="E27"/>
  <c r="E29"/>
  <c r="E30"/>
  <c r="E33"/>
  <c r="D27"/>
  <c r="D29"/>
  <c r="D30"/>
  <c r="D33"/>
  <c r="N24"/>
  <c r="M24"/>
  <c r="L24"/>
  <c r="K24"/>
  <c r="H24"/>
  <c r="F24"/>
  <c r="D23"/>
  <c r="N14"/>
  <c r="L14"/>
  <c r="K14"/>
  <c r="H14"/>
  <c r="F14"/>
  <c r="D13"/>
  <c r="C99" i="309"/>
  <c r="C123"/>
  <c r="D99"/>
  <c r="D123"/>
  <c r="E99"/>
  <c r="E123"/>
  <c r="F88"/>
  <c r="F99"/>
  <c r="F123"/>
  <c r="G88"/>
  <c r="G99"/>
  <c r="G123"/>
  <c r="H88"/>
  <c r="H99"/>
  <c r="H123"/>
  <c r="I88"/>
  <c r="I99"/>
  <c r="I123"/>
  <c r="J88"/>
  <c r="J99"/>
  <c r="J123"/>
  <c r="K88"/>
  <c r="K99"/>
  <c r="K123"/>
  <c r="L99"/>
  <c r="L123"/>
  <c r="M99"/>
  <c r="M123"/>
  <c r="N88"/>
  <c r="N99"/>
  <c r="N123"/>
  <c r="O88"/>
  <c r="O99"/>
  <c r="O123"/>
  <c r="P88"/>
  <c r="P99"/>
  <c r="P123"/>
  <c r="Q99"/>
  <c r="Q123"/>
  <c r="R88"/>
  <c r="R99"/>
  <c r="R123"/>
  <c r="S99"/>
  <c r="S123"/>
  <c r="T123"/>
  <c r="C123" i="312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O151"/>
  <c r="C151"/>
  <c r="D151"/>
  <c r="E151"/>
  <c r="F151"/>
  <c r="G151"/>
  <c r="H151"/>
  <c r="I151"/>
  <c r="J151"/>
  <c r="K151"/>
  <c r="L151"/>
  <c r="M151"/>
  <c r="N151"/>
  <c r="P151"/>
  <c r="Q151"/>
  <c r="R151"/>
  <c r="S151"/>
  <c r="T151"/>
  <c r="O92" i="309"/>
  <c r="O103"/>
  <c r="O151"/>
  <c r="C103"/>
  <c r="C151"/>
  <c r="D103"/>
  <c r="D151"/>
  <c r="E103"/>
  <c r="E151"/>
  <c r="F92"/>
  <c r="F103"/>
  <c r="F151"/>
  <c r="G92"/>
  <c r="G103"/>
  <c r="G151"/>
  <c r="H92"/>
  <c r="H103"/>
  <c r="H151"/>
  <c r="I92"/>
  <c r="I103"/>
  <c r="I151"/>
  <c r="J151"/>
  <c r="K92"/>
  <c r="K103"/>
  <c r="K151"/>
  <c r="L103"/>
  <c r="L151"/>
  <c r="M103"/>
  <c r="M151"/>
  <c r="N151"/>
  <c r="P151"/>
  <c r="J92"/>
  <c r="N92"/>
  <c r="P92"/>
  <c r="R92"/>
  <c r="Q103"/>
  <c r="Q151"/>
  <c r="R103"/>
  <c r="R151"/>
  <c r="S103"/>
  <c r="S151"/>
  <c r="T151"/>
  <c r="O130" i="312"/>
  <c r="C130"/>
  <c r="D130"/>
  <c r="E130"/>
  <c r="F130"/>
  <c r="G130"/>
  <c r="H130"/>
  <c r="I130"/>
  <c r="J130"/>
  <c r="K130"/>
  <c r="L130"/>
  <c r="M130"/>
  <c r="N130"/>
  <c r="P130"/>
  <c r="Q130"/>
  <c r="R130"/>
  <c r="S130"/>
  <c r="T130"/>
  <c r="O130" i="309"/>
  <c r="C130"/>
  <c r="D130"/>
  <c r="E130"/>
  <c r="F130"/>
  <c r="G130"/>
  <c r="H130"/>
  <c r="I130"/>
  <c r="J130"/>
  <c r="K130"/>
  <c r="L130"/>
  <c r="M130"/>
  <c r="N130"/>
  <c r="P130"/>
  <c r="Q130"/>
  <c r="R130"/>
  <c r="S130"/>
  <c r="T130"/>
  <c r="O144" i="312"/>
  <c r="C144"/>
  <c r="D144"/>
  <c r="E144"/>
  <c r="F144"/>
  <c r="G144"/>
  <c r="H144"/>
  <c r="I144"/>
  <c r="J144"/>
  <c r="K144"/>
  <c r="L144"/>
  <c r="M144"/>
  <c r="N144"/>
  <c r="P144"/>
  <c r="Q144"/>
  <c r="R144"/>
  <c r="S144"/>
  <c r="T144"/>
  <c r="O91" i="309"/>
  <c r="O102"/>
  <c r="O144"/>
  <c r="C102"/>
  <c r="C144"/>
  <c r="D102"/>
  <c r="D144"/>
  <c r="E102"/>
  <c r="E144"/>
  <c r="F91"/>
  <c r="F102"/>
  <c r="F144"/>
  <c r="G91"/>
  <c r="G102"/>
  <c r="G144"/>
  <c r="H91"/>
  <c r="H102"/>
  <c r="H144"/>
  <c r="I91"/>
  <c r="I102"/>
  <c r="I144"/>
  <c r="J91"/>
  <c r="J102"/>
  <c r="J144"/>
  <c r="K91"/>
  <c r="K102"/>
  <c r="K144"/>
  <c r="L102"/>
  <c r="L144"/>
  <c r="M102"/>
  <c r="M144"/>
  <c r="N91"/>
  <c r="N102"/>
  <c r="N144"/>
  <c r="P91"/>
  <c r="P102"/>
  <c r="P144"/>
  <c r="Q102"/>
  <c r="Q144"/>
  <c r="R91"/>
  <c r="R102"/>
  <c r="R144"/>
  <c r="S102"/>
  <c r="S144"/>
  <c r="T144"/>
  <c r="O136" i="312"/>
  <c r="C101"/>
  <c r="C136"/>
  <c r="D101"/>
  <c r="D136"/>
  <c r="E101"/>
  <c r="E136"/>
  <c r="F90"/>
  <c r="F101"/>
  <c r="F136"/>
  <c r="G90"/>
  <c r="G101"/>
  <c r="G136"/>
  <c r="H90"/>
  <c r="H101"/>
  <c r="H136"/>
  <c r="I90"/>
  <c r="I101"/>
  <c r="I136"/>
  <c r="J90"/>
  <c r="J101"/>
  <c r="J136"/>
  <c r="K90"/>
  <c r="K101"/>
  <c r="K136"/>
  <c r="L101"/>
  <c r="L136"/>
  <c r="M101"/>
  <c r="M136"/>
  <c r="N90"/>
  <c r="N101"/>
  <c r="N136"/>
  <c r="P90"/>
  <c r="P101"/>
  <c r="P136"/>
  <c r="Q101"/>
  <c r="Q136"/>
  <c r="R90"/>
  <c r="R101"/>
  <c r="R136"/>
  <c r="S101"/>
  <c r="S136"/>
  <c r="T136"/>
  <c r="O136" i="309"/>
  <c r="C101"/>
  <c r="C136"/>
  <c r="D101"/>
  <c r="D136"/>
  <c r="E101"/>
  <c r="E136"/>
  <c r="F90"/>
  <c r="F101"/>
  <c r="F136"/>
  <c r="G90"/>
  <c r="G101"/>
  <c r="G136"/>
  <c r="H90"/>
  <c r="H101"/>
  <c r="H136"/>
  <c r="I90"/>
  <c r="I101"/>
  <c r="I136"/>
  <c r="J90"/>
  <c r="J101"/>
  <c r="J136"/>
  <c r="K90"/>
  <c r="K101"/>
  <c r="K136"/>
  <c r="L101"/>
  <c r="L136"/>
  <c r="M101"/>
  <c r="M136"/>
  <c r="N90"/>
  <c r="N101"/>
  <c r="N136"/>
  <c r="P90"/>
  <c r="P101"/>
  <c r="P136"/>
  <c r="Q101"/>
  <c r="Q136"/>
  <c r="R90"/>
  <c r="R101"/>
  <c r="R136"/>
  <c r="S101"/>
  <c r="S136"/>
  <c r="T136"/>
  <c r="D124"/>
  <c r="C124"/>
  <c r="E124"/>
  <c r="F124"/>
  <c r="G124"/>
  <c r="H124"/>
  <c r="I124"/>
  <c r="J124"/>
  <c r="K124"/>
  <c r="L124"/>
  <c r="M124"/>
  <c r="N124"/>
  <c r="O124"/>
  <c r="P124"/>
  <c r="Q124"/>
  <c r="R124"/>
  <c r="S124"/>
  <c r="T124"/>
  <c r="Q152"/>
  <c r="C152"/>
  <c r="D152"/>
  <c r="E152"/>
  <c r="F152"/>
  <c r="G152"/>
  <c r="H152"/>
  <c r="I152"/>
  <c r="J152"/>
  <c r="K152"/>
  <c r="L152"/>
  <c r="M152"/>
  <c r="N152"/>
  <c r="O152"/>
  <c r="P152"/>
  <c r="R152"/>
  <c r="S152"/>
  <c r="T152"/>
  <c r="L150"/>
  <c r="C150"/>
  <c r="D150"/>
  <c r="E150"/>
  <c r="F150"/>
  <c r="G150"/>
  <c r="H150"/>
  <c r="I150"/>
  <c r="J150"/>
  <c r="K150"/>
  <c r="M150"/>
  <c r="N150"/>
  <c r="O150"/>
  <c r="P150"/>
  <c r="Q150"/>
  <c r="R150"/>
  <c r="S150"/>
  <c r="T150"/>
  <c r="L148" i="312"/>
  <c r="C148"/>
  <c r="D148"/>
  <c r="E148"/>
  <c r="F148"/>
  <c r="G148"/>
  <c r="H148"/>
  <c r="I148"/>
  <c r="J148"/>
  <c r="K148"/>
  <c r="M148"/>
  <c r="N148"/>
  <c r="O148"/>
  <c r="P148"/>
  <c r="Q148"/>
  <c r="R148"/>
  <c r="S148"/>
  <c r="T148"/>
  <c r="L148" i="309"/>
  <c r="C148"/>
  <c r="D148"/>
  <c r="E148"/>
  <c r="F148"/>
  <c r="G148"/>
  <c r="H148"/>
  <c r="I148"/>
  <c r="J148"/>
  <c r="K148"/>
  <c r="M148"/>
  <c r="N148"/>
  <c r="O148"/>
  <c r="P148"/>
  <c r="Q148"/>
  <c r="R148"/>
  <c r="S148"/>
  <c r="T148"/>
  <c r="H62" i="323"/>
  <c r="H65"/>
  <c r="G73"/>
  <c r="G75"/>
  <c r="G62"/>
  <c r="G65"/>
  <c r="F73"/>
  <c r="F75"/>
  <c r="J73"/>
  <c r="I73"/>
  <c r="J72"/>
  <c r="I72"/>
  <c r="J71"/>
  <c r="I71"/>
  <c r="C146" i="312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C146" i="309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C149" i="312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C149" i="30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C125" i="312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C125" i="309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C128" i="312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C128" i="309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D127" i="312"/>
  <c r="C127"/>
  <c r="E127"/>
  <c r="F127"/>
  <c r="G127"/>
  <c r="H127"/>
  <c r="I127"/>
  <c r="J127"/>
  <c r="K127"/>
  <c r="L127"/>
  <c r="M127"/>
  <c r="N127"/>
  <c r="O127"/>
  <c r="P127"/>
  <c r="Q127"/>
  <c r="R127"/>
  <c r="S127"/>
  <c r="T127"/>
  <c r="D127" i="309"/>
  <c r="C127"/>
  <c r="E127"/>
  <c r="F127"/>
  <c r="G127"/>
  <c r="H127"/>
  <c r="I127"/>
  <c r="J127"/>
  <c r="K127"/>
  <c r="L127"/>
  <c r="M127"/>
  <c r="N127"/>
  <c r="O127"/>
  <c r="P127"/>
  <c r="Q127"/>
  <c r="R127"/>
  <c r="S127"/>
  <c r="T127"/>
  <c r="C126" i="312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C126" i="309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L143"/>
  <c r="C143"/>
  <c r="D143"/>
  <c r="E143"/>
  <c r="F143"/>
  <c r="G143"/>
  <c r="H143"/>
  <c r="I143"/>
  <c r="J143"/>
  <c r="K143"/>
  <c r="M143"/>
  <c r="N143"/>
  <c r="O143"/>
  <c r="P143"/>
  <c r="Q143"/>
  <c r="R143"/>
  <c r="S143"/>
  <c r="T143"/>
  <c r="C138" i="312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C138" i="309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77" i="311"/>
  <c r="U77" i="308"/>
  <c r="V77" i="311"/>
  <c r="V77" i="308"/>
  <c r="C141" i="312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C141" i="309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75" i="311"/>
  <c r="U75" i="308"/>
  <c r="V75" i="311"/>
  <c r="V75" i="308"/>
  <c r="C142" i="31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C142" i="309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76" i="311"/>
  <c r="U76" i="308"/>
  <c r="V76" i="311"/>
  <c r="V76" i="308"/>
  <c r="C140" i="312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C140" i="309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74" i="311"/>
  <c r="U74" i="308"/>
  <c r="V74" i="311"/>
  <c r="V74" i="308"/>
  <c r="C139" i="312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C139" i="30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73" i="311"/>
  <c r="U73" i="308"/>
  <c r="V73" i="311"/>
  <c r="V73" i="308"/>
  <c r="U72" i="311"/>
  <c r="U72" i="308"/>
  <c r="V72" i="311"/>
  <c r="V72" i="308"/>
  <c r="C135" i="312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C132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C132" i="309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C134" i="312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C134" i="309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C133" i="312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C133" i="309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C119" i="312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C119" i="30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C122" i="31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C122" i="309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C121" i="312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C121" i="309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C120" i="312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C120" i="309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D118" i="312"/>
  <c r="C118"/>
  <c r="E118"/>
  <c r="F118"/>
  <c r="G118"/>
  <c r="H118"/>
  <c r="I118"/>
  <c r="J118"/>
  <c r="K118"/>
  <c r="L118"/>
  <c r="M118"/>
  <c r="N118"/>
  <c r="O118"/>
  <c r="P118"/>
  <c r="Q118"/>
  <c r="R118"/>
  <c r="S118"/>
  <c r="T118"/>
  <c r="D118" i="309"/>
  <c r="C118"/>
  <c r="E118"/>
  <c r="F118"/>
  <c r="G118"/>
  <c r="H118"/>
  <c r="I118"/>
  <c r="J118"/>
  <c r="K118"/>
  <c r="L118"/>
  <c r="M118"/>
  <c r="N118"/>
  <c r="O118"/>
  <c r="P118"/>
  <c r="Q118"/>
  <c r="R118"/>
  <c r="S118"/>
  <c r="T118"/>
  <c r="Y266" i="312"/>
  <c r="S113" i="317"/>
  <c r="Y266" i="309"/>
  <c r="R113" i="317"/>
  <c r="J112"/>
  <c r="I112"/>
  <c r="Q152" i="312"/>
  <c r="C152"/>
  <c r="D152"/>
  <c r="E152"/>
  <c r="F152"/>
  <c r="G152"/>
  <c r="H152"/>
  <c r="I152"/>
  <c r="J152"/>
  <c r="K152"/>
  <c r="L152"/>
  <c r="M152"/>
  <c r="N152"/>
  <c r="O152"/>
  <c r="P152"/>
  <c r="R152"/>
  <c r="S152"/>
  <c r="T152"/>
  <c r="S96" i="309"/>
  <c r="N136" i="315"/>
  <c r="Q136"/>
  <c r="S96" i="312"/>
  <c r="O136" i="315"/>
  <c r="R66"/>
  <c r="S66"/>
  <c r="T66"/>
  <c r="J103" i="312"/>
  <c r="N103"/>
  <c r="P103"/>
  <c r="T103"/>
  <c r="R271"/>
  <c r="P271"/>
  <c r="O271"/>
  <c r="N271"/>
  <c r="J271"/>
  <c r="I271"/>
  <c r="H271"/>
  <c r="F271"/>
  <c r="Y267"/>
  <c r="Y268"/>
  <c r="Y270"/>
  <c r="T102"/>
  <c r="R270"/>
  <c r="P270"/>
  <c r="K270"/>
  <c r="J270"/>
  <c r="I270"/>
  <c r="H270"/>
  <c r="G270"/>
  <c r="F270"/>
  <c r="O90"/>
  <c r="O101"/>
  <c r="T101"/>
  <c r="R269"/>
  <c r="P269"/>
  <c r="O269"/>
  <c r="N269"/>
  <c r="M269"/>
  <c r="J269"/>
  <c r="I269"/>
  <c r="F269"/>
  <c r="T100"/>
  <c r="R268"/>
  <c r="O268"/>
  <c r="N268"/>
  <c r="F268"/>
  <c r="T99"/>
  <c r="R267"/>
  <c r="P267"/>
  <c r="O267"/>
  <c r="N267"/>
  <c r="K267"/>
  <c r="F267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V199"/>
  <c r="V198"/>
  <c r="V197"/>
  <c r="V195"/>
  <c r="C161" a="1"/>
  <c r="D161" a="1"/>
  <c r="E161" a="1"/>
  <c r="F161" a="1"/>
  <c r="G161" a="1"/>
  <c r="H161" a="1"/>
  <c r="I161" a="1"/>
  <c r="J161" a="1"/>
  <c r="K161" a="1"/>
  <c r="L161" a="1"/>
  <c r="M161" a="1"/>
  <c r="N161" a="1"/>
  <c r="O161" a="1"/>
  <c r="P161" a="1"/>
  <c r="Q161" a="1"/>
  <c r="R161" a="1"/>
  <c r="S161" a="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C160" a="1"/>
  <c r="D160" a="1"/>
  <c r="E160" a="1"/>
  <c r="F160" a="1"/>
  <c r="G160" a="1"/>
  <c r="H160" a="1"/>
  <c r="I160" a="1"/>
  <c r="J160" a="1"/>
  <c r="K160" a="1"/>
  <c r="L160" a="1"/>
  <c r="M160" a="1"/>
  <c r="N160" a="1"/>
  <c r="O160" a="1"/>
  <c r="P160" a="1"/>
  <c r="Q160" a="1"/>
  <c r="R160" a="1"/>
  <c r="S160" a="1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C159" a="1"/>
  <c r="D159" a="1"/>
  <c r="E159" a="1"/>
  <c r="F159" a="1"/>
  <c r="G159" a="1"/>
  <c r="H159" a="1"/>
  <c r="I159" a="1"/>
  <c r="J159" a="1"/>
  <c r="K159" a="1"/>
  <c r="L159" a="1"/>
  <c r="M159" a="1"/>
  <c r="N159" a="1"/>
  <c r="O159" a="1"/>
  <c r="P159" a="1"/>
  <c r="Q159" a="1"/>
  <c r="R159" a="1"/>
  <c r="S159" a="1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C158" a="1"/>
  <c r="D158" a="1"/>
  <c r="E158" a="1"/>
  <c r="F158" a="1"/>
  <c r="G158" a="1"/>
  <c r="H158" a="1"/>
  <c r="I158" a="1"/>
  <c r="J158" a="1"/>
  <c r="K158" a="1"/>
  <c r="L158" a="1"/>
  <c r="M158" a="1"/>
  <c r="N158" a="1"/>
  <c r="O158" a="1"/>
  <c r="P158" a="1"/>
  <c r="Q158" a="1"/>
  <c r="R158" a="1"/>
  <c r="S158" a="1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C157" a="1"/>
  <c r="D157" a="1"/>
  <c r="E157" a="1"/>
  <c r="F157" a="1"/>
  <c r="G157" a="1"/>
  <c r="H157" a="1"/>
  <c r="I157" a="1"/>
  <c r="J157" a="1"/>
  <c r="K157" a="1"/>
  <c r="L157" a="1"/>
  <c r="M157" a="1"/>
  <c r="N157" a="1"/>
  <c r="O157" a="1"/>
  <c r="P157" a="1"/>
  <c r="Q157" a="1"/>
  <c r="R157" a="1"/>
  <c r="S157" a="1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U103"/>
  <c r="U112"/>
  <c r="T53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U102"/>
  <c r="U111"/>
  <c r="T52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U101"/>
  <c r="U110"/>
  <c r="T51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U100"/>
  <c r="U109"/>
  <c r="T50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U99"/>
  <c r="U108"/>
  <c r="T49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T104"/>
  <c r="F93"/>
  <c r="G93"/>
  <c r="H93"/>
  <c r="I93"/>
  <c r="J93"/>
  <c r="K93"/>
  <c r="N93"/>
  <c r="O93"/>
  <c r="P93"/>
  <c r="R93"/>
  <c r="T93"/>
  <c r="T94"/>
  <c r="T95"/>
  <c r="K94"/>
  <c r="K95"/>
  <c r="V92"/>
  <c r="T92"/>
  <c r="T91"/>
  <c r="T90"/>
  <c r="T89"/>
  <c r="T88"/>
  <c r="T83"/>
  <c r="T82"/>
  <c r="T81"/>
  <c r="T80"/>
  <c r="T79"/>
  <c r="T71"/>
  <c r="S71"/>
  <c r="Q71"/>
  <c r="M71"/>
  <c r="L71"/>
  <c r="K71"/>
  <c r="G71"/>
  <c r="E71"/>
  <c r="D71"/>
  <c r="T70"/>
  <c r="S70"/>
  <c r="Q70"/>
  <c r="O70"/>
  <c r="N70"/>
  <c r="M70"/>
  <c r="L70"/>
  <c r="E70"/>
  <c r="D70"/>
  <c r="T69"/>
  <c r="S69"/>
  <c r="L69"/>
  <c r="K69"/>
  <c r="H69"/>
  <c r="G69"/>
  <c r="E69"/>
  <c r="D69"/>
  <c r="T68"/>
  <c r="S68"/>
  <c r="Q68"/>
  <c r="P68"/>
  <c r="M68"/>
  <c r="L68"/>
  <c r="K68"/>
  <c r="J68"/>
  <c r="I68"/>
  <c r="H68"/>
  <c r="G68"/>
  <c r="E68"/>
  <c r="D68"/>
  <c r="T67"/>
  <c r="S67"/>
  <c r="Q67"/>
  <c r="M67"/>
  <c r="L67"/>
  <c r="J67"/>
  <c r="I67"/>
  <c r="H67"/>
  <c r="G67"/>
  <c r="E67"/>
  <c r="D67"/>
  <c r="T54"/>
  <c r="S53"/>
  <c r="R53"/>
  <c r="P53"/>
  <c r="O53"/>
  <c r="N53"/>
  <c r="M53"/>
  <c r="L53"/>
  <c r="K53"/>
  <c r="J53"/>
  <c r="I53"/>
  <c r="H53"/>
  <c r="G53"/>
  <c r="F53"/>
  <c r="E53"/>
  <c r="D53"/>
  <c r="C53"/>
  <c r="S52"/>
  <c r="R52"/>
  <c r="Q52"/>
  <c r="P52"/>
  <c r="O52"/>
  <c r="N52"/>
  <c r="M52"/>
  <c r="L52"/>
  <c r="K52"/>
  <c r="J52"/>
  <c r="I52"/>
  <c r="H52"/>
  <c r="G52"/>
  <c r="F52"/>
  <c r="E52"/>
  <c r="D52"/>
  <c r="C52"/>
  <c r="S51"/>
  <c r="R51"/>
  <c r="Q51"/>
  <c r="P51"/>
  <c r="O51"/>
  <c r="N51"/>
  <c r="M51"/>
  <c r="L51"/>
  <c r="K51"/>
  <c r="J51"/>
  <c r="I51"/>
  <c r="H51"/>
  <c r="G51"/>
  <c r="F51"/>
  <c r="E51"/>
  <c r="D51"/>
  <c r="C51"/>
  <c r="S50"/>
  <c r="R50"/>
  <c r="Q50"/>
  <c r="P50"/>
  <c r="O50"/>
  <c r="N50"/>
  <c r="M50"/>
  <c r="L50"/>
  <c r="K50"/>
  <c r="J50"/>
  <c r="I50"/>
  <c r="H50"/>
  <c r="G50"/>
  <c r="F50"/>
  <c r="E50"/>
  <c r="D50"/>
  <c r="C50"/>
  <c r="S49"/>
  <c r="R49"/>
  <c r="Q49"/>
  <c r="P49"/>
  <c r="O49"/>
  <c r="N49"/>
  <c r="M49"/>
  <c r="L49"/>
  <c r="K49"/>
  <c r="J49"/>
  <c r="I49"/>
  <c r="H49"/>
  <c r="G49"/>
  <c r="F49"/>
  <c r="E49"/>
  <c r="D49"/>
  <c r="C49"/>
  <c r="Q53"/>
  <c r="AB75" i="311"/>
  <c r="J103" i="309"/>
  <c r="N103"/>
  <c r="P103"/>
  <c r="T103"/>
  <c r="R271"/>
  <c r="P271"/>
  <c r="O271"/>
  <c r="N271"/>
  <c r="J271"/>
  <c r="I271"/>
  <c r="H271"/>
  <c r="F271"/>
  <c r="Y267"/>
  <c r="Y268"/>
  <c r="Y270"/>
  <c r="T102"/>
  <c r="R270"/>
  <c r="P270"/>
  <c r="O270"/>
  <c r="K270"/>
  <c r="J270"/>
  <c r="I270"/>
  <c r="H270"/>
  <c r="G270"/>
  <c r="F270"/>
  <c r="O90"/>
  <c r="O101"/>
  <c r="T101"/>
  <c r="R269"/>
  <c r="P269"/>
  <c r="O269"/>
  <c r="N269"/>
  <c r="K269"/>
  <c r="J269"/>
  <c r="I269"/>
  <c r="H269"/>
  <c r="G269"/>
  <c r="F269"/>
  <c r="T100"/>
  <c r="R268"/>
  <c r="O268"/>
  <c r="N268"/>
  <c r="J268"/>
  <c r="I268"/>
  <c r="F268"/>
  <c r="T99"/>
  <c r="R267"/>
  <c r="Q267"/>
  <c r="P267"/>
  <c r="O267"/>
  <c r="N267"/>
  <c r="K267"/>
  <c r="G267"/>
  <c r="F267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V199"/>
  <c r="V198"/>
  <c r="V197"/>
  <c r="V195"/>
  <c r="C161" a="1"/>
  <c r="D161" a="1"/>
  <c r="E161" a="1"/>
  <c r="F161" a="1"/>
  <c r="G161" a="1"/>
  <c r="H161" a="1"/>
  <c r="I161" a="1"/>
  <c r="J161" a="1"/>
  <c r="K161" a="1"/>
  <c r="L161" a="1"/>
  <c r="M161" a="1"/>
  <c r="N161" a="1"/>
  <c r="O161" a="1"/>
  <c r="P161" a="1"/>
  <c r="Q161" a="1"/>
  <c r="R161" a="1"/>
  <c r="S161" a="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C160" a="1"/>
  <c r="D160" a="1"/>
  <c r="E160" a="1"/>
  <c r="F160" a="1"/>
  <c r="G160" a="1"/>
  <c r="H160" a="1"/>
  <c r="I160" a="1"/>
  <c r="J160" a="1"/>
  <c r="K160" a="1"/>
  <c r="L160" a="1"/>
  <c r="M160" a="1"/>
  <c r="N160" a="1"/>
  <c r="O160" a="1"/>
  <c r="P160" a="1"/>
  <c r="Q160" a="1"/>
  <c r="R160" a="1"/>
  <c r="S160" a="1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C159" a="1"/>
  <c r="D159" a="1"/>
  <c r="E159" a="1"/>
  <c r="F159" a="1"/>
  <c r="G159" a="1"/>
  <c r="H159" a="1"/>
  <c r="I159" a="1"/>
  <c r="J159" a="1"/>
  <c r="K159" a="1"/>
  <c r="L159" a="1"/>
  <c r="M159" a="1"/>
  <c r="N159" a="1"/>
  <c r="O159" a="1"/>
  <c r="P159" a="1"/>
  <c r="Q159" a="1"/>
  <c r="R159" a="1"/>
  <c r="S159" a="1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C158" a="1"/>
  <c r="D158" a="1"/>
  <c r="E158" a="1"/>
  <c r="F158" a="1"/>
  <c r="G158" a="1"/>
  <c r="H158" a="1"/>
  <c r="I158" a="1"/>
  <c r="J158" a="1"/>
  <c r="K158" a="1"/>
  <c r="L158" a="1"/>
  <c r="M158" a="1"/>
  <c r="N158" a="1"/>
  <c r="O158" a="1"/>
  <c r="P158" a="1"/>
  <c r="Q158" a="1"/>
  <c r="R158" a="1"/>
  <c r="S158" a="1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C157" a="1"/>
  <c r="D157" a="1"/>
  <c r="E157" a="1"/>
  <c r="F157" a="1"/>
  <c r="G157" a="1"/>
  <c r="H157" a="1"/>
  <c r="I157" a="1"/>
  <c r="J157" a="1"/>
  <c r="K157" a="1"/>
  <c r="L157" a="1"/>
  <c r="M157" a="1"/>
  <c r="N157" a="1"/>
  <c r="O157" a="1"/>
  <c r="P157" a="1"/>
  <c r="Q157" a="1"/>
  <c r="R157" a="1"/>
  <c r="S157" a="1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U103"/>
  <c r="U112"/>
  <c r="T53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U102"/>
  <c r="U111"/>
  <c r="T52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U101"/>
  <c r="U110"/>
  <c r="T51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U100"/>
  <c r="U109"/>
  <c r="T50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U99"/>
  <c r="U108"/>
  <c r="T49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T104"/>
  <c r="F93"/>
  <c r="G93"/>
  <c r="H93"/>
  <c r="I93"/>
  <c r="J93"/>
  <c r="K93"/>
  <c r="N93"/>
  <c r="O93"/>
  <c r="P93"/>
  <c r="R93"/>
  <c r="T93"/>
  <c r="T94"/>
  <c r="T95"/>
  <c r="K94"/>
  <c r="K95"/>
  <c r="V92"/>
  <c r="T92"/>
  <c r="T91"/>
  <c r="T90"/>
  <c r="T89"/>
  <c r="T88"/>
  <c r="T83"/>
  <c r="T82"/>
  <c r="T81"/>
  <c r="T80"/>
  <c r="T79"/>
  <c r="T71"/>
  <c r="S71"/>
  <c r="Q71"/>
  <c r="M71"/>
  <c r="L71"/>
  <c r="K71"/>
  <c r="G71"/>
  <c r="E71"/>
  <c r="D71"/>
  <c r="T70"/>
  <c r="S70"/>
  <c r="Q70"/>
  <c r="N70"/>
  <c r="M70"/>
  <c r="L70"/>
  <c r="E70"/>
  <c r="D70"/>
  <c r="T69"/>
  <c r="S69"/>
  <c r="Q69"/>
  <c r="M69"/>
  <c r="L69"/>
  <c r="E69"/>
  <c r="D69"/>
  <c r="T68"/>
  <c r="S68"/>
  <c r="Q68"/>
  <c r="P68"/>
  <c r="M68"/>
  <c r="L68"/>
  <c r="K68"/>
  <c r="H68"/>
  <c r="G68"/>
  <c r="E68"/>
  <c r="D68"/>
  <c r="T67"/>
  <c r="S67"/>
  <c r="M67"/>
  <c r="L67"/>
  <c r="J67"/>
  <c r="I67"/>
  <c r="H67"/>
  <c r="E67"/>
  <c r="D67"/>
  <c r="T54"/>
  <c r="S53"/>
  <c r="R53"/>
  <c r="P53"/>
  <c r="O53"/>
  <c r="N53"/>
  <c r="M53"/>
  <c r="L53"/>
  <c r="K53"/>
  <c r="J53"/>
  <c r="I53"/>
  <c r="H53"/>
  <c r="G53"/>
  <c r="F53"/>
  <c r="E53"/>
  <c r="D53"/>
  <c r="C53"/>
  <c r="S52"/>
  <c r="R52"/>
  <c r="Q52"/>
  <c r="P52"/>
  <c r="O52"/>
  <c r="N52"/>
  <c r="M52"/>
  <c r="L52"/>
  <c r="K52"/>
  <c r="J52"/>
  <c r="I52"/>
  <c r="H52"/>
  <c r="G52"/>
  <c r="F52"/>
  <c r="E52"/>
  <c r="D52"/>
  <c r="C52"/>
  <c r="S51"/>
  <c r="R51"/>
  <c r="Q51"/>
  <c r="P51"/>
  <c r="O51"/>
  <c r="N51"/>
  <c r="M51"/>
  <c r="L51"/>
  <c r="K51"/>
  <c r="J51"/>
  <c r="I51"/>
  <c r="H51"/>
  <c r="G51"/>
  <c r="F51"/>
  <c r="E51"/>
  <c r="D51"/>
  <c r="C51"/>
  <c r="S50"/>
  <c r="R50"/>
  <c r="Q50"/>
  <c r="P50"/>
  <c r="O50"/>
  <c r="N50"/>
  <c r="M50"/>
  <c r="L50"/>
  <c r="K50"/>
  <c r="J50"/>
  <c r="I50"/>
  <c r="H50"/>
  <c r="G50"/>
  <c r="F50"/>
  <c r="E50"/>
  <c r="D50"/>
  <c r="C50"/>
  <c r="S49"/>
  <c r="R49"/>
  <c r="Q49"/>
  <c r="P49"/>
  <c r="O49"/>
  <c r="N49"/>
  <c r="M49"/>
  <c r="L49"/>
  <c r="K49"/>
  <c r="J49"/>
  <c r="I49"/>
  <c r="H49"/>
  <c r="G49"/>
  <c r="F49"/>
  <c r="E49"/>
  <c r="D49"/>
  <c r="C49"/>
  <c r="Q53"/>
  <c r="AB75" i="308"/>
  <c r="S163" i="309"/>
  <c r="S172"/>
  <c r="S173"/>
  <c r="S174"/>
  <c r="S175"/>
  <c r="S176"/>
  <c r="S177"/>
  <c r="S178"/>
  <c r="S261"/>
  <c r="Y261"/>
  <c r="S165"/>
  <c r="S186"/>
  <c r="S187"/>
  <c r="S188"/>
  <c r="S189"/>
  <c r="S190"/>
  <c r="S191"/>
  <c r="S263"/>
  <c r="Y262"/>
  <c r="S166"/>
  <c r="S192"/>
  <c r="S193"/>
  <c r="S194"/>
  <c r="S195"/>
  <c r="S196"/>
  <c r="S197"/>
  <c r="S198"/>
  <c r="S199"/>
  <c r="S264"/>
  <c r="Y263"/>
  <c r="S167"/>
  <c r="S200"/>
  <c r="S201"/>
  <c r="S202"/>
  <c r="S203"/>
  <c r="S204"/>
  <c r="S205"/>
  <c r="S206"/>
  <c r="S265"/>
  <c r="Y264"/>
  <c r="S164"/>
  <c r="S179"/>
  <c r="S180"/>
  <c r="S181"/>
  <c r="S182"/>
  <c r="S183"/>
  <c r="S184"/>
  <c r="S185"/>
  <c r="S262"/>
  <c r="Y265"/>
  <c r="Y269"/>
  <c r="V107" i="317"/>
  <c r="I108"/>
  <c r="M105" i="309"/>
  <c r="C163"/>
  <c r="C172"/>
  <c r="D163"/>
  <c r="D172"/>
  <c r="E163"/>
  <c r="E172"/>
  <c r="F163"/>
  <c r="F172"/>
  <c r="G163"/>
  <c r="G172"/>
  <c r="H163"/>
  <c r="H172"/>
  <c r="I163"/>
  <c r="I172"/>
  <c r="J163"/>
  <c r="J172"/>
  <c r="K163"/>
  <c r="K172"/>
  <c r="L163"/>
  <c r="L172"/>
  <c r="M163"/>
  <c r="M172"/>
  <c r="N163"/>
  <c r="N172"/>
  <c r="O163"/>
  <c r="O172"/>
  <c r="P163"/>
  <c r="P172"/>
  <c r="Q163"/>
  <c r="Q172"/>
  <c r="R163"/>
  <c r="R172"/>
  <c r="T172"/>
  <c r="X172"/>
  <c r="E173"/>
  <c r="F173"/>
  <c r="H173"/>
  <c r="I173"/>
  <c r="J173"/>
  <c r="K173"/>
  <c r="L173"/>
  <c r="N173"/>
  <c r="O173"/>
  <c r="P173"/>
  <c r="Q173"/>
  <c r="R173"/>
  <c r="C173"/>
  <c r="D173"/>
  <c r="G173"/>
  <c r="M173"/>
  <c r="T173"/>
  <c r="X173"/>
  <c r="E174"/>
  <c r="F174"/>
  <c r="H174"/>
  <c r="I174"/>
  <c r="J174"/>
  <c r="K174"/>
  <c r="L174"/>
  <c r="N174"/>
  <c r="O174"/>
  <c r="P174"/>
  <c r="Q174"/>
  <c r="R174"/>
  <c r="C174"/>
  <c r="D174"/>
  <c r="G174"/>
  <c r="M174"/>
  <c r="T174"/>
  <c r="X174"/>
  <c r="E175"/>
  <c r="F175"/>
  <c r="I175"/>
  <c r="J175"/>
  <c r="K175"/>
  <c r="L175"/>
  <c r="M175"/>
  <c r="N175"/>
  <c r="O175"/>
  <c r="P175"/>
  <c r="Q175"/>
  <c r="R175"/>
  <c r="C175"/>
  <c r="D175"/>
  <c r="G175"/>
  <c r="H175"/>
  <c r="T175"/>
  <c r="X175"/>
  <c r="D176"/>
  <c r="F176"/>
  <c r="G176"/>
  <c r="I176"/>
  <c r="J176"/>
  <c r="K176"/>
  <c r="L176"/>
  <c r="M176"/>
  <c r="N176"/>
  <c r="O176"/>
  <c r="P176"/>
  <c r="Q176"/>
  <c r="R176"/>
  <c r="C176"/>
  <c r="E176"/>
  <c r="H176"/>
  <c r="T176"/>
  <c r="X176"/>
  <c r="C177"/>
  <c r="D177"/>
  <c r="E177"/>
  <c r="F177"/>
  <c r="G177"/>
  <c r="H177"/>
  <c r="I177"/>
  <c r="J177"/>
  <c r="K177"/>
  <c r="L177"/>
  <c r="M177"/>
  <c r="N177"/>
  <c r="O177"/>
  <c r="P177"/>
  <c r="Q177"/>
  <c r="R177"/>
  <c r="T177"/>
  <c r="X177"/>
  <c r="C178"/>
  <c r="D178"/>
  <c r="E178"/>
  <c r="F178"/>
  <c r="G178"/>
  <c r="H178"/>
  <c r="I178"/>
  <c r="J178"/>
  <c r="K178"/>
  <c r="L178"/>
  <c r="M178"/>
  <c r="N178"/>
  <c r="O178"/>
  <c r="P178"/>
  <c r="Q178"/>
  <c r="R178"/>
  <c r="T178"/>
  <c r="X178"/>
  <c r="C164"/>
  <c r="C179"/>
  <c r="D164"/>
  <c r="D179"/>
  <c r="E164"/>
  <c r="E179"/>
  <c r="F164"/>
  <c r="F179"/>
  <c r="G164"/>
  <c r="G179"/>
  <c r="H164"/>
  <c r="H179"/>
  <c r="I164"/>
  <c r="I179"/>
  <c r="J164"/>
  <c r="J179"/>
  <c r="K164"/>
  <c r="K179"/>
  <c r="L164"/>
  <c r="L179"/>
  <c r="M164"/>
  <c r="M179"/>
  <c r="N164"/>
  <c r="N179"/>
  <c r="O164"/>
  <c r="O179"/>
  <c r="P164"/>
  <c r="P179"/>
  <c r="Q164"/>
  <c r="Q179"/>
  <c r="R164"/>
  <c r="R179"/>
  <c r="T179"/>
  <c r="X179"/>
  <c r="E180"/>
  <c r="F180"/>
  <c r="H180"/>
  <c r="I180"/>
  <c r="J180"/>
  <c r="K180"/>
  <c r="M180"/>
  <c r="N180"/>
  <c r="O180"/>
  <c r="R180"/>
  <c r="C180"/>
  <c r="D180"/>
  <c r="G180"/>
  <c r="L180"/>
  <c r="P180"/>
  <c r="Q180"/>
  <c r="T180"/>
  <c r="X180"/>
  <c r="E181"/>
  <c r="F181"/>
  <c r="H181"/>
  <c r="I181"/>
  <c r="J181"/>
  <c r="K181"/>
  <c r="M181"/>
  <c r="N181"/>
  <c r="O181"/>
  <c r="P181"/>
  <c r="Q181"/>
  <c r="R181"/>
  <c r="C181"/>
  <c r="D181"/>
  <c r="G181"/>
  <c r="L181"/>
  <c r="T181"/>
  <c r="X181"/>
  <c r="E182"/>
  <c r="F182"/>
  <c r="G182"/>
  <c r="H182"/>
  <c r="I182"/>
  <c r="J182"/>
  <c r="K182"/>
  <c r="N182"/>
  <c r="O182"/>
  <c r="P182"/>
  <c r="Q182"/>
  <c r="R182"/>
  <c r="C182"/>
  <c r="D182"/>
  <c r="L182"/>
  <c r="M182"/>
  <c r="T182"/>
  <c r="X182"/>
  <c r="E183"/>
  <c r="F183"/>
  <c r="H183"/>
  <c r="I183"/>
  <c r="J183"/>
  <c r="K183"/>
  <c r="N183"/>
  <c r="O183"/>
  <c r="P183"/>
  <c r="Q183"/>
  <c r="R183"/>
  <c r="C183"/>
  <c r="D183"/>
  <c r="G183"/>
  <c r="L183"/>
  <c r="M183"/>
  <c r="T183"/>
  <c r="X183"/>
  <c r="C184"/>
  <c r="D184"/>
  <c r="E184"/>
  <c r="F184"/>
  <c r="G184"/>
  <c r="H184"/>
  <c r="I184"/>
  <c r="J184"/>
  <c r="K184"/>
  <c r="L184"/>
  <c r="M184"/>
  <c r="N184"/>
  <c r="O184"/>
  <c r="P184"/>
  <c r="Q184"/>
  <c r="R184"/>
  <c r="T184"/>
  <c r="X184"/>
  <c r="C185"/>
  <c r="D185"/>
  <c r="E185"/>
  <c r="F185"/>
  <c r="G185"/>
  <c r="H185"/>
  <c r="I185"/>
  <c r="J185"/>
  <c r="K185"/>
  <c r="L185"/>
  <c r="M185"/>
  <c r="N185"/>
  <c r="O185"/>
  <c r="P185"/>
  <c r="Q185"/>
  <c r="R185"/>
  <c r="T185"/>
  <c r="X185"/>
  <c r="C165"/>
  <c r="C186"/>
  <c r="D165"/>
  <c r="D186"/>
  <c r="E165"/>
  <c r="E186"/>
  <c r="F165"/>
  <c r="F186"/>
  <c r="G165"/>
  <c r="G186"/>
  <c r="H165"/>
  <c r="H186"/>
  <c r="I165"/>
  <c r="I186"/>
  <c r="J165"/>
  <c r="J186"/>
  <c r="K165"/>
  <c r="K186"/>
  <c r="L165"/>
  <c r="L186"/>
  <c r="M165"/>
  <c r="M186"/>
  <c r="N165"/>
  <c r="N186"/>
  <c r="O165"/>
  <c r="O186"/>
  <c r="P165"/>
  <c r="P186"/>
  <c r="Q165"/>
  <c r="Q186"/>
  <c r="R165"/>
  <c r="R186"/>
  <c r="T186"/>
  <c r="X186"/>
  <c r="E187"/>
  <c r="F187"/>
  <c r="I187"/>
  <c r="J187"/>
  <c r="K187"/>
  <c r="M187"/>
  <c r="N187"/>
  <c r="O187"/>
  <c r="P187"/>
  <c r="Q187"/>
  <c r="R187"/>
  <c r="C187"/>
  <c r="D187"/>
  <c r="G187"/>
  <c r="H187"/>
  <c r="L187"/>
  <c r="T187"/>
  <c r="X187"/>
  <c r="E188"/>
  <c r="F188"/>
  <c r="G188"/>
  <c r="H188"/>
  <c r="I188"/>
  <c r="J188"/>
  <c r="K188"/>
  <c r="M188"/>
  <c r="N188"/>
  <c r="O188"/>
  <c r="P188"/>
  <c r="Q188"/>
  <c r="R188"/>
  <c r="C188"/>
  <c r="D188"/>
  <c r="L188"/>
  <c r="T188"/>
  <c r="X188"/>
  <c r="F189"/>
  <c r="G189"/>
  <c r="I189"/>
  <c r="J189"/>
  <c r="K189"/>
  <c r="M189"/>
  <c r="N189"/>
  <c r="O189"/>
  <c r="P189"/>
  <c r="Q189"/>
  <c r="R189"/>
  <c r="C189"/>
  <c r="D189"/>
  <c r="E189"/>
  <c r="H189"/>
  <c r="L189"/>
  <c r="T189"/>
  <c r="X189"/>
  <c r="C190"/>
  <c r="D190"/>
  <c r="E190"/>
  <c r="F190"/>
  <c r="G190"/>
  <c r="H190"/>
  <c r="I190"/>
  <c r="J190"/>
  <c r="K190"/>
  <c r="L190"/>
  <c r="M190"/>
  <c r="N190"/>
  <c r="O190"/>
  <c r="P190"/>
  <c r="Q190"/>
  <c r="R190"/>
  <c r="T190"/>
  <c r="X190"/>
  <c r="C191"/>
  <c r="D191"/>
  <c r="E191"/>
  <c r="F191"/>
  <c r="G191"/>
  <c r="H191"/>
  <c r="I191"/>
  <c r="J191"/>
  <c r="K191"/>
  <c r="L191"/>
  <c r="M191"/>
  <c r="N191"/>
  <c r="O191"/>
  <c r="P191"/>
  <c r="Q191"/>
  <c r="R191"/>
  <c r="T191"/>
  <c r="X191"/>
  <c r="C166"/>
  <c r="C192"/>
  <c r="D166"/>
  <c r="D192"/>
  <c r="E166"/>
  <c r="E192"/>
  <c r="F166"/>
  <c r="F192"/>
  <c r="G166"/>
  <c r="G192"/>
  <c r="H166"/>
  <c r="H192"/>
  <c r="I166"/>
  <c r="I192"/>
  <c r="J166"/>
  <c r="J192"/>
  <c r="K166"/>
  <c r="K192"/>
  <c r="L166"/>
  <c r="L192"/>
  <c r="M166"/>
  <c r="M192"/>
  <c r="N166"/>
  <c r="N192"/>
  <c r="O166"/>
  <c r="O192"/>
  <c r="P166"/>
  <c r="P192"/>
  <c r="Q166"/>
  <c r="Q192"/>
  <c r="R166"/>
  <c r="R192"/>
  <c r="T192"/>
  <c r="X192"/>
  <c r="F193"/>
  <c r="G193"/>
  <c r="H193"/>
  <c r="I193"/>
  <c r="J193"/>
  <c r="K193"/>
  <c r="P193"/>
  <c r="Q193"/>
  <c r="R193"/>
  <c r="C193"/>
  <c r="D193"/>
  <c r="E193"/>
  <c r="L193"/>
  <c r="M193"/>
  <c r="N193"/>
  <c r="O193"/>
  <c r="T193"/>
  <c r="X193"/>
  <c r="E194"/>
  <c r="F194"/>
  <c r="H194"/>
  <c r="I194"/>
  <c r="J194"/>
  <c r="K194"/>
  <c r="L194"/>
  <c r="M194"/>
  <c r="N194"/>
  <c r="P194"/>
  <c r="Q194"/>
  <c r="R194"/>
  <c r="C194"/>
  <c r="D194"/>
  <c r="G194"/>
  <c r="O194"/>
  <c r="T194"/>
  <c r="X194"/>
  <c r="D195"/>
  <c r="E195"/>
  <c r="F195"/>
  <c r="G195"/>
  <c r="H195"/>
  <c r="I195"/>
  <c r="J195"/>
  <c r="K195"/>
  <c r="L195"/>
  <c r="M195"/>
  <c r="N195"/>
  <c r="O195"/>
  <c r="P195"/>
  <c r="Q195"/>
  <c r="R195"/>
  <c r="C195"/>
  <c r="T195"/>
  <c r="X195"/>
  <c r="E196"/>
  <c r="F196"/>
  <c r="H196"/>
  <c r="I196"/>
  <c r="J196"/>
  <c r="K196"/>
  <c r="L196"/>
  <c r="M196"/>
  <c r="N196"/>
  <c r="O196"/>
  <c r="P196"/>
  <c r="Q196"/>
  <c r="R196"/>
  <c r="C196"/>
  <c r="D196"/>
  <c r="G196"/>
  <c r="T196"/>
  <c r="X196"/>
  <c r="F197"/>
  <c r="I197"/>
  <c r="J197"/>
  <c r="K197"/>
  <c r="P197"/>
  <c r="Q197"/>
  <c r="R197"/>
  <c r="C197"/>
  <c r="D197"/>
  <c r="E197"/>
  <c r="G197"/>
  <c r="H197"/>
  <c r="L197"/>
  <c r="M197"/>
  <c r="N197"/>
  <c r="O197"/>
  <c r="T197"/>
  <c r="X197"/>
  <c r="C198"/>
  <c r="D198"/>
  <c r="E198"/>
  <c r="F198"/>
  <c r="G198"/>
  <c r="H198"/>
  <c r="I198"/>
  <c r="J198"/>
  <c r="K198"/>
  <c r="L198"/>
  <c r="M198"/>
  <c r="N198"/>
  <c r="O198"/>
  <c r="P198"/>
  <c r="Q198"/>
  <c r="R198"/>
  <c r="T198"/>
  <c r="X198"/>
  <c r="C199"/>
  <c r="D199"/>
  <c r="E199"/>
  <c r="F199"/>
  <c r="G199"/>
  <c r="H199"/>
  <c r="I199"/>
  <c r="J199"/>
  <c r="K199"/>
  <c r="L199"/>
  <c r="M199"/>
  <c r="N199"/>
  <c r="O199"/>
  <c r="P199"/>
  <c r="Q199"/>
  <c r="R199"/>
  <c r="T199"/>
  <c r="X199"/>
  <c r="C167"/>
  <c r="C200"/>
  <c r="D167"/>
  <c r="D200"/>
  <c r="E167"/>
  <c r="E200"/>
  <c r="F167"/>
  <c r="F200"/>
  <c r="G167"/>
  <c r="G200"/>
  <c r="H167"/>
  <c r="H200"/>
  <c r="I167"/>
  <c r="I200"/>
  <c r="J167"/>
  <c r="J200"/>
  <c r="K167"/>
  <c r="K200"/>
  <c r="L167"/>
  <c r="L200"/>
  <c r="M167"/>
  <c r="M200"/>
  <c r="N167"/>
  <c r="N200"/>
  <c r="O167"/>
  <c r="O200"/>
  <c r="P167"/>
  <c r="P200"/>
  <c r="Q167"/>
  <c r="Q200"/>
  <c r="R167"/>
  <c r="R200"/>
  <c r="T200"/>
  <c r="X200"/>
  <c r="D201"/>
  <c r="E201"/>
  <c r="F201"/>
  <c r="G201"/>
  <c r="H201"/>
  <c r="I201"/>
  <c r="J201"/>
  <c r="K201"/>
  <c r="L201"/>
  <c r="M201"/>
  <c r="N201"/>
  <c r="O201"/>
  <c r="P201"/>
  <c r="Q201"/>
  <c r="R201"/>
  <c r="C201"/>
  <c r="T201"/>
  <c r="X201"/>
  <c r="E202"/>
  <c r="F202"/>
  <c r="H202"/>
  <c r="I202"/>
  <c r="J202"/>
  <c r="K202"/>
  <c r="M202"/>
  <c r="N202"/>
  <c r="O202"/>
  <c r="P202"/>
  <c r="R202"/>
  <c r="C202"/>
  <c r="D202"/>
  <c r="G202"/>
  <c r="L202"/>
  <c r="Q202"/>
  <c r="T202"/>
  <c r="X202"/>
  <c r="D203"/>
  <c r="E203"/>
  <c r="F203"/>
  <c r="G203"/>
  <c r="H203"/>
  <c r="I203"/>
  <c r="J203"/>
  <c r="K203"/>
  <c r="L203"/>
  <c r="M203"/>
  <c r="N203"/>
  <c r="O203"/>
  <c r="P203"/>
  <c r="Q203"/>
  <c r="R203"/>
  <c r="C203"/>
  <c r="T203"/>
  <c r="X203"/>
  <c r="F204"/>
  <c r="I204"/>
  <c r="J204"/>
  <c r="K204"/>
  <c r="N204"/>
  <c r="O204"/>
  <c r="P204"/>
  <c r="R204"/>
  <c r="C204"/>
  <c r="D204"/>
  <c r="E204"/>
  <c r="G204"/>
  <c r="H204"/>
  <c r="L204"/>
  <c r="M204"/>
  <c r="Q204"/>
  <c r="T204"/>
  <c r="X204"/>
  <c r="C205"/>
  <c r="D205"/>
  <c r="E205"/>
  <c r="F205"/>
  <c r="G205"/>
  <c r="H205"/>
  <c r="I205"/>
  <c r="J205"/>
  <c r="K205"/>
  <c r="L205"/>
  <c r="M205"/>
  <c r="N205"/>
  <c r="O205"/>
  <c r="P205"/>
  <c r="Q205"/>
  <c r="R205"/>
  <c r="T205"/>
  <c r="X205"/>
  <c r="C206"/>
  <c r="D206"/>
  <c r="E206"/>
  <c r="F206"/>
  <c r="G206"/>
  <c r="H206"/>
  <c r="I206"/>
  <c r="J206"/>
  <c r="K206"/>
  <c r="L206"/>
  <c r="M206"/>
  <c r="N206"/>
  <c r="O206"/>
  <c r="P206"/>
  <c r="Q206"/>
  <c r="R206"/>
  <c r="T206"/>
  <c r="X206"/>
  <c r="K207"/>
  <c r="D212"/>
  <c r="F212"/>
  <c r="G212"/>
  <c r="H212"/>
  <c r="I212"/>
  <c r="J212"/>
  <c r="K212"/>
  <c r="L212"/>
  <c r="N212"/>
  <c r="P212"/>
  <c r="Q212"/>
  <c r="R212"/>
  <c r="S212"/>
  <c r="T212"/>
  <c r="D213"/>
  <c r="F213"/>
  <c r="G213"/>
  <c r="H213"/>
  <c r="I213"/>
  <c r="J213"/>
  <c r="K213"/>
  <c r="L213"/>
  <c r="N213"/>
  <c r="P213"/>
  <c r="Q213"/>
  <c r="R213"/>
  <c r="S213"/>
  <c r="T213"/>
  <c r="D214"/>
  <c r="F214"/>
  <c r="G214"/>
  <c r="H214"/>
  <c r="I214"/>
  <c r="J214"/>
  <c r="K214"/>
  <c r="L214"/>
  <c r="N214"/>
  <c r="P214"/>
  <c r="Q214"/>
  <c r="R214"/>
  <c r="S214"/>
  <c r="T214"/>
  <c r="D215"/>
  <c r="F215"/>
  <c r="G215"/>
  <c r="H215"/>
  <c r="I215"/>
  <c r="J215"/>
  <c r="K215"/>
  <c r="L215"/>
  <c r="N215"/>
  <c r="P215"/>
  <c r="Q215"/>
  <c r="R215"/>
  <c r="S215"/>
  <c r="T215"/>
  <c r="C211"/>
  <c r="C212"/>
  <c r="C213"/>
  <c r="C214"/>
  <c r="C215"/>
  <c r="C216"/>
  <c r="D211"/>
  <c r="D216"/>
  <c r="E211"/>
  <c r="E212"/>
  <c r="E213"/>
  <c r="E214"/>
  <c r="E215"/>
  <c r="E216"/>
  <c r="F211"/>
  <c r="F216"/>
  <c r="G211"/>
  <c r="G216"/>
  <c r="H211"/>
  <c r="H216"/>
  <c r="I211"/>
  <c r="I216"/>
  <c r="J211"/>
  <c r="J216"/>
  <c r="K211"/>
  <c r="K216"/>
  <c r="L211"/>
  <c r="L216"/>
  <c r="M211"/>
  <c r="M212"/>
  <c r="M213"/>
  <c r="M214"/>
  <c r="M215"/>
  <c r="M216"/>
  <c r="N211"/>
  <c r="N216"/>
  <c r="O211"/>
  <c r="O212"/>
  <c r="O213"/>
  <c r="O214"/>
  <c r="O215"/>
  <c r="O216"/>
  <c r="P211"/>
  <c r="P216"/>
  <c r="Q211"/>
  <c r="Q216"/>
  <c r="R211"/>
  <c r="R216"/>
  <c r="S211"/>
  <c r="S216"/>
  <c r="T211"/>
  <c r="T216"/>
  <c r="U211"/>
  <c r="U212"/>
  <c r="U213"/>
  <c r="U214"/>
  <c r="U215"/>
  <c r="U216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C224"/>
  <c r="D224"/>
  <c r="E224"/>
  <c r="F224"/>
  <c r="G224"/>
  <c r="H224"/>
  <c r="I224"/>
  <c r="J224"/>
  <c r="K224"/>
  <c r="L224"/>
  <c r="M224"/>
  <c r="N224"/>
  <c r="O224"/>
  <c r="P224"/>
  <c r="R224"/>
  <c r="S224"/>
  <c r="T224"/>
  <c r="C220"/>
  <c r="C225"/>
  <c r="F220"/>
  <c r="F225"/>
  <c r="O220"/>
  <c r="O225"/>
  <c r="T220"/>
  <c r="T225"/>
  <c r="D220"/>
  <c r="E220"/>
  <c r="G220"/>
  <c r="H220"/>
  <c r="I220"/>
  <c r="J220"/>
  <c r="K220"/>
  <c r="L220"/>
  <c r="M220"/>
  <c r="N220"/>
  <c r="P220"/>
  <c r="Q220"/>
  <c r="R220"/>
  <c r="S220"/>
  <c r="U220"/>
  <c r="U221"/>
  <c r="U222"/>
  <c r="U223"/>
  <c r="Q224"/>
  <c r="U224"/>
  <c r="U225"/>
  <c r="F261"/>
  <c r="G261"/>
  <c r="K261"/>
  <c r="N261"/>
  <c r="O261"/>
  <c r="P261"/>
  <c r="Q261"/>
  <c r="R261"/>
  <c r="F262"/>
  <c r="I262"/>
  <c r="J262"/>
  <c r="N262"/>
  <c r="O262"/>
  <c r="R262"/>
  <c r="F263"/>
  <c r="G263"/>
  <c r="H263"/>
  <c r="I263"/>
  <c r="J263"/>
  <c r="K263"/>
  <c r="N263"/>
  <c r="O263"/>
  <c r="P263"/>
  <c r="R263"/>
  <c r="F264"/>
  <c r="G264"/>
  <c r="H264"/>
  <c r="I264"/>
  <c r="J264"/>
  <c r="K264"/>
  <c r="O264"/>
  <c r="P264"/>
  <c r="R264"/>
  <c r="F265"/>
  <c r="H265"/>
  <c r="I265"/>
  <c r="J265"/>
  <c r="N265"/>
  <c r="O265"/>
  <c r="P265"/>
  <c r="R265"/>
  <c r="C261"/>
  <c r="C267"/>
  <c r="D261"/>
  <c r="D267"/>
  <c r="E261"/>
  <c r="E267"/>
  <c r="H261"/>
  <c r="H267"/>
  <c r="I261"/>
  <c r="I267"/>
  <c r="J261"/>
  <c r="J267"/>
  <c r="L261"/>
  <c r="L267"/>
  <c r="M261"/>
  <c r="M267"/>
  <c r="S267"/>
  <c r="T261"/>
  <c r="T267"/>
  <c r="C262"/>
  <c r="C268"/>
  <c r="D262"/>
  <c r="D268"/>
  <c r="E262"/>
  <c r="E268"/>
  <c r="G262"/>
  <c r="G268"/>
  <c r="H262"/>
  <c r="H268"/>
  <c r="K262"/>
  <c r="K268"/>
  <c r="L262"/>
  <c r="L268"/>
  <c r="M262"/>
  <c r="M268"/>
  <c r="P262"/>
  <c r="P268"/>
  <c r="Q262"/>
  <c r="Q268"/>
  <c r="S268"/>
  <c r="T262"/>
  <c r="T268"/>
  <c r="C263"/>
  <c r="C269"/>
  <c r="D263"/>
  <c r="D269"/>
  <c r="E263"/>
  <c r="E269"/>
  <c r="L263"/>
  <c r="L269"/>
  <c r="M263"/>
  <c r="M269"/>
  <c r="Q263"/>
  <c r="Q269"/>
  <c r="S269"/>
  <c r="T263"/>
  <c r="T269"/>
  <c r="C264"/>
  <c r="C270"/>
  <c r="D264"/>
  <c r="D270"/>
  <c r="E264"/>
  <c r="E270"/>
  <c r="L264"/>
  <c r="L270"/>
  <c r="M264"/>
  <c r="M270"/>
  <c r="N264"/>
  <c r="N270"/>
  <c r="Q264"/>
  <c r="Q270"/>
  <c r="S270"/>
  <c r="T264"/>
  <c r="T270"/>
  <c r="C265"/>
  <c r="C271"/>
  <c r="D265"/>
  <c r="D271"/>
  <c r="E265"/>
  <c r="E271"/>
  <c r="G265"/>
  <c r="G271"/>
  <c r="K265"/>
  <c r="K271"/>
  <c r="L265"/>
  <c r="L271"/>
  <c r="M265"/>
  <c r="M271"/>
  <c r="Q265"/>
  <c r="Q271"/>
  <c r="S271"/>
  <c r="T265"/>
  <c r="T271"/>
  <c r="Y271"/>
  <c r="Q167" i="312"/>
  <c r="Q206"/>
  <c r="Q224"/>
  <c r="P129" i="311"/>
  <c r="P128"/>
  <c r="M105" i="312"/>
  <c r="C163"/>
  <c r="C172"/>
  <c r="D163"/>
  <c r="D172"/>
  <c r="E163"/>
  <c r="E172"/>
  <c r="F163"/>
  <c r="F172"/>
  <c r="G163"/>
  <c r="G172"/>
  <c r="H163"/>
  <c r="H172"/>
  <c r="I163"/>
  <c r="I172"/>
  <c r="J163"/>
  <c r="J172"/>
  <c r="K163"/>
  <c r="K172"/>
  <c r="L163"/>
  <c r="L172"/>
  <c r="M163"/>
  <c r="M172"/>
  <c r="N163"/>
  <c r="N172"/>
  <c r="O163"/>
  <c r="O172"/>
  <c r="P163"/>
  <c r="P172"/>
  <c r="Q163"/>
  <c r="Q172"/>
  <c r="R163"/>
  <c r="R172"/>
  <c r="S163"/>
  <c r="S172"/>
  <c r="T172"/>
  <c r="X172"/>
  <c r="E173"/>
  <c r="F173"/>
  <c r="H173"/>
  <c r="I173"/>
  <c r="J173"/>
  <c r="K173"/>
  <c r="L173"/>
  <c r="N173"/>
  <c r="O173"/>
  <c r="P173"/>
  <c r="Q173"/>
  <c r="R173"/>
  <c r="S173"/>
  <c r="C173"/>
  <c r="D173"/>
  <c r="G173"/>
  <c r="M173"/>
  <c r="T173"/>
  <c r="X173"/>
  <c r="E174"/>
  <c r="F174"/>
  <c r="H174"/>
  <c r="I174"/>
  <c r="J174"/>
  <c r="K174"/>
  <c r="L174"/>
  <c r="N174"/>
  <c r="O174"/>
  <c r="P174"/>
  <c r="Q174"/>
  <c r="R174"/>
  <c r="S174"/>
  <c r="C174"/>
  <c r="D174"/>
  <c r="G174"/>
  <c r="M174"/>
  <c r="T174"/>
  <c r="X174"/>
  <c r="E175"/>
  <c r="F175"/>
  <c r="I175"/>
  <c r="J175"/>
  <c r="K175"/>
  <c r="L175"/>
  <c r="M175"/>
  <c r="N175"/>
  <c r="O175"/>
  <c r="P175"/>
  <c r="Q175"/>
  <c r="R175"/>
  <c r="S175"/>
  <c r="C175"/>
  <c r="D175"/>
  <c r="G175"/>
  <c r="H175"/>
  <c r="T175"/>
  <c r="X175"/>
  <c r="D176"/>
  <c r="F176"/>
  <c r="G176"/>
  <c r="I176"/>
  <c r="J176"/>
  <c r="K176"/>
  <c r="L176"/>
  <c r="M176"/>
  <c r="N176"/>
  <c r="O176"/>
  <c r="P176"/>
  <c r="Q176"/>
  <c r="R176"/>
  <c r="S176"/>
  <c r="C176"/>
  <c r="E176"/>
  <c r="H176"/>
  <c r="T176"/>
  <c r="X176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X177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X178"/>
  <c r="C164"/>
  <c r="C179"/>
  <c r="D164"/>
  <c r="D179"/>
  <c r="E164"/>
  <c r="E179"/>
  <c r="F164"/>
  <c r="F179"/>
  <c r="G164"/>
  <c r="G179"/>
  <c r="H164"/>
  <c r="H179"/>
  <c r="I164"/>
  <c r="I179"/>
  <c r="J164"/>
  <c r="J179"/>
  <c r="K164"/>
  <c r="K179"/>
  <c r="L164"/>
  <c r="L179"/>
  <c r="M164"/>
  <c r="M179"/>
  <c r="N164"/>
  <c r="N179"/>
  <c r="O164"/>
  <c r="O179"/>
  <c r="P164"/>
  <c r="P179"/>
  <c r="Q164"/>
  <c r="Q179"/>
  <c r="R164"/>
  <c r="R179"/>
  <c r="S164"/>
  <c r="S179"/>
  <c r="T179"/>
  <c r="X179"/>
  <c r="E180"/>
  <c r="F180"/>
  <c r="H180"/>
  <c r="I180"/>
  <c r="J180"/>
  <c r="K180"/>
  <c r="M180"/>
  <c r="N180"/>
  <c r="O180"/>
  <c r="R180"/>
  <c r="S180"/>
  <c r="C180"/>
  <c r="D180"/>
  <c r="G180"/>
  <c r="L180"/>
  <c r="P180"/>
  <c r="Q180"/>
  <c r="T180"/>
  <c r="X180"/>
  <c r="E181"/>
  <c r="F181"/>
  <c r="H181"/>
  <c r="I181"/>
  <c r="J181"/>
  <c r="K181"/>
  <c r="M181"/>
  <c r="N181"/>
  <c r="O181"/>
  <c r="P181"/>
  <c r="Q181"/>
  <c r="R181"/>
  <c r="S181"/>
  <c r="C181"/>
  <c r="D181"/>
  <c r="G181"/>
  <c r="L181"/>
  <c r="T181"/>
  <c r="X181"/>
  <c r="E182"/>
  <c r="F182"/>
  <c r="G182"/>
  <c r="H182"/>
  <c r="I182"/>
  <c r="J182"/>
  <c r="K182"/>
  <c r="N182"/>
  <c r="O182"/>
  <c r="P182"/>
  <c r="Q182"/>
  <c r="R182"/>
  <c r="S182"/>
  <c r="C182"/>
  <c r="D182"/>
  <c r="L182"/>
  <c r="M182"/>
  <c r="T182"/>
  <c r="X182"/>
  <c r="E183"/>
  <c r="F183"/>
  <c r="H183"/>
  <c r="I183"/>
  <c r="J183"/>
  <c r="K183"/>
  <c r="N183"/>
  <c r="O183"/>
  <c r="P183"/>
  <c r="Q183"/>
  <c r="R183"/>
  <c r="S183"/>
  <c r="C183"/>
  <c r="D183"/>
  <c r="G183"/>
  <c r="L183"/>
  <c r="M183"/>
  <c r="T183"/>
  <c r="X183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X184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X185"/>
  <c r="C165"/>
  <c r="C186"/>
  <c r="D165"/>
  <c r="D186"/>
  <c r="E165"/>
  <c r="E186"/>
  <c r="F165"/>
  <c r="F186"/>
  <c r="G165"/>
  <c r="G186"/>
  <c r="H165"/>
  <c r="H186"/>
  <c r="I165"/>
  <c r="I186"/>
  <c r="J165"/>
  <c r="J186"/>
  <c r="K165"/>
  <c r="K186"/>
  <c r="L165"/>
  <c r="L186"/>
  <c r="M165"/>
  <c r="M186"/>
  <c r="N165"/>
  <c r="N186"/>
  <c r="O165"/>
  <c r="O186"/>
  <c r="P165"/>
  <c r="P186"/>
  <c r="Q165"/>
  <c r="Q186"/>
  <c r="R165"/>
  <c r="R186"/>
  <c r="S165"/>
  <c r="S186"/>
  <c r="T186"/>
  <c r="X186"/>
  <c r="E187"/>
  <c r="F187"/>
  <c r="I187"/>
  <c r="J187"/>
  <c r="K187"/>
  <c r="M187"/>
  <c r="N187"/>
  <c r="O187"/>
  <c r="P187"/>
  <c r="Q187"/>
  <c r="R187"/>
  <c r="S187"/>
  <c r="C187"/>
  <c r="D187"/>
  <c r="G187"/>
  <c r="H187"/>
  <c r="L187"/>
  <c r="T187"/>
  <c r="X187"/>
  <c r="E188"/>
  <c r="F188"/>
  <c r="G188"/>
  <c r="H188"/>
  <c r="I188"/>
  <c r="J188"/>
  <c r="K188"/>
  <c r="M188"/>
  <c r="N188"/>
  <c r="O188"/>
  <c r="P188"/>
  <c r="Q188"/>
  <c r="R188"/>
  <c r="S188"/>
  <c r="C188"/>
  <c r="D188"/>
  <c r="L188"/>
  <c r="T188"/>
  <c r="X188"/>
  <c r="F189"/>
  <c r="G189"/>
  <c r="I189"/>
  <c r="J189"/>
  <c r="K189"/>
  <c r="M189"/>
  <c r="N189"/>
  <c r="O189"/>
  <c r="P189"/>
  <c r="Q189"/>
  <c r="R189"/>
  <c r="S189"/>
  <c r="C189"/>
  <c r="D189"/>
  <c r="E189"/>
  <c r="H189"/>
  <c r="L189"/>
  <c r="T189"/>
  <c r="X189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X190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X191"/>
  <c r="C166"/>
  <c r="C192"/>
  <c r="D166"/>
  <c r="D192"/>
  <c r="E166"/>
  <c r="E192"/>
  <c r="F166"/>
  <c r="F192"/>
  <c r="G166"/>
  <c r="G192"/>
  <c r="H166"/>
  <c r="H192"/>
  <c r="I166"/>
  <c r="I192"/>
  <c r="J166"/>
  <c r="J192"/>
  <c r="K166"/>
  <c r="K192"/>
  <c r="L166"/>
  <c r="L192"/>
  <c r="M166"/>
  <c r="M192"/>
  <c r="N166"/>
  <c r="N192"/>
  <c r="O166"/>
  <c r="O192"/>
  <c r="P166"/>
  <c r="P192"/>
  <c r="Q166"/>
  <c r="Q192"/>
  <c r="R166"/>
  <c r="R192"/>
  <c r="S166"/>
  <c r="S192"/>
  <c r="T192"/>
  <c r="X192"/>
  <c r="F193"/>
  <c r="G193"/>
  <c r="H193"/>
  <c r="I193"/>
  <c r="J193"/>
  <c r="K193"/>
  <c r="P193"/>
  <c r="Q193"/>
  <c r="R193"/>
  <c r="S193"/>
  <c r="C193"/>
  <c r="D193"/>
  <c r="E193"/>
  <c r="L193"/>
  <c r="M193"/>
  <c r="N193"/>
  <c r="O193"/>
  <c r="T193"/>
  <c r="X193"/>
  <c r="E194"/>
  <c r="F194"/>
  <c r="H194"/>
  <c r="I194"/>
  <c r="J194"/>
  <c r="K194"/>
  <c r="L194"/>
  <c r="M194"/>
  <c r="N194"/>
  <c r="P194"/>
  <c r="Q194"/>
  <c r="R194"/>
  <c r="S194"/>
  <c r="C194"/>
  <c r="D194"/>
  <c r="G194"/>
  <c r="O194"/>
  <c r="T194"/>
  <c r="X194"/>
  <c r="D195"/>
  <c r="E195"/>
  <c r="F195"/>
  <c r="G195"/>
  <c r="H195"/>
  <c r="I195"/>
  <c r="J195"/>
  <c r="K195"/>
  <c r="L195"/>
  <c r="M195"/>
  <c r="N195"/>
  <c r="O195"/>
  <c r="P195"/>
  <c r="Q195"/>
  <c r="R195"/>
  <c r="S195"/>
  <c r="C195"/>
  <c r="T195"/>
  <c r="X195"/>
  <c r="E196"/>
  <c r="F196"/>
  <c r="H196"/>
  <c r="I196"/>
  <c r="J196"/>
  <c r="K196"/>
  <c r="L196"/>
  <c r="M196"/>
  <c r="N196"/>
  <c r="O196"/>
  <c r="P196"/>
  <c r="Q196"/>
  <c r="R196"/>
  <c r="S196"/>
  <c r="C196"/>
  <c r="D196"/>
  <c r="G196"/>
  <c r="T196"/>
  <c r="X196"/>
  <c r="F197"/>
  <c r="I197"/>
  <c r="J197"/>
  <c r="K197"/>
  <c r="P197"/>
  <c r="Q197"/>
  <c r="R197"/>
  <c r="S197"/>
  <c r="C197"/>
  <c r="D197"/>
  <c r="E197"/>
  <c r="G197"/>
  <c r="H197"/>
  <c r="L197"/>
  <c r="M197"/>
  <c r="N197"/>
  <c r="O197"/>
  <c r="T197"/>
  <c r="X197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X198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X199"/>
  <c r="C167"/>
  <c r="C200"/>
  <c r="D167"/>
  <c r="D200"/>
  <c r="E167"/>
  <c r="E200"/>
  <c r="F167"/>
  <c r="F200"/>
  <c r="G167"/>
  <c r="G200"/>
  <c r="H167"/>
  <c r="H200"/>
  <c r="I167"/>
  <c r="I200"/>
  <c r="J167"/>
  <c r="J200"/>
  <c r="K167"/>
  <c r="K200"/>
  <c r="L167"/>
  <c r="L200"/>
  <c r="M167"/>
  <c r="M200"/>
  <c r="N167"/>
  <c r="N200"/>
  <c r="O167"/>
  <c r="O200"/>
  <c r="P167"/>
  <c r="P200"/>
  <c r="Q200"/>
  <c r="R167"/>
  <c r="R200"/>
  <c r="S167"/>
  <c r="S200"/>
  <c r="T200"/>
  <c r="X200"/>
  <c r="D201"/>
  <c r="E201"/>
  <c r="F201"/>
  <c r="G201"/>
  <c r="H201"/>
  <c r="I201"/>
  <c r="J201"/>
  <c r="K201"/>
  <c r="L201"/>
  <c r="M201"/>
  <c r="N201"/>
  <c r="O201"/>
  <c r="P201"/>
  <c r="Q201"/>
  <c r="R201"/>
  <c r="S201"/>
  <c r="C201"/>
  <c r="T201"/>
  <c r="X201"/>
  <c r="E202"/>
  <c r="F202"/>
  <c r="H202"/>
  <c r="I202"/>
  <c r="J202"/>
  <c r="K202"/>
  <c r="M202"/>
  <c r="N202"/>
  <c r="O202"/>
  <c r="P202"/>
  <c r="R202"/>
  <c r="S202"/>
  <c r="C202"/>
  <c r="D202"/>
  <c r="G202"/>
  <c r="L202"/>
  <c r="Q202"/>
  <c r="T202"/>
  <c r="X202"/>
  <c r="D203"/>
  <c r="E203"/>
  <c r="F203"/>
  <c r="G203"/>
  <c r="H203"/>
  <c r="I203"/>
  <c r="J203"/>
  <c r="K203"/>
  <c r="L203"/>
  <c r="M203"/>
  <c r="N203"/>
  <c r="O203"/>
  <c r="P203"/>
  <c r="Q203"/>
  <c r="R203"/>
  <c r="S203"/>
  <c r="C203"/>
  <c r="T203"/>
  <c r="X203"/>
  <c r="F204"/>
  <c r="I204"/>
  <c r="J204"/>
  <c r="K204"/>
  <c r="N204"/>
  <c r="O204"/>
  <c r="P204"/>
  <c r="R204"/>
  <c r="S204"/>
  <c r="C204"/>
  <c r="D204"/>
  <c r="E204"/>
  <c r="G204"/>
  <c r="H204"/>
  <c r="L204"/>
  <c r="M204"/>
  <c r="Q204"/>
  <c r="T204"/>
  <c r="X204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X205"/>
  <c r="C206"/>
  <c r="D206"/>
  <c r="E206"/>
  <c r="F206"/>
  <c r="G206"/>
  <c r="H206"/>
  <c r="I206"/>
  <c r="J206"/>
  <c r="K206"/>
  <c r="L206"/>
  <c r="M206"/>
  <c r="N206"/>
  <c r="O206"/>
  <c r="P206"/>
  <c r="R206"/>
  <c r="S206"/>
  <c r="T206"/>
  <c r="X206"/>
  <c r="K207"/>
  <c r="D212"/>
  <c r="F212"/>
  <c r="G212"/>
  <c r="H212"/>
  <c r="I212"/>
  <c r="J212"/>
  <c r="K212"/>
  <c r="L212"/>
  <c r="N212"/>
  <c r="P212"/>
  <c r="Q212"/>
  <c r="R212"/>
  <c r="S212"/>
  <c r="T212"/>
  <c r="D213"/>
  <c r="F213"/>
  <c r="G213"/>
  <c r="H213"/>
  <c r="I213"/>
  <c r="J213"/>
  <c r="K213"/>
  <c r="L213"/>
  <c r="N213"/>
  <c r="P213"/>
  <c r="Q213"/>
  <c r="R213"/>
  <c r="S213"/>
  <c r="T213"/>
  <c r="D214"/>
  <c r="F214"/>
  <c r="G214"/>
  <c r="H214"/>
  <c r="I214"/>
  <c r="J214"/>
  <c r="K214"/>
  <c r="L214"/>
  <c r="N214"/>
  <c r="P214"/>
  <c r="Q214"/>
  <c r="R214"/>
  <c r="S214"/>
  <c r="T214"/>
  <c r="D215"/>
  <c r="F215"/>
  <c r="G215"/>
  <c r="H215"/>
  <c r="I215"/>
  <c r="J215"/>
  <c r="K215"/>
  <c r="L215"/>
  <c r="N215"/>
  <c r="P215"/>
  <c r="Q215"/>
  <c r="R215"/>
  <c r="S215"/>
  <c r="T215"/>
  <c r="C211"/>
  <c r="C212"/>
  <c r="C213"/>
  <c r="C214"/>
  <c r="C215"/>
  <c r="C216"/>
  <c r="D211"/>
  <c r="D216"/>
  <c r="E211"/>
  <c r="E212"/>
  <c r="E213"/>
  <c r="E214"/>
  <c r="E215"/>
  <c r="E216"/>
  <c r="F211"/>
  <c r="F216"/>
  <c r="G211"/>
  <c r="G216"/>
  <c r="H211"/>
  <c r="H216"/>
  <c r="I211"/>
  <c r="I216"/>
  <c r="J211"/>
  <c r="J216"/>
  <c r="K211"/>
  <c r="K216"/>
  <c r="L211"/>
  <c r="L216"/>
  <c r="M211"/>
  <c r="M212"/>
  <c r="M213"/>
  <c r="M214"/>
  <c r="M215"/>
  <c r="M216"/>
  <c r="N211"/>
  <c r="N216"/>
  <c r="O211"/>
  <c r="O212"/>
  <c r="O213"/>
  <c r="O214"/>
  <c r="O215"/>
  <c r="O216"/>
  <c r="P211"/>
  <c r="P216"/>
  <c r="Q211"/>
  <c r="Q216"/>
  <c r="R211"/>
  <c r="R216"/>
  <c r="S211"/>
  <c r="S216"/>
  <c r="T211"/>
  <c r="T216"/>
  <c r="U211"/>
  <c r="U212"/>
  <c r="U213"/>
  <c r="U214"/>
  <c r="U215"/>
  <c r="U216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C224"/>
  <c r="D224"/>
  <c r="E224"/>
  <c r="F224"/>
  <c r="G224"/>
  <c r="H224"/>
  <c r="I224"/>
  <c r="J224"/>
  <c r="K224"/>
  <c r="L224"/>
  <c r="M224"/>
  <c r="N224"/>
  <c r="O224"/>
  <c r="P224"/>
  <c r="R224"/>
  <c r="S224"/>
  <c r="T224"/>
  <c r="C220"/>
  <c r="C225"/>
  <c r="F220"/>
  <c r="F225"/>
  <c r="O220"/>
  <c r="O225"/>
  <c r="T220"/>
  <c r="T225"/>
  <c r="D220"/>
  <c r="E220"/>
  <c r="G220"/>
  <c r="H220"/>
  <c r="I220"/>
  <c r="J220"/>
  <c r="K220"/>
  <c r="L220"/>
  <c r="M220"/>
  <c r="N220"/>
  <c r="P220"/>
  <c r="Q220"/>
  <c r="R220"/>
  <c r="S220"/>
  <c r="U220"/>
  <c r="U221"/>
  <c r="U222"/>
  <c r="U223"/>
  <c r="U224"/>
  <c r="U225"/>
  <c r="F261"/>
  <c r="K261"/>
  <c r="N261"/>
  <c r="O261"/>
  <c r="P261"/>
  <c r="R261"/>
  <c r="F262"/>
  <c r="N262"/>
  <c r="O262"/>
  <c r="R262"/>
  <c r="S263"/>
  <c r="Y262"/>
  <c r="F263"/>
  <c r="I263"/>
  <c r="J263"/>
  <c r="M263"/>
  <c r="N263"/>
  <c r="O263"/>
  <c r="P263"/>
  <c r="R263"/>
  <c r="S264"/>
  <c r="Y263"/>
  <c r="F264"/>
  <c r="G264"/>
  <c r="H264"/>
  <c r="I264"/>
  <c r="J264"/>
  <c r="K264"/>
  <c r="P264"/>
  <c r="R264"/>
  <c r="S265"/>
  <c r="Y264"/>
  <c r="F265"/>
  <c r="H265"/>
  <c r="I265"/>
  <c r="J265"/>
  <c r="N265"/>
  <c r="O265"/>
  <c r="P265"/>
  <c r="R265"/>
  <c r="S262"/>
  <c r="Y265"/>
  <c r="C261"/>
  <c r="C267"/>
  <c r="D261"/>
  <c r="D267"/>
  <c r="E261"/>
  <c r="E267"/>
  <c r="G261"/>
  <c r="G267"/>
  <c r="H261"/>
  <c r="H267"/>
  <c r="I261"/>
  <c r="I267"/>
  <c r="J261"/>
  <c r="J267"/>
  <c r="L261"/>
  <c r="L267"/>
  <c r="M261"/>
  <c r="M267"/>
  <c r="Q261"/>
  <c r="Q267"/>
  <c r="S261"/>
  <c r="S267"/>
  <c r="T261"/>
  <c r="T267"/>
  <c r="C262"/>
  <c r="C268"/>
  <c r="D262"/>
  <c r="D268"/>
  <c r="E262"/>
  <c r="E268"/>
  <c r="G262"/>
  <c r="G268"/>
  <c r="H262"/>
  <c r="H268"/>
  <c r="I262"/>
  <c r="I268"/>
  <c r="J262"/>
  <c r="J268"/>
  <c r="K262"/>
  <c r="K268"/>
  <c r="L262"/>
  <c r="L268"/>
  <c r="M262"/>
  <c r="M268"/>
  <c r="P262"/>
  <c r="P268"/>
  <c r="Q262"/>
  <c r="Q268"/>
  <c r="S268"/>
  <c r="T262"/>
  <c r="T268"/>
  <c r="C263"/>
  <c r="C269"/>
  <c r="D263"/>
  <c r="D269"/>
  <c r="E263"/>
  <c r="E269"/>
  <c r="G263"/>
  <c r="G269"/>
  <c r="H263"/>
  <c r="H269"/>
  <c r="K263"/>
  <c r="K269"/>
  <c r="L263"/>
  <c r="L269"/>
  <c r="Q263"/>
  <c r="Q269"/>
  <c r="S269"/>
  <c r="T263"/>
  <c r="T269"/>
  <c r="Y261"/>
  <c r="Y269"/>
  <c r="C264"/>
  <c r="C270"/>
  <c r="D264"/>
  <c r="D270"/>
  <c r="E264"/>
  <c r="E270"/>
  <c r="L264"/>
  <c r="L270"/>
  <c r="M264"/>
  <c r="M270"/>
  <c r="N264"/>
  <c r="N270"/>
  <c r="O264"/>
  <c r="O270"/>
  <c r="Q264"/>
  <c r="Q270"/>
  <c r="S270"/>
  <c r="T264"/>
  <c r="T270"/>
  <c r="C265"/>
  <c r="C271"/>
  <c r="D265"/>
  <c r="D271"/>
  <c r="E265"/>
  <c r="E271"/>
  <c r="G265"/>
  <c r="G271"/>
  <c r="K265"/>
  <c r="K271"/>
  <c r="L265"/>
  <c r="L271"/>
  <c r="M265"/>
  <c r="M271"/>
  <c r="Q265"/>
  <c r="Q271"/>
  <c r="S271"/>
  <c r="T265"/>
  <c r="T271"/>
  <c r="Y271"/>
  <c r="M104"/>
  <c r="O30" i="315"/>
  <c r="M104" i="309"/>
  <c r="N30" i="315"/>
  <c r="P30"/>
  <c r="Q30"/>
  <c r="R30"/>
  <c r="S30"/>
  <c r="H32"/>
  <c r="G32"/>
  <c r="M32"/>
  <c r="H33"/>
  <c r="G33"/>
  <c r="M33"/>
  <c r="I109" i="317"/>
  <c r="I90"/>
  <c r="J109"/>
  <c r="J90"/>
  <c r="I110"/>
  <c r="I93"/>
  <c r="J110"/>
  <c r="J93"/>
  <c r="I111"/>
  <c r="I97"/>
  <c r="J111"/>
  <c r="J97"/>
  <c r="I107"/>
  <c r="I98"/>
  <c r="J107"/>
  <c r="J98"/>
  <c r="I99"/>
  <c r="J108"/>
  <c r="J99"/>
  <c r="P129" i="308"/>
  <c r="I103" i="317"/>
  <c r="J103"/>
  <c r="I104"/>
  <c r="J104"/>
  <c r="F6" i="318"/>
  <c r="H6"/>
  <c r="G6"/>
  <c r="I6"/>
  <c r="F7"/>
  <c r="H7"/>
  <c r="G7"/>
  <c r="I7"/>
  <c r="F8"/>
  <c r="H8"/>
  <c r="G8"/>
  <c r="I8"/>
  <c r="F9"/>
  <c r="H9"/>
  <c r="G9"/>
  <c r="I9"/>
  <c r="F10"/>
  <c r="H10"/>
  <c r="G10"/>
  <c r="I10"/>
  <c r="F11"/>
  <c r="H11"/>
  <c r="G11"/>
  <c r="I11"/>
  <c r="F12"/>
  <c r="H12"/>
  <c r="G12"/>
  <c r="I12"/>
  <c r="F13"/>
  <c r="H13"/>
  <c r="G13"/>
  <c r="I13"/>
  <c r="F14"/>
  <c r="H14"/>
  <c r="G14"/>
  <c r="I14"/>
  <c r="F15"/>
  <c r="H15"/>
  <c r="G15"/>
  <c r="I15"/>
  <c r="F20"/>
  <c r="L20"/>
  <c r="G20"/>
  <c r="M20"/>
  <c r="F22"/>
  <c r="G22"/>
  <c r="F23"/>
  <c r="G23"/>
  <c r="F24"/>
  <c r="G24"/>
  <c r="F25"/>
  <c r="G25"/>
  <c r="F26"/>
  <c r="G26"/>
  <c r="F21"/>
  <c r="F29"/>
  <c r="L29"/>
  <c r="G21"/>
  <c r="G29"/>
  <c r="M29"/>
  <c r="F30"/>
  <c r="H30"/>
  <c r="G30"/>
  <c r="I30"/>
  <c r="F31"/>
  <c r="H31"/>
  <c r="G31"/>
  <c r="I31"/>
  <c r="F32"/>
  <c r="H32"/>
  <c r="G32"/>
  <c r="I32"/>
  <c r="F33"/>
  <c r="H33"/>
  <c r="G33"/>
  <c r="I33"/>
  <c r="F34"/>
  <c r="H34"/>
  <c r="G34"/>
  <c r="I34"/>
  <c r="F35"/>
  <c r="H35"/>
  <c r="G35"/>
  <c r="I35"/>
  <c r="F38"/>
  <c r="L38"/>
  <c r="G38"/>
  <c r="M38"/>
  <c r="F39"/>
  <c r="H39"/>
  <c r="G40"/>
  <c r="F40"/>
  <c r="H40"/>
  <c r="G41"/>
  <c r="F41"/>
  <c r="H41"/>
  <c r="G42"/>
  <c r="F42"/>
  <c r="H42"/>
  <c r="G43"/>
  <c r="F43"/>
  <c r="H43"/>
  <c r="G44"/>
  <c r="F44"/>
  <c r="H44"/>
  <c r="F47"/>
  <c r="L47"/>
  <c r="G39"/>
  <c r="G47"/>
  <c r="M47"/>
  <c r="F48"/>
  <c r="H48"/>
  <c r="G49"/>
  <c r="F49"/>
  <c r="H49"/>
  <c r="G50"/>
  <c r="F50"/>
  <c r="H50"/>
  <c r="G51"/>
  <c r="F51"/>
  <c r="H51"/>
  <c r="G52"/>
  <c r="F52"/>
  <c r="H52"/>
  <c r="F55"/>
  <c r="L55"/>
  <c r="G48"/>
  <c r="G55"/>
  <c r="M55"/>
  <c r="F56"/>
  <c r="G56"/>
  <c r="F7" i="319"/>
  <c r="G7"/>
  <c r="F8"/>
  <c r="G8"/>
  <c r="F9"/>
  <c r="G9"/>
  <c r="F10"/>
  <c r="G10"/>
  <c r="F11"/>
  <c r="G11"/>
  <c r="F12"/>
  <c r="G12"/>
  <c r="F6"/>
  <c r="F15"/>
  <c r="J15"/>
  <c r="G6"/>
  <c r="G15"/>
  <c r="K15"/>
  <c r="F16"/>
  <c r="H16"/>
  <c r="G16"/>
  <c r="I16"/>
  <c r="F17"/>
  <c r="H17"/>
  <c r="G17"/>
  <c r="I17"/>
  <c r="F18"/>
  <c r="H18"/>
  <c r="G18"/>
  <c r="I18"/>
  <c r="F19"/>
  <c r="H19"/>
  <c r="G19"/>
  <c r="I19"/>
  <c r="F20"/>
  <c r="H20"/>
  <c r="G20"/>
  <c r="I20"/>
  <c r="F21"/>
  <c r="H21"/>
  <c r="G21"/>
  <c r="I21"/>
  <c r="F22"/>
  <c r="H22"/>
  <c r="G22"/>
  <c r="I22"/>
  <c r="F25"/>
  <c r="J25"/>
  <c r="G25"/>
  <c r="K25"/>
  <c r="F26"/>
  <c r="H26"/>
  <c r="G26"/>
  <c r="I26"/>
  <c r="F27"/>
  <c r="H27"/>
  <c r="G27"/>
  <c r="I27"/>
  <c r="F28"/>
  <c r="H28"/>
  <c r="G28"/>
  <c r="I28"/>
  <c r="F29"/>
  <c r="H29"/>
  <c r="G29"/>
  <c r="I29"/>
  <c r="F30"/>
  <c r="H30"/>
  <c r="G30"/>
  <c r="I30"/>
  <c r="F33"/>
  <c r="J33"/>
  <c r="G33"/>
  <c r="K33"/>
  <c r="F34"/>
  <c r="H34"/>
  <c r="G34"/>
  <c r="I34"/>
  <c r="F35"/>
  <c r="H35"/>
  <c r="G35"/>
  <c r="I35"/>
  <c r="F36"/>
  <c r="H36"/>
  <c r="G36"/>
  <c r="I36"/>
  <c r="F37"/>
  <c r="H37"/>
  <c r="G37"/>
  <c r="I37"/>
  <c r="F38"/>
  <c r="H38"/>
  <c r="G38"/>
  <c r="I38"/>
  <c r="F39"/>
  <c r="H39"/>
  <c r="G39"/>
  <c r="I39"/>
  <c r="F40"/>
  <c r="H40"/>
  <c r="G40"/>
  <c r="I40"/>
  <c r="F43"/>
  <c r="J43"/>
  <c r="G43"/>
  <c r="K43"/>
  <c r="F44"/>
  <c r="G44"/>
  <c r="K51"/>
  <c r="J52"/>
  <c r="K52"/>
  <c r="J53"/>
  <c r="K53"/>
  <c r="J54"/>
  <c r="K54"/>
  <c r="J51"/>
  <c r="J56"/>
  <c r="F6" i="320"/>
  <c r="H6"/>
  <c r="G6"/>
  <c r="I6"/>
  <c r="F7"/>
  <c r="H7"/>
  <c r="G7"/>
  <c r="I7"/>
  <c r="F8"/>
  <c r="H8"/>
  <c r="G8"/>
  <c r="I8"/>
  <c r="F9"/>
  <c r="H9"/>
  <c r="G9"/>
  <c r="I9"/>
  <c r="F10"/>
  <c r="H10"/>
  <c r="G10"/>
  <c r="I10"/>
  <c r="F11"/>
  <c r="H11"/>
  <c r="G11"/>
  <c r="I11"/>
  <c r="F12"/>
  <c r="H12"/>
  <c r="G12"/>
  <c r="I12"/>
  <c r="F14"/>
  <c r="H14"/>
  <c r="G14"/>
  <c r="I14"/>
  <c r="F15"/>
  <c r="H15"/>
  <c r="G15"/>
  <c r="I15"/>
  <c r="F17"/>
  <c r="J17"/>
  <c r="G17"/>
  <c r="K17"/>
  <c r="F18"/>
  <c r="H18"/>
  <c r="G18"/>
  <c r="I18"/>
  <c r="F19"/>
  <c r="H19"/>
  <c r="G19"/>
  <c r="I19"/>
  <c r="F20"/>
  <c r="H20"/>
  <c r="G20"/>
  <c r="I20"/>
  <c r="F21"/>
  <c r="H21"/>
  <c r="G21"/>
  <c r="I21"/>
  <c r="F22"/>
  <c r="H22"/>
  <c r="G22"/>
  <c r="I22"/>
  <c r="F23"/>
  <c r="H23"/>
  <c r="G23"/>
  <c r="I23"/>
  <c r="F24"/>
  <c r="H24"/>
  <c r="G24"/>
  <c r="I24"/>
  <c r="F26"/>
  <c r="H26"/>
  <c r="G26"/>
  <c r="I26"/>
  <c r="F27"/>
  <c r="H27"/>
  <c r="G27"/>
  <c r="I27"/>
  <c r="F29"/>
  <c r="J29"/>
  <c r="G29"/>
  <c r="K29"/>
  <c r="F30"/>
  <c r="H30"/>
  <c r="G30"/>
  <c r="I30"/>
  <c r="F31"/>
  <c r="H31"/>
  <c r="G31"/>
  <c r="I31"/>
  <c r="F32"/>
  <c r="H32"/>
  <c r="G32"/>
  <c r="I32"/>
  <c r="F33"/>
  <c r="H33"/>
  <c r="G33"/>
  <c r="I33"/>
  <c r="F35"/>
  <c r="H35"/>
  <c r="G35"/>
  <c r="I35"/>
  <c r="F36"/>
  <c r="H36"/>
  <c r="G36"/>
  <c r="I36"/>
  <c r="F38"/>
  <c r="J38"/>
  <c r="G38"/>
  <c r="K38"/>
  <c r="F40"/>
  <c r="G40"/>
  <c r="F41"/>
  <c r="G41"/>
  <c r="F43"/>
  <c r="G43"/>
  <c r="F44"/>
  <c r="G44"/>
  <c r="F39"/>
  <c r="F46"/>
  <c r="J46"/>
  <c r="G39"/>
  <c r="G46"/>
  <c r="K46"/>
  <c r="F47"/>
  <c r="H47"/>
  <c r="G47"/>
  <c r="I47"/>
  <c r="F48"/>
  <c r="H48"/>
  <c r="G48"/>
  <c r="I48"/>
  <c r="F49"/>
  <c r="H49"/>
  <c r="G49"/>
  <c r="I49"/>
  <c r="F52"/>
  <c r="G52"/>
  <c r="F53"/>
  <c r="H53"/>
  <c r="G53"/>
  <c r="I53"/>
  <c r="F55"/>
  <c r="H55"/>
  <c r="G55"/>
  <c r="I55"/>
  <c r="F56"/>
  <c r="H56"/>
  <c r="G56"/>
  <c r="I56"/>
  <c r="F60"/>
  <c r="G60"/>
  <c r="F7" i="321"/>
  <c r="F8"/>
  <c r="F9"/>
  <c r="F10"/>
  <c r="F11"/>
  <c r="F12"/>
  <c r="F13"/>
  <c r="F14"/>
  <c r="F15"/>
  <c r="F16"/>
  <c r="Y7"/>
  <c r="G8"/>
  <c r="L8"/>
  <c r="Q8"/>
  <c r="R8"/>
  <c r="Y8"/>
  <c r="Q9"/>
  <c r="G9"/>
  <c r="R9"/>
  <c r="Y9"/>
  <c r="G10"/>
  <c r="L10"/>
  <c r="Q10"/>
  <c r="R10"/>
  <c r="Y10"/>
  <c r="G11"/>
  <c r="L11"/>
  <c r="Q11"/>
  <c r="R11"/>
  <c r="Y11"/>
  <c r="G12"/>
  <c r="L12"/>
  <c r="Q12"/>
  <c r="R12"/>
  <c r="Y12"/>
  <c r="G13"/>
  <c r="L13"/>
  <c r="Q13"/>
  <c r="R13"/>
  <c r="Y13"/>
  <c r="G14"/>
  <c r="L14"/>
  <c r="Q14"/>
  <c r="R14"/>
  <c r="Y14"/>
  <c r="G15"/>
  <c r="L15"/>
  <c r="Q15"/>
  <c r="R15"/>
  <c r="Y15"/>
  <c r="G7"/>
  <c r="G16"/>
  <c r="Q7"/>
  <c r="Q16"/>
  <c r="R7"/>
  <c r="R16"/>
  <c r="G7" i="322"/>
  <c r="H7"/>
  <c r="G8"/>
  <c r="H8"/>
  <c r="G9"/>
  <c r="H9"/>
  <c r="G10"/>
  <c r="H10"/>
  <c r="G11"/>
  <c r="H11"/>
  <c r="G12"/>
  <c r="H12"/>
  <c r="G6"/>
  <c r="G16"/>
  <c r="K16"/>
  <c r="H6"/>
  <c r="H16"/>
  <c r="L16"/>
  <c r="G17"/>
  <c r="I17"/>
  <c r="H17"/>
  <c r="J17"/>
  <c r="G18"/>
  <c r="I18"/>
  <c r="H18"/>
  <c r="J18"/>
  <c r="G19"/>
  <c r="I19"/>
  <c r="H19"/>
  <c r="J19"/>
  <c r="G20"/>
  <c r="I20"/>
  <c r="H20"/>
  <c r="J20"/>
  <c r="G21"/>
  <c r="I21"/>
  <c r="H21"/>
  <c r="J21"/>
  <c r="G22"/>
  <c r="I22"/>
  <c r="H22"/>
  <c r="J22"/>
  <c r="G23"/>
  <c r="I23"/>
  <c r="H23"/>
  <c r="J23"/>
  <c r="G24"/>
  <c r="I24"/>
  <c r="H24"/>
  <c r="J24"/>
  <c r="G28"/>
  <c r="K28"/>
  <c r="H28"/>
  <c r="L28"/>
  <c r="G29"/>
  <c r="I29"/>
  <c r="H29"/>
  <c r="J29"/>
  <c r="G30"/>
  <c r="I30"/>
  <c r="H30"/>
  <c r="J30"/>
  <c r="G31"/>
  <c r="I31"/>
  <c r="H31"/>
  <c r="J31"/>
  <c r="G32"/>
  <c r="I32"/>
  <c r="H32"/>
  <c r="J32"/>
  <c r="G33"/>
  <c r="I33"/>
  <c r="H33"/>
  <c r="J33"/>
  <c r="G37"/>
  <c r="K37"/>
  <c r="H37"/>
  <c r="L37"/>
  <c r="G38"/>
  <c r="I38"/>
  <c r="H38"/>
  <c r="J38"/>
  <c r="G39"/>
  <c r="I39"/>
  <c r="H39"/>
  <c r="J39"/>
  <c r="G40"/>
  <c r="I40"/>
  <c r="H40"/>
  <c r="J40"/>
  <c r="G41"/>
  <c r="I41"/>
  <c r="H41"/>
  <c r="J41"/>
  <c r="G42"/>
  <c r="I42"/>
  <c r="H42"/>
  <c r="J42"/>
  <c r="G43"/>
  <c r="I43"/>
  <c r="H43"/>
  <c r="J43"/>
  <c r="G46"/>
  <c r="K46"/>
  <c r="H46"/>
  <c r="L46"/>
  <c r="G47"/>
  <c r="G48"/>
  <c r="G49"/>
  <c r="G50"/>
  <c r="G51"/>
  <c r="G52"/>
  <c r="G53"/>
  <c r="G57"/>
  <c r="I57"/>
  <c r="I47"/>
  <c r="H47"/>
  <c r="J47"/>
  <c r="H48"/>
  <c r="I48"/>
  <c r="J48"/>
  <c r="H49"/>
  <c r="I49"/>
  <c r="J49"/>
  <c r="H50"/>
  <c r="I50"/>
  <c r="J50"/>
  <c r="H51"/>
  <c r="I51"/>
  <c r="J51"/>
  <c r="H52"/>
  <c r="I52"/>
  <c r="J52"/>
  <c r="H53"/>
  <c r="I53"/>
  <c r="J53"/>
  <c r="R55"/>
  <c r="G58"/>
  <c r="H58"/>
  <c r="K57"/>
  <c r="J66"/>
  <c r="H57"/>
  <c r="J57"/>
  <c r="L57"/>
  <c r="K66"/>
  <c r="J67"/>
  <c r="K67"/>
  <c r="J68"/>
  <c r="K68"/>
  <c r="J65"/>
  <c r="J70"/>
  <c r="K65"/>
  <c r="K70"/>
  <c r="G7" i="323"/>
  <c r="J7"/>
  <c r="J17"/>
  <c r="H7"/>
  <c r="K7"/>
  <c r="K17"/>
  <c r="G8"/>
  <c r="J8"/>
  <c r="J18"/>
  <c r="H8"/>
  <c r="K8"/>
  <c r="K18"/>
  <c r="F9" i="324"/>
  <c r="I9"/>
  <c r="F11"/>
  <c r="I11"/>
  <c r="F12"/>
  <c r="I12"/>
  <c r="L15"/>
  <c r="G9" i="323"/>
  <c r="J9"/>
  <c r="J19"/>
  <c r="G9" i="324"/>
  <c r="J9"/>
  <c r="G11"/>
  <c r="J11"/>
  <c r="G12"/>
  <c r="J12"/>
  <c r="M15"/>
  <c r="H9" i="323"/>
  <c r="K9"/>
  <c r="K19"/>
  <c r="G21"/>
  <c r="J21"/>
  <c r="H21"/>
  <c r="K21"/>
  <c r="G22"/>
  <c r="L22"/>
  <c r="H22"/>
  <c r="M22"/>
  <c r="G29"/>
  <c r="J29"/>
  <c r="H29"/>
  <c r="K29"/>
  <c r="G30"/>
  <c r="J30"/>
  <c r="H30"/>
  <c r="K30"/>
  <c r="G31"/>
  <c r="J31"/>
  <c r="H31"/>
  <c r="K31"/>
  <c r="G50"/>
  <c r="J50"/>
  <c r="H50"/>
  <c r="K50"/>
  <c r="G51"/>
  <c r="J51"/>
  <c r="H51"/>
  <c r="K51"/>
  <c r="G52"/>
  <c r="J52"/>
  <c r="H52"/>
  <c r="K52"/>
  <c r="G56"/>
  <c r="J56"/>
  <c r="H56"/>
  <c r="K56"/>
  <c r="G57"/>
  <c r="J57"/>
  <c r="H57"/>
  <c r="K57"/>
  <c r="F16" i="324"/>
  <c r="I16"/>
  <c r="F17"/>
  <c r="I17"/>
  <c r="F18"/>
  <c r="I18"/>
  <c r="F19"/>
  <c r="I19"/>
  <c r="F20"/>
  <c r="I20"/>
  <c r="F21"/>
  <c r="I21"/>
  <c r="F22"/>
  <c r="I22"/>
  <c r="F23"/>
  <c r="I23"/>
  <c r="I24"/>
  <c r="G58" i="323"/>
  <c r="J58"/>
  <c r="G16" i="324"/>
  <c r="J16"/>
  <c r="G17"/>
  <c r="J17"/>
  <c r="G18"/>
  <c r="J18"/>
  <c r="G19"/>
  <c r="J19"/>
  <c r="G20"/>
  <c r="J20"/>
  <c r="G21"/>
  <c r="J21"/>
  <c r="G22"/>
  <c r="J22"/>
  <c r="G23"/>
  <c r="J23"/>
  <c r="J24"/>
  <c r="H58" i="323"/>
  <c r="K58"/>
  <c r="F8" i="324"/>
  <c r="I8"/>
  <c r="F10"/>
  <c r="I10"/>
  <c r="F13"/>
  <c r="I13"/>
  <c r="F14"/>
  <c r="I14"/>
  <c r="I15"/>
  <c r="Z8"/>
  <c r="Q9"/>
  <c r="R9"/>
  <c r="Z9"/>
  <c r="Q10"/>
  <c r="G10"/>
  <c r="J10"/>
  <c r="R10"/>
  <c r="Z10"/>
  <c r="Q11"/>
  <c r="R11"/>
  <c r="Z11"/>
  <c r="Q12"/>
  <c r="R12"/>
  <c r="Z12"/>
  <c r="Q13"/>
  <c r="G13"/>
  <c r="J13"/>
  <c r="R13"/>
  <c r="Z13"/>
  <c r="Q14"/>
  <c r="G14"/>
  <c r="J14"/>
  <c r="R14"/>
  <c r="Z14"/>
  <c r="F15"/>
  <c r="G8"/>
  <c r="G15"/>
  <c r="J8"/>
  <c r="J15"/>
  <c r="Q8"/>
  <c r="Q15"/>
  <c r="R8"/>
  <c r="R15"/>
  <c r="F24"/>
  <c r="Z16"/>
  <c r="Q17"/>
  <c r="R17"/>
  <c r="Z17"/>
  <c r="Q18"/>
  <c r="R18"/>
  <c r="Z18"/>
  <c r="Q19"/>
  <c r="R19"/>
  <c r="Z19"/>
  <c r="Q20"/>
  <c r="R20"/>
  <c r="Z20"/>
  <c r="Q21"/>
  <c r="R21"/>
  <c r="Z21"/>
  <c r="Q22"/>
  <c r="R22"/>
  <c r="Z22"/>
  <c r="Q23"/>
  <c r="R23"/>
  <c r="Z23"/>
  <c r="G24"/>
  <c r="Q16"/>
  <c r="Q24"/>
  <c r="R16"/>
  <c r="R24"/>
  <c r="D225" i="309"/>
  <c r="G8" i="325"/>
  <c r="E225" i="309"/>
  <c r="G10" i="325"/>
  <c r="G225" i="309"/>
  <c r="G12" i="325"/>
  <c r="H225" i="309"/>
  <c r="G14" i="325"/>
  <c r="I225" i="309"/>
  <c r="G16" i="325"/>
  <c r="J225" i="309"/>
  <c r="G18" i="325"/>
  <c r="K225" i="309"/>
  <c r="G20" i="325"/>
  <c r="L225" i="309"/>
  <c r="G22" i="325"/>
  <c r="M225" i="309"/>
  <c r="G24" i="325"/>
  <c r="N225" i="309"/>
  <c r="G26" i="325"/>
  <c r="P225" i="309"/>
  <c r="G28" i="325"/>
  <c r="Q225" i="309"/>
  <c r="G30" i="325"/>
  <c r="P128" i="308"/>
  <c r="G32" i="325"/>
  <c r="R225" i="309"/>
  <c r="G34" i="325"/>
  <c r="S225" i="309"/>
  <c r="G36" i="325"/>
  <c r="G42"/>
  <c r="X8"/>
  <c r="K10"/>
  <c r="P10"/>
  <c r="E225" i="312"/>
  <c r="H10" i="325"/>
  <c r="L10"/>
  <c r="Q10"/>
  <c r="X10"/>
  <c r="K12"/>
  <c r="P12"/>
  <c r="G225" i="312"/>
  <c r="H12" i="325"/>
  <c r="L12"/>
  <c r="Q12"/>
  <c r="X12"/>
  <c r="K14"/>
  <c r="P14"/>
  <c r="H225" i="312"/>
  <c r="H14" i="325"/>
  <c r="L14"/>
  <c r="Q14"/>
  <c r="X14"/>
  <c r="K16"/>
  <c r="P16"/>
  <c r="I225" i="312"/>
  <c r="H16" i="325"/>
  <c r="L16"/>
  <c r="Q16"/>
  <c r="X16"/>
  <c r="K18"/>
  <c r="P18"/>
  <c r="J225" i="312"/>
  <c r="H18" i="325"/>
  <c r="L18"/>
  <c r="Q18"/>
  <c r="X18"/>
  <c r="K20"/>
  <c r="P20"/>
  <c r="K225" i="312"/>
  <c r="H20" i="325"/>
  <c r="L20"/>
  <c r="Q20"/>
  <c r="X20"/>
  <c r="K22"/>
  <c r="P22"/>
  <c r="L225" i="312"/>
  <c r="H22" i="325"/>
  <c r="L22"/>
  <c r="Q22"/>
  <c r="X22"/>
  <c r="K24"/>
  <c r="P24"/>
  <c r="M225" i="312"/>
  <c r="H24" i="325"/>
  <c r="L24"/>
  <c r="Q24"/>
  <c r="X24"/>
  <c r="K26"/>
  <c r="P26"/>
  <c r="N225" i="312"/>
  <c r="H26" i="325"/>
  <c r="L26"/>
  <c r="Q26"/>
  <c r="K28"/>
  <c r="P28"/>
  <c r="P225" i="312"/>
  <c r="H28" i="325"/>
  <c r="L28"/>
  <c r="Q28"/>
  <c r="X28"/>
  <c r="K30"/>
  <c r="P30"/>
  <c r="Q225" i="312"/>
  <c r="H30" i="325"/>
  <c r="L30"/>
  <c r="Q30"/>
  <c r="X30"/>
  <c r="K32"/>
  <c r="P32"/>
  <c r="H32"/>
  <c r="L32"/>
  <c r="Q32"/>
  <c r="X32"/>
  <c r="K34"/>
  <c r="P34"/>
  <c r="R225" i="312"/>
  <c r="H34" i="325"/>
  <c r="L34"/>
  <c r="Q34"/>
  <c r="X34"/>
  <c r="K36"/>
  <c r="S225" i="312"/>
  <c r="H36" i="325"/>
  <c r="L36"/>
  <c r="X36"/>
  <c r="D225" i="312"/>
  <c r="H8" i="325"/>
  <c r="H42"/>
  <c r="K8"/>
  <c r="K42"/>
  <c r="L8"/>
  <c r="L42"/>
  <c r="P8"/>
  <c r="P42"/>
  <c r="Q8"/>
  <c r="Q42"/>
  <c r="H8" i="326"/>
  <c r="L8"/>
  <c r="S8"/>
  <c r="U8"/>
  <c r="H10"/>
  <c r="H11"/>
  <c r="H12"/>
  <c r="L10"/>
  <c r="I10"/>
  <c r="I11"/>
  <c r="I12"/>
  <c r="M10"/>
  <c r="I8"/>
  <c r="M8"/>
  <c r="Y9"/>
  <c r="Z9"/>
  <c r="AA9"/>
  <c r="N10"/>
  <c r="O10"/>
  <c r="S10"/>
  <c r="T10"/>
  <c r="N11"/>
  <c r="O11"/>
  <c r="N12"/>
  <c r="O12"/>
  <c r="I13"/>
  <c r="M13"/>
  <c r="T13"/>
  <c r="H13"/>
  <c r="L13"/>
  <c r="S13"/>
  <c r="U13"/>
  <c r="H15"/>
  <c r="H16"/>
  <c r="H17"/>
  <c r="H18"/>
  <c r="H20"/>
  <c r="H21"/>
  <c r="H22"/>
  <c r="H23"/>
  <c r="H25"/>
  <c r="H26"/>
  <c r="H27"/>
  <c r="H28"/>
  <c r="H30"/>
  <c r="H31"/>
  <c r="H32"/>
  <c r="H33"/>
  <c r="AB13"/>
  <c r="L15"/>
  <c r="I15"/>
  <c r="I16"/>
  <c r="I17"/>
  <c r="M15"/>
  <c r="Y14"/>
  <c r="Z14"/>
  <c r="AA14"/>
  <c r="N15"/>
  <c r="O15"/>
  <c r="S15"/>
  <c r="T15"/>
  <c r="N16"/>
  <c r="O16"/>
  <c r="N17"/>
  <c r="O17"/>
  <c r="I18"/>
  <c r="M18"/>
  <c r="T18"/>
  <c r="L18"/>
  <c r="S18"/>
  <c r="U18"/>
  <c r="AB18"/>
  <c r="L20"/>
  <c r="I20"/>
  <c r="I21"/>
  <c r="I22"/>
  <c r="M20"/>
  <c r="Y19"/>
  <c r="Z19"/>
  <c r="AA19"/>
  <c r="N20"/>
  <c r="O20"/>
  <c r="S20"/>
  <c r="T20"/>
  <c r="N21"/>
  <c r="O21"/>
  <c r="N22"/>
  <c r="O22"/>
  <c r="I23"/>
  <c r="M23"/>
  <c r="T23"/>
  <c r="L23"/>
  <c r="S23"/>
  <c r="U23"/>
  <c r="AB23"/>
  <c r="L25"/>
  <c r="I25"/>
  <c r="I26"/>
  <c r="I27"/>
  <c r="M25"/>
  <c r="Y24"/>
  <c r="Z24"/>
  <c r="AA24"/>
  <c r="N25"/>
  <c r="O25"/>
  <c r="S25"/>
  <c r="T25"/>
  <c r="N26"/>
  <c r="O26"/>
  <c r="N27"/>
  <c r="O27"/>
  <c r="I28"/>
  <c r="M28"/>
  <c r="T28"/>
  <c r="L28"/>
  <c r="S28"/>
  <c r="U28"/>
  <c r="AB28"/>
  <c r="I30"/>
  <c r="I31"/>
  <c r="I32"/>
  <c r="M30"/>
  <c r="Y29"/>
  <c r="Z29"/>
  <c r="AA29"/>
  <c r="N30"/>
  <c r="O30"/>
  <c r="L30"/>
  <c r="S30"/>
  <c r="T30"/>
  <c r="N31"/>
  <c r="O31"/>
  <c r="N32"/>
  <c r="O32"/>
  <c r="I33"/>
  <c r="L33"/>
  <c r="M33"/>
  <c r="S33"/>
  <c r="T8"/>
  <c r="T33"/>
  <c r="AB8"/>
  <c r="AB33"/>
  <c r="J114" i="317"/>
  <c r="S22" i="328"/>
  <c r="U22"/>
  <c r="V22"/>
  <c r="I114" i="317"/>
  <c r="R22" i="328"/>
  <c r="R24"/>
  <c r="S24"/>
  <c r="G7" i="332"/>
  <c r="R7"/>
  <c r="K7"/>
  <c r="L7"/>
  <c r="M7"/>
  <c r="N7"/>
  <c r="O7"/>
  <c r="P7"/>
  <c r="L7" i="321"/>
  <c r="L9"/>
  <c r="L16"/>
  <c r="G10" i="332"/>
  <c r="R10"/>
  <c r="K10"/>
  <c r="L10"/>
  <c r="M10"/>
  <c r="N10"/>
  <c r="O10"/>
  <c r="P10"/>
  <c r="G11"/>
  <c r="R11"/>
  <c r="K11"/>
  <c r="L11"/>
  <c r="M11"/>
  <c r="N11"/>
  <c r="O11"/>
  <c r="P11"/>
  <c r="G15"/>
  <c r="J15"/>
  <c r="K15"/>
  <c r="L15"/>
  <c r="M15"/>
  <c r="N15"/>
  <c r="O15"/>
  <c r="P15"/>
  <c r="E78" i="322"/>
  <c r="L38" i="332"/>
  <c r="H38"/>
  <c r="F38"/>
  <c r="F78" i="322"/>
  <c r="M38" i="332"/>
  <c r="I38"/>
  <c r="G38"/>
  <c r="S163" i="287"/>
  <c r="S173"/>
  <c r="S174"/>
  <c r="S175"/>
  <c r="S176"/>
  <c r="D167"/>
  <c r="D205"/>
  <c r="D215"/>
  <c r="G167"/>
  <c r="G205"/>
  <c r="G215"/>
  <c r="H167"/>
  <c r="H205"/>
  <c r="H215"/>
  <c r="L167"/>
  <c r="L205"/>
  <c r="L215"/>
  <c r="Q167"/>
  <c r="Q205"/>
  <c r="Q215"/>
  <c r="D164"/>
  <c r="D183"/>
  <c r="G48" i="26"/>
  <c r="D185" i="287"/>
  <c r="D221"/>
  <c r="D184"/>
  <c r="D212"/>
  <c r="D179"/>
  <c r="G7" i="26"/>
  <c r="D180" i="287"/>
  <c r="D181"/>
  <c r="D182"/>
  <c r="D262"/>
  <c r="D268"/>
  <c r="G39" i="26"/>
  <c r="G18"/>
  <c r="G163" i="287"/>
  <c r="G173"/>
  <c r="F23" i="12"/>
  <c r="R163" i="287"/>
  <c r="R173"/>
  <c r="R174"/>
  <c r="R175"/>
  <c r="R176"/>
  <c r="R172"/>
  <c r="R177"/>
  <c r="R178"/>
  <c r="R261"/>
  <c r="Q163"/>
  <c r="Q173"/>
  <c r="Q174"/>
  <c r="Q175"/>
  <c r="Q176"/>
  <c r="Q172"/>
  <c r="Q177"/>
  <c r="Q178"/>
  <c r="Q261"/>
  <c r="N163"/>
  <c r="N173"/>
  <c r="N174"/>
  <c r="N175"/>
  <c r="N176"/>
  <c r="N172"/>
  <c r="N177"/>
  <c r="N178"/>
  <c r="N261"/>
  <c r="S172"/>
  <c r="S177"/>
  <c r="S178"/>
  <c r="S261"/>
  <c r="S267"/>
  <c r="G175"/>
  <c r="F41" i="12"/>
  <c r="G174" i="287"/>
  <c r="F32" i="12"/>
  <c r="J163" i="287"/>
  <c r="J173"/>
  <c r="J174"/>
  <c r="J175"/>
  <c r="J176"/>
  <c r="J172"/>
  <c r="J177"/>
  <c r="J178"/>
  <c r="J261"/>
  <c r="K163"/>
  <c r="K173"/>
  <c r="K174"/>
  <c r="K175"/>
  <c r="K176"/>
  <c r="K172"/>
  <c r="K177"/>
  <c r="K178"/>
  <c r="K261"/>
  <c r="I163"/>
  <c r="I173"/>
  <c r="I174"/>
  <c r="I175"/>
  <c r="I176"/>
  <c r="I172"/>
  <c r="I177"/>
  <c r="I178"/>
  <c r="I261"/>
  <c r="G176"/>
  <c r="G172"/>
  <c r="G177"/>
  <c r="G178"/>
  <c r="G261"/>
  <c r="P163"/>
  <c r="P173"/>
  <c r="P174"/>
  <c r="P175"/>
  <c r="P176"/>
  <c r="P172"/>
  <c r="P177"/>
  <c r="P178"/>
  <c r="P261"/>
  <c r="L163"/>
  <c r="L173"/>
  <c r="L174"/>
  <c r="L175"/>
  <c r="L176"/>
  <c r="L172"/>
  <c r="L177"/>
  <c r="L178"/>
  <c r="L261"/>
  <c r="L267"/>
  <c r="H163"/>
  <c r="H173"/>
  <c r="H174"/>
  <c r="H172"/>
  <c r="H175"/>
  <c r="H176"/>
  <c r="H177"/>
  <c r="H178"/>
  <c r="H261"/>
  <c r="F42" i="12"/>
  <c r="F49"/>
  <c r="H49"/>
  <c r="F7"/>
  <c r="F8"/>
  <c r="F9"/>
  <c r="F10"/>
  <c r="F11"/>
  <c r="F12"/>
  <c r="F13"/>
  <c r="D206" i="287"/>
  <c r="D224"/>
  <c r="G206"/>
  <c r="G224"/>
  <c r="H206"/>
  <c r="H224"/>
  <c r="L206"/>
  <c r="L224"/>
  <c r="D203"/>
  <c r="G203"/>
  <c r="H203"/>
  <c r="L203"/>
  <c r="D201"/>
  <c r="G201"/>
  <c r="H201"/>
  <c r="L201"/>
  <c r="H202"/>
  <c r="D204"/>
  <c r="F18" i="298"/>
  <c r="I18"/>
  <c r="R18"/>
  <c r="G204" i="287"/>
  <c r="F22" i="298"/>
  <c r="I22"/>
  <c r="R22"/>
  <c r="H204" i="287"/>
  <c r="F23" i="298"/>
  <c r="I23"/>
  <c r="R23"/>
  <c r="Q18"/>
  <c r="Q22"/>
  <c r="Q23"/>
  <c r="L200" i="287"/>
  <c r="L202"/>
  <c r="L204"/>
  <c r="L265"/>
  <c r="L271"/>
  <c r="D202"/>
  <c r="F10" i="298"/>
  <c r="I10"/>
  <c r="Q10"/>
  <c r="D200" i="287"/>
  <c r="F11" i="298"/>
  <c r="I11"/>
  <c r="Q11"/>
  <c r="G202" i="287"/>
  <c r="F12" i="298"/>
  <c r="I12"/>
  <c r="Q12"/>
  <c r="S220" i="287"/>
  <c r="S225"/>
  <c r="G36" i="291"/>
  <c r="K36"/>
  <c r="I220" i="287"/>
  <c r="I225"/>
  <c r="G16" i="291"/>
  <c r="K16"/>
  <c r="P16"/>
  <c r="J220" i="287"/>
  <c r="J225"/>
  <c r="G18" i="291"/>
  <c r="K18"/>
  <c r="P18"/>
  <c r="K220" i="287"/>
  <c r="K225"/>
  <c r="G20" i="291"/>
  <c r="K20"/>
  <c r="P20"/>
  <c r="P220" i="287"/>
  <c r="P225"/>
  <c r="G28" i="291"/>
  <c r="K28"/>
  <c r="P28"/>
  <c r="R220" i="287"/>
  <c r="R225"/>
  <c r="G34" i="291"/>
  <c r="K34"/>
  <c r="P34"/>
  <c r="D265" i="287"/>
  <c r="D271"/>
  <c r="G200"/>
  <c r="G265"/>
  <c r="G271"/>
  <c r="H200"/>
  <c r="H265"/>
  <c r="P211"/>
  <c r="P216"/>
  <c r="K211"/>
  <c r="K216"/>
  <c r="I211"/>
  <c r="I216"/>
  <c r="J211"/>
  <c r="J216"/>
  <c r="Y261"/>
  <c r="Y271"/>
  <c r="R211"/>
  <c r="R216"/>
  <c r="S211"/>
  <c r="S216"/>
  <c r="N166"/>
  <c r="N198"/>
  <c r="N214"/>
  <c r="N211"/>
  <c r="N216"/>
  <c r="H166"/>
  <c r="H198"/>
  <c r="H214"/>
  <c r="H211"/>
  <c r="H216"/>
  <c r="D166"/>
  <c r="D198"/>
  <c r="D214"/>
  <c r="G166"/>
  <c r="G198"/>
  <c r="G214"/>
  <c r="G211"/>
  <c r="G216"/>
  <c r="D199"/>
  <c r="D223"/>
  <c r="G199"/>
  <c r="G223"/>
  <c r="G220"/>
  <c r="G225"/>
  <c r="G12" i="291"/>
  <c r="K12"/>
  <c r="P12"/>
  <c r="H199" i="287"/>
  <c r="H223"/>
  <c r="H220"/>
  <c r="H225"/>
  <c r="G14" i="291"/>
  <c r="K14"/>
  <c r="P14"/>
  <c r="N199" i="287"/>
  <c r="N223"/>
  <c r="N220"/>
  <c r="N225"/>
  <c r="G26" i="291"/>
  <c r="K26"/>
  <c r="P26"/>
  <c r="H194" i="287"/>
  <c r="N194"/>
  <c r="D195"/>
  <c r="G195"/>
  <c r="H195"/>
  <c r="N195"/>
  <c r="G193"/>
  <c r="H193"/>
  <c r="H196"/>
  <c r="N196"/>
  <c r="D197"/>
  <c r="F9" i="302"/>
  <c r="Q9"/>
  <c r="G197" i="287"/>
  <c r="F10" i="302"/>
  <c r="Q10"/>
  <c r="H197" i="287"/>
  <c r="F11" i="302"/>
  <c r="Q11"/>
  <c r="N197" i="287"/>
  <c r="F12" i="302"/>
  <c r="Q12"/>
  <c r="D196" i="287"/>
  <c r="F40" i="19"/>
  <c r="G196" i="287"/>
  <c r="F41" i="19"/>
  <c r="H192" i="287"/>
  <c r="H264"/>
  <c r="D192"/>
  <c r="D193"/>
  <c r="D194"/>
  <c r="D264"/>
  <c r="D270"/>
  <c r="F7" i="19"/>
  <c r="N192" i="287"/>
  <c r="F11" i="19"/>
  <c r="N193" i="287"/>
  <c r="N264"/>
  <c r="G192"/>
  <c r="G194"/>
  <c r="G264"/>
  <c r="F19" i="19"/>
  <c r="F31"/>
  <c r="F32"/>
  <c r="F23"/>
  <c r="Q202" i="287"/>
  <c r="F13" i="298"/>
  <c r="I13"/>
  <c r="Q13"/>
  <c r="Q211" i="287"/>
  <c r="Q216"/>
  <c r="Q201"/>
  <c r="Q203"/>
  <c r="Q200"/>
  <c r="Q204"/>
  <c r="Q206"/>
  <c r="Q265"/>
  <c r="Q271"/>
  <c r="Q224"/>
  <c r="P129" i="288"/>
  <c r="I103" i="285"/>
  <c r="I104"/>
  <c r="Q220" i="287"/>
  <c r="Q225"/>
  <c r="G30" i="291"/>
  <c r="K30"/>
  <c r="P30"/>
  <c r="P128" i="288"/>
  <c r="G32" i="291"/>
  <c r="K32"/>
  <c r="P32"/>
  <c r="F21" i="298"/>
  <c r="I21"/>
  <c r="Q21"/>
  <c r="R21"/>
  <c r="D163" i="287"/>
  <c r="D175"/>
  <c r="F40" i="12"/>
  <c r="D174" i="287"/>
  <c r="F31" i="12"/>
  <c r="D176" i="287"/>
  <c r="D172"/>
  <c r="D173"/>
  <c r="D177"/>
  <c r="D178"/>
  <c r="D261"/>
  <c r="D267"/>
  <c r="F22" i="12"/>
  <c r="D211" i="287"/>
  <c r="D216"/>
  <c r="E164"/>
  <c r="E185"/>
  <c r="E221"/>
  <c r="O164"/>
  <c r="O185"/>
  <c r="O221"/>
  <c r="E166"/>
  <c r="E199"/>
  <c r="E223"/>
  <c r="O166"/>
  <c r="O199"/>
  <c r="O223"/>
  <c r="E180"/>
  <c r="O180"/>
  <c r="E181"/>
  <c r="O181"/>
  <c r="E182"/>
  <c r="O182"/>
  <c r="E183"/>
  <c r="O183"/>
  <c r="E165"/>
  <c r="E191"/>
  <c r="E222"/>
  <c r="O165"/>
  <c r="O191"/>
  <c r="O222"/>
  <c r="E187"/>
  <c r="O187"/>
  <c r="E188"/>
  <c r="O188"/>
  <c r="O189"/>
  <c r="M167"/>
  <c r="M203"/>
  <c r="M201"/>
  <c r="M202"/>
  <c r="M200"/>
  <c r="M204"/>
  <c r="M205"/>
  <c r="M206"/>
  <c r="M265"/>
  <c r="E194"/>
  <c r="E195"/>
  <c r="O195"/>
  <c r="E196"/>
  <c r="O196"/>
  <c r="O197"/>
  <c r="F13" i="302"/>
  <c r="Q13"/>
  <c r="E197" i="287"/>
  <c r="F15" i="302"/>
  <c r="Q15"/>
  <c r="M215" i="287"/>
  <c r="H30" i="292"/>
  <c r="E167" i="287"/>
  <c r="E205"/>
  <c r="E215"/>
  <c r="H31" i="292"/>
  <c r="O167" i="287"/>
  <c r="O205"/>
  <c r="O215"/>
  <c r="H32" i="292"/>
  <c r="L30"/>
  <c r="S30"/>
  <c r="E203" i="287"/>
  <c r="E200"/>
  <c r="F14" i="298"/>
  <c r="I14"/>
  <c r="Q14"/>
  <c r="E206" i="287"/>
  <c r="E224"/>
  <c r="E163"/>
  <c r="E178"/>
  <c r="E220"/>
  <c r="E225"/>
  <c r="G10" i="291"/>
  <c r="K10"/>
  <c r="P10"/>
  <c r="M224" i="287"/>
  <c r="O206"/>
  <c r="O224"/>
  <c r="F17" i="298"/>
  <c r="I17"/>
  <c r="Q17"/>
  <c r="E204" i="287"/>
  <c r="F20" i="298"/>
  <c r="I20"/>
  <c r="Q20"/>
  <c r="R17"/>
  <c r="R20"/>
  <c r="E201" i="287"/>
  <c r="O201"/>
  <c r="E202"/>
  <c r="O202"/>
  <c r="O204"/>
  <c r="O203"/>
  <c r="E173"/>
  <c r="O163"/>
  <c r="O173"/>
  <c r="E174"/>
  <c r="O174"/>
  <c r="E175"/>
  <c r="O175"/>
  <c r="O176"/>
  <c r="E193"/>
  <c r="F20" i="19"/>
  <c r="O193" i="287"/>
  <c r="F24" i="19"/>
  <c r="O194" i="287"/>
  <c r="F33" i="19"/>
  <c r="O192" i="287"/>
  <c r="F12" i="19"/>
  <c r="O198" i="287"/>
  <c r="O264"/>
  <c r="E192"/>
  <c r="E198"/>
  <c r="E264"/>
  <c r="E270"/>
  <c r="F8" i="19"/>
  <c r="E177" i="287"/>
  <c r="E211"/>
  <c r="E184"/>
  <c r="E212"/>
  <c r="E190"/>
  <c r="E213"/>
  <c r="E214"/>
  <c r="E216"/>
  <c r="O177"/>
  <c r="O211"/>
  <c r="O184"/>
  <c r="O212"/>
  <c r="O190"/>
  <c r="O213"/>
  <c r="O214"/>
  <c r="O216"/>
  <c r="O178"/>
  <c r="O220"/>
  <c r="O225"/>
  <c r="E265"/>
  <c r="E271"/>
  <c r="E176"/>
  <c r="F50" i="12"/>
  <c r="H50"/>
  <c r="E172" i="287"/>
  <c r="E261"/>
  <c r="E267"/>
  <c r="O172"/>
  <c r="O261"/>
  <c r="E189"/>
  <c r="F36" i="6"/>
  <c r="H36"/>
  <c r="O179" i="287"/>
  <c r="O262"/>
  <c r="O186"/>
  <c r="O263"/>
  <c r="E186"/>
  <c r="E263"/>
  <c r="E269"/>
  <c r="E179"/>
  <c r="E262"/>
  <c r="E268"/>
  <c r="O200"/>
  <c r="O265"/>
  <c r="H12" i="292"/>
  <c r="N12"/>
  <c r="H17"/>
  <c r="N17"/>
  <c r="H21"/>
  <c r="M166" i="287"/>
  <c r="M198"/>
  <c r="M214"/>
  <c r="H20" i="292"/>
  <c r="H22"/>
  <c r="L20"/>
  <c r="N21"/>
  <c r="N22"/>
  <c r="H27"/>
  <c r="N27"/>
  <c r="N30"/>
  <c r="N31"/>
  <c r="N32"/>
  <c r="C166" i="287"/>
  <c r="C199"/>
  <c r="C223"/>
  <c r="C167"/>
  <c r="C206"/>
  <c r="C224"/>
  <c r="C205"/>
  <c r="T205"/>
  <c r="X205"/>
  <c r="C203"/>
  <c r="T203"/>
  <c r="G31" i="32"/>
  <c r="X203" i="287"/>
  <c r="T206"/>
  <c r="X206"/>
  <c r="C200"/>
  <c r="T200"/>
  <c r="C201"/>
  <c r="T201"/>
  <c r="C202"/>
  <c r="T202"/>
  <c r="C204"/>
  <c r="T204"/>
  <c r="T265"/>
  <c r="T271"/>
  <c r="G52" i="32"/>
  <c r="K207" i="287"/>
  <c r="X200"/>
  <c r="X204"/>
  <c r="X202"/>
  <c r="X201"/>
  <c r="F16" i="298"/>
  <c r="I16"/>
  <c r="F19"/>
  <c r="I19"/>
  <c r="I24"/>
  <c r="G58" i="32"/>
  <c r="J58"/>
  <c r="R19" i="298"/>
  <c r="R16"/>
  <c r="R24"/>
  <c r="Q19"/>
  <c r="Q16"/>
  <c r="Q24"/>
  <c r="F24"/>
  <c r="Z23"/>
  <c r="Z22"/>
  <c r="Z21"/>
  <c r="Z20"/>
  <c r="Z19"/>
  <c r="Z18"/>
  <c r="Z17"/>
  <c r="Z16"/>
  <c r="T215" i="287"/>
  <c r="T224"/>
  <c r="C165"/>
  <c r="C191"/>
  <c r="C222"/>
  <c r="C215"/>
  <c r="H28" i="292"/>
  <c r="L28"/>
  <c r="S28"/>
  <c r="U28"/>
  <c r="C265" i="287"/>
  <c r="C271"/>
  <c r="C197"/>
  <c r="F53" i="19"/>
  <c r="F14" i="302"/>
  <c r="Q14"/>
  <c r="C198" i="287"/>
  <c r="C214"/>
  <c r="H18" i="292"/>
  <c r="L18"/>
  <c r="S18"/>
  <c r="U18"/>
  <c r="C192" i="287"/>
  <c r="C193"/>
  <c r="C194"/>
  <c r="C195"/>
  <c r="C196"/>
  <c r="C264"/>
  <c r="C270"/>
  <c r="H53" i="19"/>
  <c r="F6"/>
  <c r="F18"/>
  <c r="F30"/>
  <c r="F39"/>
  <c r="F47"/>
  <c r="F60"/>
  <c r="C186" i="287"/>
  <c r="F6" i="6"/>
  <c r="C187" i="287"/>
  <c r="F16" i="6"/>
  <c r="C188" i="287"/>
  <c r="F26" i="6"/>
  <c r="C189" i="287"/>
  <c r="F34" i="6"/>
  <c r="F44"/>
  <c r="C190" i="287"/>
  <c r="C263"/>
  <c r="C269"/>
  <c r="C213"/>
  <c r="H13" i="292"/>
  <c r="L13"/>
  <c r="S13"/>
  <c r="U13"/>
  <c r="H34" i="6"/>
  <c r="C163" i="287"/>
  <c r="C177"/>
  <c r="C211"/>
  <c r="H8" i="292"/>
  <c r="L8"/>
  <c r="S8"/>
  <c r="U8"/>
  <c r="C172" i="287"/>
  <c r="C173"/>
  <c r="C174"/>
  <c r="C175"/>
  <c r="C176"/>
  <c r="C178"/>
  <c r="C261"/>
  <c r="C267"/>
  <c r="F48" i="12"/>
  <c r="H48"/>
  <c r="F21"/>
  <c r="F30"/>
  <c r="F39"/>
  <c r="F56"/>
  <c r="F8" i="298"/>
  <c r="I8"/>
  <c r="F9"/>
  <c r="I9"/>
  <c r="I15"/>
  <c r="Z9"/>
  <c r="Z11"/>
  <c r="Z12"/>
  <c r="Z8"/>
  <c r="Z10"/>
  <c r="Z13"/>
  <c r="Z14"/>
  <c r="F15"/>
  <c r="Q9"/>
  <c r="Q8"/>
  <c r="Q15"/>
  <c r="L15"/>
  <c r="G9" i="32"/>
  <c r="U215" i="287"/>
  <c r="G56" i="32"/>
  <c r="J56"/>
  <c r="G29"/>
  <c r="G50"/>
  <c r="G21"/>
  <c r="U224" i="287"/>
  <c r="G30" i="32"/>
  <c r="G22"/>
  <c r="G51"/>
  <c r="G57"/>
  <c r="J57"/>
  <c r="G7"/>
  <c r="G8"/>
  <c r="L166" i="287"/>
  <c r="L199"/>
  <c r="L223"/>
  <c r="L198"/>
  <c r="L214"/>
  <c r="L194"/>
  <c r="L195"/>
  <c r="L196"/>
  <c r="L193"/>
  <c r="F21" i="19"/>
  <c r="L192" i="287"/>
  <c r="F9" i="19"/>
  <c r="L197" i="287"/>
  <c r="L264"/>
  <c r="L270"/>
  <c r="Y269"/>
  <c r="V107" i="285"/>
  <c r="I107"/>
  <c r="I108"/>
  <c r="I109"/>
  <c r="I110"/>
  <c r="I111"/>
  <c r="I114"/>
  <c r="R22" i="39"/>
  <c r="R24"/>
  <c r="I98" i="285"/>
  <c r="I97"/>
  <c r="I93"/>
  <c r="I90"/>
  <c r="I99"/>
  <c r="M104" i="287"/>
  <c r="G32" i="4"/>
  <c r="M32"/>
  <c r="G33"/>
  <c r="M33"/>
  <c r="M105" i="287"/>
  <c r="J109" i="285"/>
  <c r="J90"/>
  <c r="J110"/>
  <c r="J93"/>
  <c r="J107"/>
  <c r="J98"/>
  <c r="J108"/>
  <c r="J99"/>
  <c r="J111"/>
  <c r="J97"/>
  <c r="R30" i="4"/>
  <c r="L164" i="287"/>
  <c r="L179"/>
  <c r="L180"/>
  <c r="L181"/>
  <c r="L182"/>
  <c r="L183"/>
  <c r="L184"/>
  <c r="L185"/>
  <c r="L262"/>
  <c r="L268"/>
  <c r="G31" i="26"/>
  <c r="G20"/>
  <c r="G50"/>
  <c r="L221" i="287"/>
  <c r="L212"/>
  <c r="G9" i="26"/>
  <c r="L220" i="287"/>
  <c r="L225"/>
  <c r="G22" i="291"/>
  <c r="K22"/>
  <c r="P22"/>
  <c r="L211" i="287"/>
  <c r="L216"/>
  <c r="G40" i="26"/>
  <c r="H32" i="291"/>
  <c r="L32"/>
  <c r="Q32"/>
  <c r="G163" i="306"/>
  <c r="G176"/>
  <c r="G172"/>
  <c r="G173"/>
  <c r="G174"/>
  <c r="G175"/>
  <c r="G177"/>
  <c r="G178"/>
  <c r="G261"/>
  <c r="G267"/>
  <c r="M104"/>
  <c r="S30" i="4"/>
  <c r="H32"/>
  <c r="H33"/>
  <c r="O30"/>
  <c r="N30"/>
  <c r="P30"/>
  <c r="Q30"/>
  <c r="M105" i="306"/>
  <c r="J114" i="285"/>
  <c r="S22" i="39"/>
  <c r="S24"/>
  <c r="U22"/>
  <c r="V22"/>
  <c r="F167" i="306"/>
  <c r="F205"/>
  <c r="F215"/>
  <c r="I167"/>
  <c r="I205"/>
  <c r="I215"/>
  <c r="J167"/>
  <c r="J205"/>
  <c r="J215"/>
  <c r="K167"/>
  <c r="K205"/>
  <c r="K215"/>
  <c r="L167"/>
  <c r="L205"/>
  <c r="L215"/>
  <c r="N167"/>
  <c r="N205"/>
  <c r="N215"/>
  <c r="P167"/>
  <c r="P205"/>
  <c r="P215"/>
  <c r="R167"/>
  <c r="R205"/>
  <c r="R215"/>
  <c r="S167"/>
  <c r="S205"/>
  <c r="S215"/>
  <c r="Q163"/>
  <c r="Q173"/>
  <c r="Q174"/>
  <c r="Q175"/>
  <c r="Q176"/>
  <c r="Q172"/>
  <c r="Q177"/>
  <c r="Q178"/>
  <c r="Q261"/>
  <c r="E163"/>
  <c r="E173"/>
  <c r="F163"/>
  <c r="F173"/>
  <c r="H163"/>
  <c r="H173"/>
  <c r="I163"/>
  <c r="I173"/>
  <c r="J163"/>
  <c r="J173"/>
  <c r="K163"/>
  <c r="K173"/>
  <c r="L163"/>
  <c r="L173"/>
  <c r="N163"/>
  <c r="N173"/>
  <c r="O163"/>
  <c r="O173"/>
  <c r="P163"/>
  <c r="P173"/>
  <c r="R163"/>
  <c r="R173"/>
  <c r="S163"/>
  <c r="S173"/>
  <c r="E174"/>
  <c r="F174"/>
  <c r="H174"/>
  <c r="I174"/>
  <c r="J174"/>
  <c r="K174"/>
  <c r="L174"/>
  <c r="N174"/>
  <c r="O174"/>
  <c r="P174"/>
  <c r="R174"/>
  <c r="S174"/>
  <c r="E175"/>
  <c r="F175"/>
  <c r="I175"/>
  <c r="J175"/>
  <c r="K175"/>
  <c r="L175"/>
  <c r="M163"/>
  <c r="M175"/>
  <c r="N175"/>
  <c r="O175"/>
  <c r="P175"/>
  <c r="R175"/>
  <c r="S175"/>
  <c r="D163"/>
  <c r="D176"/>
  <c r="F176"/>
  <c r="I176"/>
  <c r="J176"/>
  <c r="K176"/>
  <c r="L176"/>
  <c r="M176"/>
  <c r="N176"/>
  <c r="O176"/>
  <c r="P176"/>
  <c r="R176"/>
  <c r="S176"/>
  <c r="C163"/>
  <c r="C172"/>
  <c r="D172"/>
  <c r="E172"/>
  <c r="F172"/>
  <c r="H172"/>
  <c r="I172"/>
  <c r="J172"/>
  <c r="K172"/>
  <c r="L172"/>
  <c r="M172"/>
  <c r="N172"/>
  <c r="O172"/>
  <c r="P172"/>
  <c r="R172"/>
  <c r="S172"/>
  <c r="T172"/>
  <c r="C173"/>
  <c r="D173"/>
  <c r="M173"/>
  <c r="T173"/>
  <c r="C174"/>
  <c r="D174"/>
  <c r="M174"/>
  <c r="T174"/>
  <c r="C175"/>
  <c r="D175"/>
  <c r="H175"/>
  <c r="T175"/>
  <c r="C176"/>
  <c r="E176"/>
  <c r="H176"/>
  <c r="T176"/>
  <c r="C177"/>
  <c r="D177"/>
  <c r="E177"/>
  <c r="F177"/>
  <c r="H177"/>
  <c r="I177"/>
  <c r="J177"/>
  <c r="K177"/>
  <c r="L177"/>
  <c r="M177"/>
  <c r="N177"/>
  <c r="O177"/>
  <c r="P177"/>
  <c r="R177"/>
  <c r="S177"/>
  <c r="T177"/>
  <c r="C178"/>
  <c r="D178"/>
  <c r="E178"/>
  <c r="F178"/>
  <c r="H178"/>
  <c r="I178"/>
  <c r="J178"/>
  <c r="K178"/>
  <c r="L178"/>
  <c r="M178"/>
  <c r="N178"/>
  <c r="O178"/>
  <c r="P178"/>
  <c r="R178"/>
  <c r="S178"/>
  <c r="T178"/>
  <c r="T261"/>
  <c r="T267"/>
  <c r="E164"/>
  <c r="E180"/>
  <c r="M164"/>
  <c r="M180"/>
  <c r="O164"/>
  <c r="O180"/>
  <c r="E181"/>
  <c r="M181"/>
  <c r="O181"/>
  <c r="E182"/>
  <c r="G164"/>
  <c r="G182"/>
  <c r="O182"/>
  <c r="E183"/>
  <c r="O183"/>
  <c r="M179"/>
  <c r="M182"/>
  <c r="M183"/>
  <c r="M184"/>
  <c r="M185"/>
  <c r="M262"/>
  <c r="M268"/>
  <c r="M165"/>
  <c r="M187"/>
  <c r="M188"/>
  <c r="M189"/>
  <c r="M186"/>
  <c r="M190"/>
  <c r="M191"/>
  <c r="M263"/>
  <c r="E165"/>
  <c r="E187"/>
  <c r="F165"/>
  <c r="F187"/>
  <c r="I165"/>
  <c r="I187"/>
  <c r="J165"/>
  <c r="J187"/>
  <c r="K165"/>
  <c r="K187"/>
  <c r="N165"/>
  <c r="N187"/>
  <c r="O165"/>
  <c r="O187"/>
  <c r="P165"/>
  <c r="P187"/>
  <c r="R165"/>
  <c r="R187"/>
  <c r="S165"/>
  <c r="S187"/>
  <c r="E188"/>
  <c r="F188"/>
  <c r="G165"/>
  <c r="G188"/>
  <c r="H165"/>
  <c r="H188"/>
  <c r="I188"/>
  <c r="J188"/>
  <c r="K188"/>
  <c r="N188"/>
  <c r="O188"/>
  <c r="P188"/>
  <c r="R188"/>
  <c r="S188"/>
  <c r="F189"/>
  <c r="G189"/>
  <c r="I189"/>
  <c r="J189"/>
  <c r="K189"/>
  <c r="N189"/>
  <c r="O189"/>
  <c r="P189"/>
  <c r="R189"/>
  <c r="S189"/>
  <c r="C165"/>
  <c r="C186"/>
  <c r="D165"/>
  <c r="D186"/>
  <c r="E186"/>
  <c r="F186"/>
  <c r="G186"/>
  <c r="H186"/>
  <c r="I186"/>
  <c r="J186"/>
  <c r="K186"/>
  <c r="L165"/>
  <c r="L186"/>
  <c r="N186"/>
  <c r="O186"/>
  <c r="P186"/>
  <c r="R186"/>
  <c r="S186"/>
  <c r="T186"/>
  <c r="C187"/>
  <c r="D187"/>
  <c r="G187"/>
  <c r="H187"/>
  <c r="L187"/>
  <c r="T187"/>
  <c r="C188"/>
  <c r="D188"/>
  <c r="L188"/>
  <c r="T188"/>
  <c r="C189"/>
  <c r="D189"/>
  <c r="E189"/>
  <c r="H189"/>
  <c r="L189"/>
  <c r="T189"/>
  <c r="C190"/>
  <c r="D190"/>
  <c r="E190"/>
  <c r="F190"/>
  <c r="G190"/>
  <c r="H190"/>
  <c r="I190"/>
  <c r="J190"/>
  <c r="K190"/>
  <c r="L190"/>
  <c r="N190"/>
  <c r="O190"/>
  <c r="P190"/>
  <c r="R190"/>
  <c r="S190"/>
  <c r="T190"/>
  <c r="C191"/>
  <c r="D191"/>
  <c r="E191"/>
  <c r="F191"/>
  <c r="G191"/>
  <c r="H191"/>
  <c r="I191"/>
  <c r="J191"/>
  <c r="K191"/>
  <c r="L191"/>
  <c r="N191"/>
  <c r="O191"/>
  <c r="P191"/>
  <c r="R191"/>
  <c r="S191"/>
  <c r="T191"/>
  <c r="T263"/>
  <c r="T269"/>
  <c r="M166"/>
  <c r="M194"/>
  <c r="M195"/>
  <c r="M196"/>
  <c r="M192"/>
  <c r="M193"/>
  <c r="M197"/>
  <c r="M198"/>
  <c r="M199"/>
  <c r="M264"/>
  <c r="M270"/>
  <c r="M261"/>
  <c r="G166"/>
  <c r="G193"/>
  <c r="H166"/>
  <c r="H193"/>
  <c r="E166"/>
  <c r="E194"/>
  <c r="H194"/>
  <c r="N166"/>
  <c r="N194"/>
  <c r="E195"/>
  <c r="G195"/>
  <c r="H195"/>
  <c r="N195"/>
  <c r="O166"/>
  <c r="O195"/>
  <c r="E196"/>
  <c r="H196"/>
  <c r="N196"/>
  <c r="O196"/>
  <c r="E167"/>
  <c r="E201"/>
  <c r="F201"/>
  <c r="I201"/>
  <c r="J201"/>
  <c r="K201"/>
  <c r="L201"/>
  <c r="N201"/>
  <c r="O167"/>
  <c r="O201"/>
  <c r="P201"/>
  <c r="R201"/>
  <c r="S201"/>
  <c r="E202"/>
  <c r="F202"/>
  <c r="I202"/>
  <c r="J202"/>
  <c r="K202"/>
  <c r="N202"/>
  <c r="O202"/>
  <c r="P202"/>
  <c r="R202"/>
  <c r="S202"/>
  <c r="E203"/>
  <c r="F203"/>
  <c r="I203"/>
  <c r="J203"/>
  <c r="K203"/>
  <c r="L203"/>
  <c r="N203"/>
  <c r="O203"/>
  <c r="P203"/>
  <c r="R203"/>
  <c r="S203"/>
  <c r="F204"/>
  <c r="I204"/>
  <c r="J204"/>
  <c r="K204"/>
  <c r="N204"/>
  <c r="O204"/>
  <c r="P204"/>
  <c r="R204"/>
  <c r="S204"/>
  <c r="L200"/>
  <c r="L202"/>
  <c r="L204"/>
  <c r="L206"/>
  <c r="L265"/>
  <c r="L271"/>
  <c r="C167"/>
  <c r="C200"/>
  <c r="C201"/>
  <c r="C202"/>
  <c r="C203"/>
  <c r="C204"/>
  <c r="C205"/>
  <c r="C206"/>
  <c r="C265"/>
  <c r="C271"/>
  <c r="E179"/>
  <c r="E184"/>
  <c r="E185"/>
  <c r="E262"/>
  <c r="E268"/>
  <c r="E200"/>
  <c r="E204"/>
  <c r="E205"/>
  <c r="E206"/>
  <c r="E265"/>
  <c r="E271"/>
  <c r="O192"/>
  <c r="O193"/>
  <c r="O194"/>
  <c r="O197"/>
  <c r="O198"/>
  <c r="O199"/>
  <c r="O264"/>
  <c r="O270"/>
  <c r="E192"/>
  <c r="E193"/>
  <c r="E197"/>
  <c r="E198"/>
  <c r="E199"/>
  <c r="E264"/>
  <c r="E270"/>
  <c r="E263"/>
  <c r="E269"/>
  <c r="E261"/>
  <c r="E267"/>
  <c r="C263"/>
  <c r="C269"/>
  <c r="C261"/>
  <c r="C267"/>
  <c r="D261"/>
  <c r="D267"/>
  <c r="L261"/>
  <c r="J261"/>
  <c r="I261"/>
  <c r="H261"/>
  <c r="S261"/>
  <c r="S267"/>
  <c r="N192"/>
  <c r="N193"/>
  <c r="N197"/>
  <c r="N198"/>
  <c r="N199"/>
  <c r="N264"/>
  <c r="K200"/>
  <c r="K206"/>
  <c r="K265"/>
  <c r="K271"/>
  <c r="S200"/>
  <c r="S206"/>
  <c r="S265"/>
  <c r="S271"/>
  <c r="G179"/>
  <c r="G180"/>
  <c r="G181"/>
  <c r="G183"/>
  <c r="G184"/>
  <c r="G185"/>
  <c r="G262"/>
  <c r="G268"/>
  <c r="D164"/>
  <c r="D179"/>
  <c r="D180"/>
  <c r="D181"/>
  <c r="D182"/>
  <c r="D183"/>
  <c r="D184"/>
  <c r="D185"/>
  <c r="D262"/>
  <c r="D268"/>
  <c r="S263"/>
  <c r="S269"/>
  <c r="D263"/>
  <c r="L263"/>
  <c r="L269"/>
  <c r="F263"/>
  <c r="I263"/>
  <c r="J263"/>
  <c r="K263"/>
  <c r="N263"/>
  <c r="P263"/>
  <c r="R263"/>
  <c r="Y262"/>
  <c r="G263"/>
  <c r="G18" i="6"/>
  <c r="G28"/>
  <c r="G27"/>
  <c r="G17"/>
  <c r="G20"/>
  <c r="G19"/>
  <c r="H263" i="306"/>
  <c r="G35" i="6"/>
  <c r="I35"/>
  <c r="G37"/>
  <c r="I37"/>
  <c r="G38"/>
  <c r="I38"/>
  <c r="D213" i="306"/>
  <c r="F213"/>
  <c r="G213"/>
  <c r="H213"/>
  <c r="I213"/>
  <c r="J213"/>
  <c r="K213"/>
  <c r="L213"/>
  <c r="N213"/>
  <c r="P213"/>
  <c r="R213"/>
  <c r="S213"/>
  <c r="D222"/>
  <c r="F222"/>
  <c r="G222"/>
  <c r="H222"/>
  <c r="I222"/>
  <c r="J222"/>
  <c r="K222"/>
  <c r="L222"/>
  <c r="N222"/>
  <c r="P222"/>
  <c r="R222"/>
  <c r="S222"/>
  <c r="G7" i="6"/>
  <c r="G8"/>
  <c r="G9"/>
  <c r="G10"/>
  <c r="G11" i="298"/>
  <c r="J11"/>
  <c r="R11"/>
  <c r="D221" i="306"/>
  <c r="G221"/>
  <c r="D212"/>
  <c r="G212"/>
  <c r="H7" i="26"/>
  <c r="H8"/>
  <c r="H39"/>
  <c r="H18"/>
  <c r="H19"/>
  <c r="H30"/>
  <c r="F261" i="306"/>
  <c r="I206"/>
  <c r="I224"/>
  <c r="J206"/>
  <c r="J224"/>
  <c r="K224"/>
  <c r="N206"/>
  <c r="N224"/>
  <c r="P206"/>
  <c r="P224"/>
  <c r="R206"/>
  <c r="R224"/>
  <c r="S224"/>
  <c r="F206"/>
  <c r="F224"/>
  <c r="Y264"/>
  <c r="R200"/>
  <c r="R265"/>
  <c r="P200"/>
  <c r="P265"/>
  <c r="N200"/>
  <c r="N265"/>
  <c r="J200"/>
  <c r="J265"/>
  <c r="I200"/>
  <c r="I265"/>
  <c r="F200"/>
  <c r="F265"/>
  <c r="F220"/>
  <c r="F225"/>
  <c r="F211"/>
  <c r="F216"/>
  <c r="N214"/>
  <c r="N223"/>
  <c r="G198"/>
  <c r="G214"/>
  <c r="G199"/>
  <c r="G223"/>
  <c r="H198"/>
  <c r="H214"/>
  <c r="H199"/>
  <c r="H223"/>
  <c r="G197"/>
  <c r="G10" i="302"/>
  <c r="L10"/>
  <c r="H197" i="306"/>
  <c r="G11" i="302"/>
  <c r="L11"/>
  <c r="G12"/>
  <c r="L12"/>
  <c r="R10"/>
  <c r="R11"/>
  <c r="R12"/>
  <c r="G196" i="306"/>
  <c r="G41" i="19"/>
  <c r="H192" i="306"/>
  <c r="H264"/>
  <c r="G192"/>
  <c r="G194"/>
  <c r="G264"/>
  <c r="G11" i="19"/>
  <c r="G23"/>
  <c r="G32"/>
  <c r="S220" i="306"/>
  <c r="S225"/>
  <c r="H36" i="291"/>
  <c r="L36"/>
  <c r="S211" i="306"/>
  <c r="S216"/>
  <c r="Y261"/>
  <c r="Y269"/>
  <c r="Y271"/>
  <c r="G49" i="12"/>
  <c r="G42"/>
  <c r="G13"/>
  <c r="G12"/>
  <c r="G11"/>
  <c r="G10"/>
  <c r="G9"/>
  <c r="G8"/>
  <c r="K261" i="306"/>
  <c r="P261"/>
  <c r="R261"/>
  <c r="N261"/>
  <c r="I211"/>
  <c r="I216"/>
  <c r="J211"/>
  <c r="J216"/>
  <c r="K211"/>
  <c r="K216"/>
  <c r="R211"/>
  <c r="R216"/>
  <c r="P211"/>
  <c r="P216"/>
  <c r="N211"/>
  <c r="N216"/>
  <c r="H211"/>
  <c r="H216"/>
  <c r="H220"/>
  <c r="H225"/>
  <c r="H14" i="291"/>
  <c r="L14"/>
  <c r="Q14"/>
  <c r="I220" i="306"/>
  <c r="I225"/>
  <c r="H16" i="291"/>
  <c r="L16"/>
  <c r="Q16"/>
  <c r="J220" i="306"/>
  <c r="J225"/>
  <c r="H18" i="291"/>
  <c r="L18"/>
  <c r="Q18"/>
  <c r="K220" i="306"/>
  <c r="K225"/>
  <c r="H20" i="291"/>
  <c r="L20"/>
  <c r="Q20"/>
  <c r="N220" i="306"/>
  <c r="N225"/>
  <c r="H26" i="291"/>
  <c r="L26"/>
  <c r="Q26"/>
  <c r="P220" i="306"/>
  <c r="P225"/>
  <c r="H28" i="291"/>
  <c r="L28"/>
  <c r="Q28"/>
  <c r="R220" i="306"/>
  <c r="R225"/>
  <c r="H34" i="291"/>
  <c r="L34"/>
  <c r="Q34"/>
  <c r="G22" i="12"/>
  <c r="G40"/>
  <c r="G31"/>
  <c r="C222" i="306"/>
  <c r="G50" i="12"/>
  <c r="G21"/>
  <c r="G30"/>
  <c r="G39"/>
  <c r="G48"/>
  <c r="G56"/>
  <c r="G6" i="6"/>
  <c r="G16"/>
  <c r="G26"/>
  <c r="G34"/>
  <c r="G44"/>
  <c r="I34"/>
  <c r="O261" i="306"/>
  <c r="C213"/>
  <c r="I13" i="292"/>
  <c r="M13"/>
  <c r="T13"/>
  <c r="O211" i="306"/>
  <c r="I12" i="292"/>
  <c r="O12"/>
  <c r="G13" i="302"/>
  <c r="L13"/>
  <c r="G15"/>
  <c r="L15"/>
  <c r="E222" i="306"/>
  <c r="E223"/>
  <c r="O222"/>
  <c r="O223"/>
  <c r="R13" i="302"/>
  <c r="R15"/>
  <c r="O263" i="306"/>
  <c r="G36" i="6"/>
  <c r="I36"/>
  <c r="G8" i="19"/>
  <c r="G12"/>
  <c r="G20"/>
  <c r="G24"/>
  <c r="G33"/>
  <c r="O213" i="306"/>
  <c r="I17" i="292"/>
  <c r="O17"/>
  <c r="E214" i="306"/>
  <c r="I21" i="292"/>
  <c r="M214" i="306"/>
  <c r="I20" i="292"/>
  <c r="O214" i="306"/>
  <c r="I22" i="292"/>
  <c r="M20"/>
  <c r="O21"/>
  <c r="O22"/>
  <c r="O184" i="306"/>
  <c r="O212"/>
  <c r="O205"/>
  <c r="O215"/>
  <c r="O216"/>
  <c r="O185"/>
  <c r="O221"/>
  <c r="O206"/>
  <c r="O224"/>
  <c r="O220"/>
  <c r="O225"/>
  <c r="E211"/>
  <c r="E212"/>
  <c r="E213"/>
  <c r="E215"/>
  <c r="E216"/>
  <c r="E221"/>
  <c r="E224"/>
  <c r="E220"/>
  <c r="E225"/>
  <c r="H10" i="291"/>
  <c r="L10"/>
  <c r="Q10"/>
  <c r="G20" i="298"/>
  <c r="J20"/>
  <c r="G14"/>
  <c r="J14"/>
  <c r="R14"/>
  <c r="O179" i="306"/>
  <c r="O262"/>
  <c r="O200"/>
  <c r="O265"/>
  <c r="I27" i="292"/>
  <c r="O27"/>
  <c r="I31"/>
  <c r="O31"/>
  <c r="I32"/>
  <c r="O32"/>
  <c r="G19" i="298"/>
  <c r="J19"/>
  <c r="C224" i="306"/>
  <c r="C215"/>
  <c r="I28" i="292"/>
  <c r="M28"/>
  <c r="T28"/>
  <c r="L224" i="306"/>
  <c r="G220"/>
  <c r="G225"/>
  <c r="H12" i="291"/>
  <c r="L12"/>
  <c r="Q12"/>
  <c r="G23" i="12"/>
  <c r="G41"/>
  <c r="G211" i="306"/>
  <c r="G216"/>
  <c r="G7" i="12"/>
  <c r="G32"/>
  <c r="M221" i="306"/>
  <c r="M222"/>
  <c r="M223"/>
  <c r="G8" i="302"/>
  <c r="L8"/>
  <c r="G24" i="12"/>
  <c r="T222" i="306"/>
  <c r="T213"/>
  <c r="R8" i="302"/>
  <c r="M211" i="306"/>
  <c r="I10" i="292"/>
  <c r="I11"/>
  <c r="M10"/>
  <c r="T10"/>
  <c r="M213" i="306"/>
  <c r="I15" i="292"/>
  <c r="I16"/>
  <c r="M15"/>
  <c r="T15"/>
  <c r="T20"/>
  <c r="M212" i="306"/>
  <c r="I25" i="292"/>
  <c r="I26"/>
  <c r="M25"/>
  <c r="T25"/>
  <c r="O11"/>
  <c r="O10"/>
  <c r="G33" i="12"/>
  <c r="G22" i="19"/>
  <c r="G10"/>
  <c r="U213" i="306"/>
  <c r="G30" i="6"/>
  <c r="U222" i="306"/>
  <c r="G29" i="6"/>
  <c r="G39"/>
  <c r="G40"/>
  <c r="G43"/>
  <c r="K54"/>
  <c r="J54"/>
  <c r="K43"/>
  <c r="G33"/>
  <c r="K33"/>
  <c r="G21"/>
  <c r="G22"/>
  <c r="G25"/>
  <c r="K25"/>
  <c r="G11"/>
  <c r="G12"/>
  <c r="G15"/>
  <c r="K15"/>
  <c r="J52"/>
  <c r="J53"/>
  <c r="J51"/>
  <c r="J56"/>
  <c r="X186" i="306"/>
  <c r="X187"/>
  <c r="X188"/>
  <c r="X189"/>
  <c r="X190"/>
  <c r="X191"/>
  <c r="K51" i="6"/>
  <c r="K52"/>
  <c r="K53"/>
  <c r="I39"/>
  <c r="I40"/>
  <c r="O15" i="292"/>
  <c r="O16"/>
  <c r="O20"/>
  <c r="H41" i="26"/>
  <c r="O25" i="292"/>
  <c r="O26"/>
  <c r="X178" i="306"/>
  <c r="X177"/>
  <c r="X176"/>
  <c r="X175"/>
  <c r="X174"/>
  <c r="X173"/>
  <c r="X172"/>
  <c r="C211"/>
  <c r="D211"/>
  <c r="L211"/>
  <c r="Q211"/>
  <c r="U211"/>
  <c r="G35" i="12"/>
  <c r="C220" i="306"/>
  <c r="D220"/>
  <c r="L220"/>
  <c r="M220"/>
  <c r="Q220"/>
  <c r="U220"/>
  <c r="G34" i="12"/>
  <c r="G15"/>
  <c r="G14"/>
  <c r="G6"/>
  <c r="G20"/>
  <c r="M20"/>
  <c r="G25"/>
  <c r="G26"/>
  <c r="G29"/>
  <c r="M29"/>
  <c r="G38"/>
  <c r="M38"/>
  <c r="G43"/>
  <c r="G44"/>
  <c r="G47"/>
  <c r="M47"/>
  <c r="G51"/>
  <c r="G52"/>
  <c r="G55"/>
  <c r="M55"/>
  <c r="Q225" i="306"/>
  <c r="H30" i="291"/>
  <c r="L30"/>
  <c r="Q30"/>
  <c r="Q216" i="306"/>
  <c r="L166"/>
  <c r="L199"/>
  <c r="L223"/>
  <c r="L198"/>
  <c r="L214"/>
  <c r="L194"/>
  <c r="L195"/>
  <c r="L196"/>
  <c r="L193"/>
  <c r="G21" i="19"/>
  <c r="L192" i="306"/>
  <c r="G9" i="19"/>
  <c r="L197" i="306"/>
  <c r="L264"/>
  <c r="L270"/>
  <c r="L164"/>
  <c r="L185"/>
  <c r="L221"/>
  <c r="L225"/>
  <c r="H22" i="291"/>
  <c r="L22"/>
  <c r="Q22"/>
  <c r="L184" i="306"/>
  <c r="L212"/>
  <c r="L216"/>
  <c r="L179"/>
  <c r="H9" i="26"/>
  <c r="H48"/>
  <c r="H49"/>
  <c r="L183" i="306"/>
  <c r="H50" i="26"/>
  <c r="H51"/>
  <c r="L181" i="306"/>
  <c r="H31" i="26"/>
  <c r="L180" i="306"/>
  <c r="H20" i="26"/>
  <c r="L182" i="306"/>
  <c r="L262"/>
  <c r="L268"/>
  <c r="H40" i="26"/>
  <c r="C166" i="306"/>
  <c r="C199"/>
  <c r="C223"/>
  <c r="C197"/>
  <c r="G53" i="19"/>
  <c r="G14" i="302"/>
  <c r="R14"/>
  <c r="L14"/>
  <c r="C198" i="306"/>
  <c r="C214"/>
  <c r="I18" i="292"/>
  <c r="M18"/>
  <c r="T18"/>
  <c r="C192" i="306"/>
  <c r="G6" i="19"/>
  <c r="C193" i="306"/>
  <c r="G18" i="19"/>
  <c r="C194" i="306"/>
  <c r="G30" i="19"/>
  <c r="C196" i="306"/>
  <c r="G39" i="19"/>
  <c r="C195" i="306"/>
  <c r="G47" i="19"/>
  <c r="G60"/>
  <c r="I53"/>
  <c r="C264" i="306"/>
  <c r="C270"/>
  <c r="D166"/>
  <c r="D197"/>
  <c r="G9" i="302"/>
  <c r="L9"/>
  <c r="G7"/>
  <c r="L7"/>
  <c r="L16"/>
  <c r="G15" i="46"/>
  <c r="J15"/>
  <c r="D195" i="306"/>
  <c r="D192"/>
  <c r="T192"/>
  <c r="D193"/>
  <c r="T193"/>
  <c r="D194"/>
  <c r="T194"/>
  <c r="T195"/>
  <c r="D196"/>
  <c r="T196"/>
  <c r="T197"/>
  <c r="D198"/>
  <c r="T198"/>
  <c r="D199"/>
  <c r="T199"/>
  <c r="T264"/>
  <c r="T270"/>
  <c r="K15" i="46"/>
  <c r="L15"/>
  <c r="M15"/>
  <c r="N15"/>
  <c r="O15"/>
  <c r="P15"/>
  <c r="G10"/>
  <c r="R10"/>
  <c r="K10"/>
  <c r="L10"/>
  <c r="M10"/>
  <c r="N10"/>
  <c r="O10"/>
  <c r="P10"/>
  <c r="D214" i="306"/>
  <c r="U214"/>
  <c r="G56" i="19"/>
  <c r="I56"/>
  <c r="D223" i="306"/>
  <c r="U223"/>
  <c r="G55" i="19"/>
  <c r="I55"/>
  <c r="G49"/>
  <c r="G48"/>
  <c r="G36"/>
  <c r="G35"/>
  <c r="G27"/>
  <c r="G26"/>
  <c r="G15"/>
  <c r="G14"/>
  <c r="K16" i="302"/>
  <c r="G57" i="19"/>
  <c r="G59"/>
  <c r="G52"/>
  <c r="G16" i="302"/>
  <c r="X192" i="306"/>
  <c r="X193"/>
  <c r="X194"/>
  <c r="X195"/>
  <c r="X196"/>
  <c r="X197"/>
  <c r="X198"/>
  <c r="X199"/>
  <c r="R9" i="302"/>
  <c r="R7"/>
  <c r="R16"/>
  <c r="I57" i="19"/>
  <c r="G7"/>
  <c r="G17"/>
  <c r="K17"/>
  <c r="G19"/>
  <c r="G29"/>
  <c r="K29"/>
  <c r="G31"/>
  <c r="G38"/>
  <c r="K38"/>
  <c r="G40"/>
  <c r="G43"/>
  <c r="G44"/>
  <c r="G46"/>
  <c r="K46"/>
  <c r="T223" i="306"/>
  <c r="T214"/>
  <c r="D264"/>
  <c r="D270"/>
  <c r="D216"/>
  <c r="C164"/>
  <c r="C185"/>
  <c r="C221"/>
  <c r="U221"/>
  <c r="H52" i="26"/>
  <c r="C184" i="306"/>
  <c r="C212"/>
  <c r="U212"/>
  <c r="H53" i="26"/>
  <c r="C183" i="306"/>
  <c r="H47" i="26"/>
  <c r="H57"/>
  <c r="J57"/>
  <c r="L57"/>
  <c r="F78"/>
  <c r="M38" i="46"/>
  <c r="I38"/>
  <c r="G38"/>
  <c r="C164" i="287"/>
  <c r="C185"/>
  <c r="C221"/>
  <c r="K66" i="26"/>
  <c r="K67"/>
  <c r="K65"/>
  <c r="K70"/>
  <c r="C179" i="287"/>
  <c r="C180"/>
  <c r="C181"/>
  <c r="C182"/>
  <c r="C183"/>
  <c r="C184"/>
  <c r="C262"/>
  <c r="C268"/>
  <c r="C212"/>
  <c r="H23" i="292"/>
  <c r="L23"/>
  <c r="S23"/>
  <c r="U23"/>
  <c r="G6" i="26"/>
  <c r="G17"/>
  <c r="G38"/>
  <c r="G47"/>
  <c r="G58"/>
  <c r="C216" i="287"/>
  <c r="C220"/>
  <c r="C225"/>
  <c r="C179" i="306"/>
  <c r="C180"/>
  <c r="C181"/>
  <c r="C182"/>
  <c r="C262"/>
  <c r="C268"/>
  <c r="H6" i="26"/>
  <c r="H17"/>
  <c r="H38"/>
  <c r="H58"/>
  <c r="H42"/>
  <c r="H43"/>
  <c r="H46"/>
  <c r="L46"/>
  <c r="H32"/>
  <c r="H33"/>
  <c r="H29"/>
  <c r="H37"/>
  <c r="L37"/>
  <c r="H23"/>
  <c r="H24"/>
  <c r="H28"/>
  <c r="L28"/>
  <c r="H11"/>
  <c r="H12"/>
  <c r="H16"/>
  <c r="L16"/>
  <c r="T185" i="306"/>
  <c r="X185"/>
  <c r="T184"/>
  <c r="X184"/>
  <c r="T183"/>
  <c r="X183"/>
  <c r="T182"/>
  <c r="X182"/>
  <c r="T181"/>
  <c r="X181"/>
  <c r="T180"/>
  <c r="X180"/>
  <c r="T179"/>
  <c r="X179"/>
  <c r="K68" i="26"/>
  <c r="T262" i="306"/>
  <c r="T268"/>
  <c r="I23" i="292"/>
  <c r="M23"/>
  <c r="T23"/>
  <c r="C225" i="306"/>
  <c r="C216"/>
  <c r="T221"/>
  <c r="T212"/>
  <c r="M164" i="287"/>
  <c r="M183"/>
  <c r="G51" i="26"/>
  <c r="M185" i="287"/>
  <c r="M221"/>
  <c r="U221"/>
  <c r="G52" i="26"/>
  <c r="M184" i="287"/>
  <c r="M212"/>
  <c r="U212"/>
  <c r="G53" i="26"/>
  <c r="G57"/>
  <c r="I57"/>
  <c r="J51"/>
  <c r="J52"/>
  <c r="J53"/>
  <c r="J47"/>
  <c r="J48"/>
  <c r="J49"/>
  <c r="J50"/>
  <c r="M167" i="306"/>
  <c r="M205"/>
  <c r="M215"/>
  <c r="U215"/>
  <c r="U216"/>
  <c r="M206"/>
  <c r="M224"/>
  <c r="U224"/>
  <c r="U225"/>
  <c r="T205"/>
  <c r="T215"/>
  <c r="T211"/>
  <c r="T216"/>
  <c r="T206"/>
  <c r="T224"/>
  <c r="T220"/>
  <c r="T225"/>
  <c r="I30" i="292"/>
  <c r="M30"/>
  <c r="T30"/>
  <c r="I8"/>
  <c r="M8"/>
  <c r="T8"/>
  <c r="T33"/>
  <c r="I33"/>
  <c r="M33"/>
  <c r="H25"/>
  <c r="H26"/>
  <c r="L25"/>
  <c r="Y24"/>
  <c r="Z24"/>
  <c r="AA24"/>
  <c r="T185" i="287"/>
  <c r="T221"/>
  <c r="M165"/>
  <c r="M191"/>
  <c r="T191"/>
  <c r="T222"/>
  <c r="M199"/>
  <c r="T199"/>
  <c r="T223"/>
  <c r="M163"/>
  <c r="M178"/>
  <c r="T178"/>
  <c r="T220"/>
  <c r="T225"/>
  <c r="T184"/>
  <c r="T212"/>
  <c r="M190"/>
  <c r="T190"/>
  <c r="T213"/>
  <c r="T198"/>
  <c r="T214"/>
  <c r="M177"/>
  <c r="T177"/>
  <c r="T211"/>
  <c r="T216"/>
  <c r="M211"/>
  <c r="U211"/>
  <c r="M213"/>
  <c r="U213"/>
  <c r="U214"/>
  <c r="U216"/>
  <c r="M222"/>
  <c r="M223"/>
  <c r="D220"/>
  <c r="M220"/>
  <c r="U220"/>
  <c r="U222"/>
  <c r="U223"/>
  <c r="U225"/>
  <c r="I47" i="26"/>
  <c r="I48"/>
  <c r="I49"/>
  <c r="I50"/>
  <c r="I51"/>
  <c r="I52"/>
  <c r="I53"/>
  <c r="G23"/>
  <c r="G24"/>
  <c r="G28"/>
  <c r="K28"/>
  <c r="G32"/>
  <c r="G33"/>
  <c r="G29"/>
  <c r="G37"/>
  <c r="K37"/>
  <c r="M182" i="287"/>
  <c r="G41" i="26"/>
  <c r="G42"/>
  <c r="G43"/>
  <c r="G46"/>
  <c r="K46"/>
  <c r="G11"/>
  <c r="G12"/>
  <c r="G16"/>
  <c r="K16"/>
  <c r="X185" i="287"/>
  <c r="X184"/>
  <c r="M180"/>
  <c r="M181"/>
  <c r="M179"/>
  <c r="T179"/>
  <c r="T180"/>
  <c r="T181"/>
  <c r="T182"/>
  <c r="T183"/>
  <c r="T262"/>
  <c r="T268"/>
  <c r="X179"/>
  <c r="X181"/>
  <c r="X180"/>
  <c r="X182"/>
  <c r="X183"/>
  <c r="R55" i="26"/>
  <c r="K57"/>
  <c r="J68"/>
  <c r="H10" i="292"/>
  <c r="H11"/>
  <c r="H15"/>
  <c r="H16"/>
  <c r="H33"/>
  <c r="AB13"/>
  <c r="AB18"/>
  <c r="AB23"/>
  <c r="AB28"/>
  <c r="AB8"/>
  <c r="AB33"/>
  <c r="L10"/>
  <c r="L15"/>
  <c r="L33"/>
  <c r="S10"/>
  <c r="S15"/>
  <c r="S20"/>
  <c r="S25"/>
  <c r="S33"/>
  <c r="J66" i="26"/>
  <c r="J67"/>
  <c r="J65"/>
  <c r="J70"/>
  <c r="E78"/>
  <c r="L38" i="46"/>
  <c r="H38"/>
  <c r="F38"/>
  <c r="D225" i="306"/>
  <c r="H8" i="291"/>
  <c r="L8"/>
  <c r="M225" i="306"/>
  <c r="H24" i="291"/>
  <c r="L24"/>
  <c r="L42"/>
  <c r="G7" i="46"/>
  <c r="R7"/>
  <c r="K7"/>
  <c r="L7"/>
  <c r="M7"/>
  <c r="N7"/>
  <c r="O7"/>
  <c r="P7"/>
  <c r="Q24" i="291"/>
  <c r="Q8"/>
  <c r="Q42"/>
  <c r="H42"/>
  <c r="Y19" i="292"/>
  <c r="Z19"/>
  <c r="AA19"/>
  <c r="H29" i="32"/>
  <c r="H7"/>
  <c r="H30"/>
  <c r="H8"/>
  <c r="H22"/>
  <c r="H57"/>
  <c r="K57"/>
  <c r="H51"/>
  <c r="H21"/>
  <c r="H50"/>
  <c r="H56"/>
  <c r="K56"/>
  <c r="M203" i="306"/>
  <c r="M200"/>
  <c r="G9" i="298"/>
  <c r="J9"/>
  <c r="M15"/>
  <c r="H9" i="32"/>
  <c r="G8" i="298"/>
  <c r="G15"/>
  <c r="J8"/>
  <c r="J15"/>
  <c r="R9"/>
  <c r="R8"/>
  <c r="R15"/>
  <c r="Y29" i="292"/>
  <c r="Z29"/>
  <c r="AA29"/>
  <c r="Y14"/>
  <c r="Z14"/>
  <c r="AA14"/>
  <c r="Y9"/>
  <c r="Z9"/>
  <c r="AA9"/>
  <c r="M216" i="306"/>
  <c r="O30" i="292"/>
  <c r="M204" i="306"/>
  <c r="G17" i="298"/>
  <c r="J17"/>
  <c r="G16"/>
  <c r="J16"/>
  <c r="J24"/>
  <c r="G11" i="46"/>
  <c r="R11"/>
  <c r="K11"/>
  <c r="L11"/>
  <c r="M11"/>
  <c r="N11"/>
  <c r="O11"/>
  <c r="P11"/>
  <c r="G24" i="298"/>
  <c r="H58" i="32"/>
  <c r="K58"/>
  <c r="T200" i="306"/>
  <c r="X200"/>
  <c r="M201"/>
  <c r="T201"/>
  <c r="X201"/>
  <c r="M202"/>
  <c r="T202"/>
  <c r="X202"/>
  <c r="T203"/>
  <c r="X203"/>
  <c r="T204"/>
  <c r="X204"/>
  <c r="X205"/>
  <c r="X206"/>
  <c r="K207"/>
  <c r="H31" i="32"/>
  <c r="H52"/>
  <c r="T265" i="306"/>
  <c r="T271"/>
  <c r="M265"/>
  <c r="M225" i="287"/>
  <c r="G24" i="291"/>
  <c r="K24"/>
  <c r="P24"/>
  <c r="D225" i="287"/>
  <c r="G8" i="291"/>
  <c r="K8"/>
  <c r="P8"/>
  <c r="P42"/>
  <c r="K42"/>
  <c r="G42"/>
  <c r="X14"/>
  <c r="X22"/>
  <c r="X30"/>
  <c r="X28"/>
  <c r="X32"/>
  <c r="X36"/>
  <c r="X20"/>
  <c r="X10"/>
  <c r="X16"/>
  <c r="X12"/>
  <c r="X18"/>
  <c r="X24"/>
  <c r="X8"/>
  <c r="X34"/>
  <c r="F56" i="19"/>
  <c r="H56"/>
  <c r="F55"/>
  <c r="H55"/>
  <c r="M192" i="287"/>
  <c r="F10" i="19"/>
  <c r="F14"/>
  <c r="F15"/>
  <c r="F17"/>
  <c r="J17"/>
  <c r="F35"/>
  <c r="F36"/>
  <c r="F38"/>
  <c r="J38"/>
  <c r="M193" i="287"/>
  <c r="F22" i="19"/>
  <c r="F26"/>
  <c r="F27"/>
  <c r="F29"/>
  <c r="J29"/>
  <c r="F43"/>
  <c r="F44"/>
  <c r="F46"/>
  <c r="J46"/>
  <c r="F48"/>
  <c r="F49"/>
  <c r="F52"/>
  <c r="F7" i="302"/>
  <c r="M197" i="287"/>
  <c r="F8" i="302"/>
  <c r="F16"/>
  <c r="Y14"/>
  <c r="Q8"/>
  <c r="Q7"/>
  <c r="Q16"/>
  <c r="Y11"/>
  <c r="Y10"/>
  <c r="Y7"/>
  <c r="Y12"/>
  <c r="Y8"/>
  <c r="Y15"/>
  <c r="Y13"/>
  <c r="Y9"/>
  <c r="X198" i="287"/>
  <c r="X199"/>
  <c r="M194"/>
  <c r="M195"/>
  <c r="M196"/>
  <c r="T192"/>
  <c r="T193"/>
  <c r="T194"/>
  <c r="T195"/>
  <c r="T196"/>
  <c r="T197"/>
  <c r="T264"/>
  <c r="T270"/>
  <c r="X192"/>
  <c r="X197"/>
  <c r="X196"/>
  <c r="X193"/>
  <c r="X195"/>
  <c r="X194"/>
  <c r="J16" i="302"/>
  <c r="F57" i="19"/>
  <c r="H57"/>
  <c r="F59"/>
  <c r="F51" i="12"/>
  <c r="F52"/>
  <c r="F55"/>
  <c r="L55"/>
  <c r="F43"/>
  <c r="F44"/>
  <c r="F47"/>
  <c r="L47"/>
  <c r="M174" i="287"/>
  <c r="F33" i="12"/>
  <c r="F34"/>
  <c r="F35"/>
  <c r="F38"/>
  <c r="L38"/>
  <c r="M173" i="287"/>
  <c r="F24" i="12"/>
  <c r="F25"/>
  <c r="F26"/>
  <c r="F29"/>
  <c r="L29"/>
  <c r="F14"/>
  <c r="H51"/>
  <c r="F15"/>
  <c r="F6"/>
  <c r="F20"/>
  <c r="L20"/>
  <c r="H52"/>
  <c r="M175" i="287"/>
  <c r="M176"/>
  <c r="M172"/>
  <c r="T172"/>
  <c r="T173"/>
  <c r="T174"/>
  <c r="T175"/>
  <c r="T176"/>
  <c r="T261"/>
  <c r="T267"/>
  <c r="X172"/>
  <c r="X178"/>
  <c r="X177"/>
  <c r="X173"/>
  <c r="X174"/>
  <c r="X176"/>
  <c r="X175"/>
  <c r="F29" i="6"/>
  <c r="F30"/>
  <c r="F33"/>
  <c r="J33"/>
  <c r="F39"/>
  <c r="F40"/>
  <c r="F43"/>
  <c r="J43"/>
  <c r="H40"/>
  <c r="F21"/>
  <c r="F22"/>
  <c r="F25"/>
  <c r="J25"/>
  <c r="F11"/>
  <c r="F12"/>
  <c r="F15"/>
  <c r="J15"/>
  <c r="M186" i="287"/>
  <c r="T186"/>
  <c r="X186"/>
  <c r="M187"/>
  <c r="M188"/>
  <c r="M189"/>
  <c r="T187"/>
  <c r="T188"/>
  <c r="T189"/>
  <c r="T263"/>
  <c r="T269"/>
  <c r="X190"/>
  <c r="X191"/>
  <c r="H39" i="6"/>
  <c r="X189" i="287"/>
  <c r="X187"/>
  <c r="X188"/>
  <c r="N26" i="292"/>
  <c r="N25"/>
  <c r="N20"/>
  <c r="N16"/>
  <c r="N15"/>
  <c r="N11"/>
  <c r="N10"/>
  <c r="M264" i="287"/>
  <c r="M270"/>
  <c r="M216"/>
  <c r="M263"/>
  <c r="M269"/>
  <c r="M262"/>
  <c r="M268"/>
  <c r="M261"/>
  <c r="M267"/>
  <c r="K16" i="321"/>
  <c r="G57" i="320"/>
  <c r="G59"/>
  <c r="J16" i="321"/>
  <c r="F57" i="320"/>
  <c r="F59"/>
  <c r="I57"/>
  <c r="H57"/>
</calcChain>
</file>

<file path=xl/comments1.xml><?xml version="1.0" encoding="utf-8"?>
<comments xmlns="http://schemas.openxmlformats.org/spreadsheetml/2006/main">
  <authors>
    <author>Kathleen</author>
    <author>Maryse Labriet</author>
    <author>Amit Kanudia</author>
    <author>Tommi Ekholm</author>
    <author>Barry Kapilow-Cohen</author>
  </authors>
  <commentList>
    <comment ref="AS5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5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5" authorId="0">
      <text>
        <r>
          <rPr>
            <sz val="8"/>
            <color indexed="81"/>
            <rFont val="Tahoma"/>
          </rPr>
          <t>Conversion factor
TJ (IEA) to PJ</t>
        </r>
      </text>
    </comment>
    <comment ref="AA24" authorId="1">
      <text>
        <r>
          <rPr>
            <sz val="8"/>
            <color indexed="81"/>
            <rFont val="Tahoma"/>
          </rPr>
          <t>Maryse Labriet:
In IND, in 2000, BIOBLQ is equivalent to BIOGAS, given IEA statistics.</t>
        </r>
      </text>
    </comment>
    <comment ref="E27" authorId="2">
      <text>
        <r>
          <rPr>
            <sz val="8"/>
            <color indexed="81"/>
            <rFont val="Tahoma"/>
          </rPr>
          <t>Includes refinery gas and non-crude, mainly for chemical</t>
        </r>
      </text>
    </comment>
    <comment ref="I27" authorId="2">
      <text>
        <r>
          <rPr>
            <sz val="8"/>
            <color indexed="81"/>
            <rFont val="Tahoma"/>
          </rPr>
          <t>Includes gas coke for iron&amp;steel</t>
        </r>
      </text>
    </comment>
    <comment ref="G40" authorId="0">
      <text>
        <r>
          <rPr>
            <sz val="9"/>
            <color indexed="81"/>
            <rFont val="Tahoma"/>
            <family val="2"/>
          </rPr>
          <t>No technology is associated to these fuel/end-use in dark gray cells. 
No number should appear in these cells unless one adds appropriate technology(ies).</t>
        </r>
      </text>
    </comment>
    <comment ref="AQ47" authorId="1">
      <text>
        <r>
          <rPr>
            <sz val="8"/>
            <color indexed="81"/>
            <rFont val="Tahoma"/>
          </rPr>
          <t>Regional Fossil Fuel Equivalent - Autoproduction</t>
        </r>
      </text>
    </comment>
    <comment ref="BJ48" authorId="3">
      <text>
        <r>
          <rPr>
            <b/>
            <sz val="8"/>
            <color indexed="81"/>
            <rFont val="Tahoma"/>
            <family val="2"/>
          </rPr>
          <t>Tommi Ekholm:</t>
        </r>
        <r>
          <rPr>
            <sz val="8"/>
            <color indexed="81"/>
            <rFont val="Tahoma"/>
          </rPr>
          <t xml:space="preserve">
Fuels for autoproduction (elc, heat and CHP)
</t>
        </r>
      </text>
    </comment>
    <comment ref="BK48" authorId="3">
      <text>
        <r>
          <rPr>
            <b/>
            <sz val="8"/>
            <color indexed="81"/>
            <rFont val="Tahoma"/>
          </rPr>
          <t>Tommi Ekholm:</t>
        </r>
        <r>
          <rPr>
            <sz val="8"/>
            <color indexed="81"/>
            <rFont val="Tahoma"/>
          </rPr>
          <t xml:space="preserve">
Fuels for autoprod + TOTIND + ONO - NECHEM</t>
        </r>
      </text>
    </comment>
    <comment ref="AS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49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V49" authorId="0">
      <text>
        <r>
          <rPr>
            <sz val="8"/>
            <color indexed="81"/>
            <rFont val="Tahoma"/>
          </rPr>
          <t>Conversion factor
TJ (IEA) to PJ</t>
        </r>
      </text>
    </comment>
    <comment ref="C52" authorId="4">
      <text>
        <r>
          <rPr>
            <sz val="8"/>
            <color indexed="81"/>
            <rFont val="Tahoma"/>
          </rPr>
          <t>Includes process cooling, miscellaneous processes and building energy use</t>
        </r>
      </text>
    </comment>
  </commentList>
</comments>
</file>

<file path=xl/comments2.xml><?xml version="1.0" encoding="utf-8"?>
<comments xmlns="http://schemas.openxmlformats.org/spreadsheetml/2006/main">
  <authors>
    <author>Kathleen</author>
    <author>Maryse Labriet</author>
    <author>Amit Kanudia</author>
    <author>Tommi Ekholm</author>
    <author>Barry Kapilow-Cohen</author>
  </authors>
  <commentList>
    <comment ref="AS5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5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5" authorId="0">
      <text>
        <r>
          <rPr>
            <sz val="8"/>
            <color indexed="81"/>
            <rFont val="Tahoma"/>
          </rPr>
          <t>Conversion factor
TJ (IEA) to PJ</t>
        </r>
      </text>
    </comment>
    <comment ref="AA24" authorId="1">
      <text>
        <r>
          <rPr>
            <sz val="8"/>
            <color indexed="81"/>
            <rFont val="Tahoma"/>
          </rPr>
          <t>Maryse Labriet:
In IND, in 2000, BIOBLQ is equivalent to BIOGAS, given IEA statistics.</t>
        </r>
      </text>
    </comment>
    <comment ref="E27" authorId="2">
      <text>
        <r>
          <rPr>
            <sz val="8"/>
            <color indexed="81"/>
            <rFont val="Tahoma"/>
          </rPr>
          <t>Includes refinery gas and non-crude, mainly for chemical</t>
        </r>
      </text>
    </comment>
    <comment ref="I27" authorId="2">
      <text>
        <r>
          <rPr>
            <sz val="8"/>
            <color indexed="81"/>
            <rFont val="Tahoma"/>
          </rPr>
          <t>Includes gas coke for iron&amp;steel</t>
        </r>
      </text>
    </comment>
    <comment ref="G40" authorId="0">
      <text>
        <r>
          <rPr>
            <sz val="9"/>
            <color indexed="81"/>
            <rFont val="Tahoma"/>
            <family val="2"/>
          </rPr>
          <t>No technology is associated to these fuel/end-use in dark gray cells. 
No number should appear in these cells unless one adds appropriate technology(ies).</t>
        </r>
      </text>
    </comment>
    <comment ref="AQ47" authorId="1">
      <text>
        <r>
          <rPr>
            <sz val="8"/>
            <color indexed="81"/>
            <rFont val="Tahoma"/>
          </rPr>
          <t>Regional Fossil Fuel Equivalent - Autoproduction</t>
        </r>
      </text>
    </comment>
    <comment ref="BJ48" authorId="3">
      <text>
        <r>
          <rPr>
            <b/>
            <sz val="8"/>
            <color indexed="81"/>
            <rFont val="Tahoma"/>
            <family val="2"/>
          </rPr>
          <t>Tommi Ekholm:</t>
        </r>
        <r>
          <rPr>
            <sz val="8"/>
            <color indexed="81"/>
            <rFont val="Tahoma"/>
          </rPr>
          <t xml:space="preserve">
Fuels for autoproduction (elc, heat and CHP)
</t>
        </r>
      </text>
    </comment>
    <comment ref="BK48" authorId="3">
      <text>
        <r>
          <rPr>
            <b/>
            <sz val="8"/>
            <color indexed="81"/>
            <rFont val="Tahoma"/>
          </rPr>
          <t>Tommi Ekholm:</t>
        </r>
        <r>
          <rPr>
            <sz val="8"/>
            <color indexed="81"/>
            <rFont val="Tahoma"/>
          </rPr>
          <t xml:space="preserve">
Fuels for autoprod + TOTIND + ONO - NECHEM</t>
        </r>
      </text>
    </comment>
    <comment ref="AS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49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V49" authorId="0">
      <text>
        <r>
          <rPr>
            <sz val="8"/>
            <color indexed="81"/>
            <rFont val="Tahoma"/>
          </rPr>
          <t>Conversion factor
TJ (IEA) to PJ</t>
        </r>
      </text>
    </comment>
    <comment ref="C52" authorId="4">
      <text>
        <r>
          <rPr>
            <sz val="8"/>
            <color indexed="81"/>
            <rFont val="Tahoma"/>
          </rPr>
          <t>Includes process cooling, miscellaneous processes and building energy use</t>
        </r>
      </text>
    </comment>
  </commentList>
</comments>
</file>

<file path=xl/comments3.xml><?xml version="1.0" encoding="utf-8"?>
<comments xmlns="http://schemas.openxmlformats.org/spreadsheetml/2006/main">
  <authors>
    <author>Antti Lehtilä</author>
  </authors>
  <commentList>
    <comment ref="G82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Tracked at ANNUAL level, load curve is included!</t>
        </r>
      </text>
    </comment>
    <comment ref="C14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For optional alternative cement demand scenario;
Currently not used</t>
        </r>
      </text>
    </comment>
  </commentList>
</comments>
</file>

<file path=xl/comments4.xml><?xml version="1.0" encoding="utf-8"?>
<comments xmlns="http://schemas.openxmlformats.org/spreadsheetml/2006/main">
  <authors>
    <author>Amit Kanudia</author>
    <author>Kathleen</author>
    <author>Antti Lehtilä</author>
  </authors>
  <commentList>
    <comment ref="A1" authorId="0">
      <text>
        <r>
          <rPr>
            <b/>
            <sz val="8"/>
            <color indexed="81"/>
            <rFont val="Tahoma"/>
          </rPr>
          <t>Amit Kanudia:</t>
        </r>
        <r>
          <rPr>
            <sz val="8"/>
            <color indexed="81"/>
            <rFont val="Tahoma"/>
          </rPr>
          <t xml:space="preserve">
These can be used to put sectoral fuel cost mark-ups and also to control the penetration of fuels (Across uses)</t>
        </r>
      </text>
    </comment>
    <comment ref="B55" authorId="1">
      <text>
        <r>
          <rPr>
            <sz val="8"/>
            <color indexed="81"/>
            <rFont val="Tahoma"/>
          </rPr>
          <t>This technology composes industrial electricity as mix of centralized and decentralized electricity.</t>
        </r>
      </text>
    </comment>
    <comment ref="J70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Added efficiency here, due to efficiency of EAUTELC00=1</t>
        </r>
      </text>
    </comment>
    <comment ref="L78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Cost for new gas network for industry assumed at 1.35 USD/GJ.</t>
        </r>
      </text>
    </comment>
    <comment ref="E94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Aggregate OXY with BFG</t>
        </r>
      </text>
    </comment>
    <comment ref="L113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Additional INDBIO distribution price assumed 2 USD/GJ (but less for INDBSL).</t>
        </r>
      </text>
    </comment>
    <comment ref="R113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Allow already in 2000 to help BIO calibration problems.</t>
        </r>
      </text>
    </comment>
    <comment ref="H132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LHV of methanol 20 GJ/t</t>
        </r>
      </text>
    </comment>
  </commentList>
</comments>
</file>

<file path=xl/comments5.xml><?xml version="1.0" encoding="utf-8"?>
<comments xmlns="http://schemas.openxmlformats.org/spreadsheetml/2006/main">
  <authors>
    <author>Antti Lehtilä</author>
    <author>Kathleen</author>
    <author>Amit Kanudia</author>
    <author>Pia Hartman</author>
  </authors>
  <commentList>
    <comment ref="B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Oxidation factor assumed 98%</t>
        </r>
      </text>
    </comment>
    <comment ref="B9" authorId="1">
      <text>
        <r>
          <rPr>
            <sz val="8"/>
            <color indexed="81"/>
            <rFont val="Tahoma"/>
          </rPr>
          <t>Accounted at the technology level (UTRNBLSFU0 and UTRPBLSFU0).</t>
        </r>
      </text>
    </comment>
    <comment ref="B10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Emission accounted in the other fuels, from which the gas is derived.</t>
        </r>
      </text>
    </comment>
    <comment ref="B29" authorId="2">
      <text>
        <r>
          <rPr>
            <sz val="8"/>
            <color indexed="81"/>
            <rFont val="Tahoma"/>
          </rPr>
          <t>50% only
OILLUB is used only for non-energy use</t>
        </r>
      </text>
    </comment>
    <comment ref="B30" authorId="2">
      <text>
        <r>
          <rPr>
            <sz val="8"/>
            <color indexed="81"/>
            <rFont val="Tahoma"/>
          </rPr>
          <t>Only for non-energy use</t>
        </r>
      </text>
    </comment>
    <comment ref="B39" authorId="3">
      <text>
        <r>
          <rPr>
            <sz val="8"/>
            <color indexed="81"/>
            <rFont val="Tahoma"/>
          </rPr>
          <t>Bio-energy</t>
        </r>
      </text>
    </comment>
    <comment ref="B40" authorId="3">
      <text>
        <r>
          <rPr>
            <sz val="8"/>
            <color indexed="81"/>
            <rFont val="Tahoma"/>
          </rPr>
          <t>Bio-energy</t>
        </r>
      </text>
    </comment>
    <comment ref="B41" authorId="3">
      <text>
        <r>
          <rPr>
            <sz val="8"/>
            <color indexed="81"/>
            <rFont val="Tahoma"/>
          </rPr>
          <t>Bio-energy</t>
        </r>
      </text>
    </comment>
    <comment ref="B4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Non-biomass fraction assumed 30%</t>
        </r>
      </text>
    </comment>
    <comment ref="B44" authorId="3">
      <text>
        <r>
          <rPr>
            <sz val="8"/>
            <color indexed="81"/>
            <rFont val="Tahoma"/>
          </rPr>
          <t>Bio-energy</t>
        </r>
      </text>
    </comment>
    <comment ref="B46" authorId="3">
      <text>
        <r>
          <rPr>
            <sz val="8"/>
            <color indexed="81"/>
            <rFont val="Tahoma"/>
          </rPr>
          <t>Bio-energy</t>
        </r>
      </text>
    </comment>
    <comment ref="B47" authorId="3">
      <text>
        <r>
          <rPr>
            <sz val="8"/>
            <color indexed="81"/>
            <rFont val="Tahoma"/>
          </rPr>
          <t>Bio-energy</t>
        </r>
      </text>
    </comment>
  </commentList>
</comments>
</file>

<file path=xl/comments6.xml><?xml version="1.0" encoding="utf-8"?>
<comments xmlns="http://schemas.openxmlformats.org/spreadsheetml/2006/main">
  <authors>
    <author>Antti Lehtilä</author>
    <author>Tommi Ekholm</author>
  </authors>
  <commentList>
    <comment ref="D18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2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3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45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5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61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7.xml><?xml version="1.0" encoding="utf-8"?>
<comments xmlns="http://schemas.openxmlformats.org/spreadsheetml/2006/main">
  <authors>
    <author>Antti Lehtilä</author>
    <author>Tommi Ekholm</author>
  </authors>
  <commentList>
    <comment ref="D1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2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31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41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50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8.xml><?xml version="1.0" encoding="utf-8"?>
<comments xmlns="http://schemas.openxmlformats.org/spreadsheetml/2006/main">
  <authors>
    <author>Antti Lehtilä</author>
    <author>Tommi Ekholm</author>
  </authors>
  <commentList>
    <comment ref="D50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66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9.xml><?xml version="1.0" encoding="utf-8"?>
<comments xmlns="http://schemas.openxmlformats.org/spreadsheetml/2006/main">
  <authors>
    <author>Antti Lehtilä</author>
    <author>Kathleen</author>
  </authors>
  <commentList>
    <comment ref="P20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Converted ADRATIOS to Market-Share constraints. If new processes should be included, they can also beeasily included in these constraints.</t>
        </r>
      </text>
    </comment>
    <comment ref="C27" authorId="1">
      <text>
        <r>
          <rPr>
            <sz val="8"/>
            <color indexed="81"/>
            <rFont val="Tahoma"/>
          </rPr>
          <t>Barry Kapilow-Cohen:
ethane, napthas</t>
        </r>
      </text>
    </comment>
  </commentList>
</comments>
</file>

<file path=xl/comments10.xml><?xml version="1.0" encoding="utf-8"?>
<comments xmlns="http://schemas.openxmlformats.org/spreadsheetml/2006/main">
  <authors>
    <author>Antti Lehtilä</author>
    <author>Tommi Ekholm</author>
  </authors>
  <commentList>
    <comment ref="D1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R14" authorId="1">
      <text>
        <r>
          <rPr>
            <b/>
            <sz val="9"/>
            <color indexed="81"/>
            <rFont val="Tahoma"/>
            <family val="2"/>
          </rPr>
          <t>Tommi Ekholm:</t>
        </r>
        <r>
          <rPr>
            <sz val="9"/>
            <color indexed="81"/>
            <rFont val="Tahoma"/>
            <family val="2"/>
          </rPr>
          <t xml:space="preserve">
0.51  kt CO2/t clinker
90% clinker content</t>
        </r>
      </text>
    </comment>
    <comment ref="D25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R26" authorId="1">
      <text>
        <r>
          <rPr>
            <b/>
            <sz val="9"/>
            <color indexed="81"/>
            <rFont val="Tahoma"/>
            <family val="2"/>
          </rPr>
          <t>Tommi Ekholm:</t>
        </r>
        <r>
          <rPr>
            <sz val="9"/>
            <color indexed="81"/>
            <rFont val="Tahoma"/>
            <family val="2"/>
          </rPr>
          <t xml:space="preserve">
0.51  kt CO2/t clinker
90% clinker content</t>
        </r>
      </text>
    </comment>
    <comment ref="D3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R35" authorId="1">
      <text>
        <r>
          <rPr>
            <b/>
            <sz val="9"/>
            <color indexed="81"/>
            <rFont val="Tahoma"/>
            <family val="2"/>
          </rPr>
          <t>Antti L:</t>
        </r>
        <r>
          <rPr>
            <sz val="9"/>
            <color indexed="81"/>
            <rFont val="Tahoma"/>
            <family val="2"/>
          </rPr>
          <t xml:space="preserve">
0.785 kt CO2/t LIME
80% Assumed to recarbonize in use</t>
        </r>
      </text>
    </comment>
    <comment ref="D4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5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64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11.xml><?xml version="1.0" encoding="utf-8"?>
<comments xmlns="http://schemas.openxmlformats.org/spreadsheetml/2006/main">
  <authors>
    <author>Antti Lehtilä</author>
  </authors>
  <commentList>
    <comment ref="R3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exports</t>
        </r>
      </text>
    </comment>
    <comment ref="R38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pulp mix.</t>
        </r>
      </text>
    </comment>
    <comment ref="R4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pulp mix.</t>
        </r>
      </text>
    </comment>
    <comment ref="I5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Commodity efficiency takes care of pulp/paper ratio</t>
        </r>
      </text>
    </comment>
    <comment ref="I5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Commodity efficiency takes care of pulp/paper ratio</t>
        </r>
      </text>
    </comment>
    <comment ref="R5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printing</t>
        </r>
      </text>
    </comment>
    <comment ref="AB6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Reduce IMLP demand accordingly, because this final use is included there</t>
        </r>
      </text>
    </comment>
  </commentList>
</comments>
</file>

<file path=xl/comments12.xml><?xml version="1.0" encoding="utf-8"?>
<comments xmlns="http://schemas.openxmlformats.org/spreadsheetml/2006/main">
  <authors>
    <author>Tommi Ekholm</author>
  </authors>
  <commentList>
    <comment ref="P36" authorId="0">
      <text>
        <r>
          <rPr>
            <b/>
            <sz val="8"/>
            <color indexed="81"/>
            <rFont val="Tahoma"/>
          </rPr>
          <t>Tommi Ekholm:</t>
        </r>
        <r>
          <rPr>
            <sz val="8"/>
            <color indexed="81"/>
            <rFont val="Tahoma"/>
          </rPr>
          <t xml:space="preserve">
Converts also INDHET from INDSTM* -processes</t>
        </r>
      </text>
    </comment>
  </commentList>
</comments>
</file>

<file path=xl/comments13.xml><?xml version="1.0" encoding="utf-8"?>
<comments xmlns="http://schemas.openxmlformats.org/spreadsheetml/2006/main">
  <authors>
    <author>Kathleen</author>
  </authors>
  <commentList>
    <comment ref="T24" authorId="0">
      <text>
        <r>
          <rPr>
            <sz val="8"/>
            <color indexed="81"/>
            <rFont val="Tahoma"/>
          </rPr>
          <t xml:space="preserve">Process-related emissions (non-energy emissions)
Only a  % of fuel coefficients for feedstrocks (from 20% to 67%) </t>
        </r>
      </text>
    </comment>
    <comment ref="U24" authorId="0">
      <text>
        <r>
          <rPr>
            <sz val="8"/>
            <color indexed="81"/>
            <rFont val="Tahoma"/>
          </rPr>
          <t xml:space="preserve">Process-related emissions (non-energy emissions)
Only a  % of fuel coefficients for feedstrocks (from 20% to 67%) </t>
        </r>
      </text>
    </comment>
    <comment ref="V24" authorId="0">
      <text>
        <r>
          <rPr>
            <sz val="8"/>
            <color indexed="81"/>
            <rFont val="Tahoma"/>
          </rPr>
          <t xml:space="preserve">Process-related emissions (non-energy emissions)
Only a  % of fuel coefficients for feedstrocks (from 20% to 67%) </t>
        </r>
      </text>
    </comment>
  </commentList>
</comments>
</file>

<file path=xl/comments14.xml><?xml version="1.0" encoding="utf-8"?>
<comments xmlns="http://schemas.openxmlformats.org/spreadsheetml/2006/main">
  <authors>
    <author>Antti Lehtilä</author>
  </authors>
  <commentList>
    <comment ref="N1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Some constraints for Coal appear necessary. Assume 50% max. asymptotic share if current share is quite small.</t>
        </r>
      </text>
    </comment>
    <comment ref="E5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Identification of constraint, together with CommName. Process name can be used for defining a common coefficient for all group members.</t>
        </r>
      </text>
    </comment>
    <comment ref="G5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H5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G5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H5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G58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Distribution costs of INDSTM to HET use in other sectors</t>
        </r>
      </text>
    </comment>
  </commentList>
</comments>
</file>

<file path=xl/comments15.xml><?xml version="1.0" encoding="utf-8"?>
<comments xmlns="http://schemas.openxmlformats.org/spreadsheetml/2006/main">
  <authors>
    <author>KanORS</author>
    <author>Antti Lehtilä</author>
  </authors>
  <commentList>
    <comment ref="C17" authorId="0">
      <text>
        <r>
          <rPr>
            <b/>
            <sz val="8"/>
            <color indexed="81"/>
            <rFont val="Tahoma"/>
          </rPr>
          <t>Production of INDSTM in excess of industrial demand is converted to HET, and can be consumed elsewhere. This is needed for calibration.</t>
        </r>
      </text>
    </comment>
    <comment ref="D17" authorId="1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Percentage of recycled paper in Base Year</t>
        </r>
      </text>
    </comment>
  </commentList>
</comments>
</file>

<file path=xl/comments16.xml><?xml version="1.0" encoding="utf-8"?>
<comments xmlns="http://schemas.openxmlformats.org/spreadsheetml/2006/main">
  <authors>
    <author>Kathleen</author>
    <author>Maryse Labriet</author>
    <author>Amit Kanudia</author>
    <author>Tommi Ekholm</author>
    <author>Barry Kapilow-Cohen</author>
  </authors>
  <commentList>
    <comment ref="AS5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5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5" authorId="0">
      <text>
        <r>
          <rPr>
            <sz val="8"/>
            <color indexed="81"/>
            <rFont val="Tahoma"/>
          </rPr>
          <t>Conversion factor
TJ (IEA) to PJ</t>
        </r>
      </text>
    </comment>
    <comment ref="AA24" authorId="1">
      <text>
        <r>
          <rPr>
            <sz val="8"/>
            <color indexed="81"/>
            <rFont val="Tahoma"/>
          </rPr>
          <t>Maryse Labriet:
In IND, in 2000, BIOBLQ is equivalent to BIOGAS, given IEA statistics.</t>
        </r>
      </text>
    </comment>
    <comment ref="E27" authorId="2">
      <text>
        <r>
          <rPr>
            <sz val="8"/>
            <color indexed="81"/>
            <rFont val="Tahoma"/>
          </rPr>
          <t>Includes refinery gas and non-crude, mainly for chemical</t>
        </r>
      </text>
    </comment>
    <comment ref="I27" authorId="2">
      <text>
        <r>
          <rPr>
            <sz val="8"/>
            <color indexed="81"/>
            <rFont val="Tahoma"/>
          </rPr>
          <t>Includes gas coke for iron&amp;steel</t>
        </r>
      </text>
    </comment>
    <comment ref="G40" authorId="0">
      <text>
        <r>
          <rPr>
            <sz val="9"/>
            <color indexed="81"/>
            <rFont val="Tahoma"/>
            <family val="2"/>
          </rPr>
          <t>No technology is associated to these fuel/end-use in dark gray cells. 
No number should appear in these cells unless one adds appropriate technology(ies).</t>
        </r>
      </text>
    </comment>
    <comment ref="AQ47" authorId="1">
      <text>
        <r>
          <rPr>
            <sz val="8"/>
            <color indexed="81"/>
            <rFont val="Tahoma"/>
          </rPr>
          <t>Regional Fossil Fuel Equivalent - Autoproduction</t>
        </r>
      </text>
    </comment>
    <comment ref="BJ48" authorId="3">
      <text>
        <r>
          <rPr>
            <b/>
            <sz val="8"/>
            <color indexed="81"/>
            <rFont val="Tahoma"/>
            <family val="2"/>
          </rPr>
          <t>Tommi Ekholm:</t>
        </r>
        <r>
          <rPr>
            <sz val="8"/>
            <color indexed="81"/>
            <rFont val="Tahoma"/>
          </rPr>
          <t xml:space="preserve">
Fuels for autoproduction (elc, heat and CHP)
</t>
        </r>
      </text>
    </comment>
    <comment ref="BK48" authorId="3">
      <text>
        <r>
          <rPr>
            <b/>
            <sz val="8"/>
            <color indexed="81"/>
            <rFont val="Tahoma"/>
          </rPr>
          <t>Tommi Ekholm:</t>
        </r>
        <r>
          <rPr>
            <sz val="8"/>
            <color indexed="81"/>
            <rFont val="Tahoma"/>
          </rPr>
          <t xml:space="preserve">
Fuels for autoprod + TOTIND + ONO - NECHEM</t>
        </r>
      </text>
    </comment>
    <comment ref="AS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49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V49" authorId="0">
      <text>
        <r>
          <rPr>
            <sz val="8"/>
            <color indexed="81"/>
            <rFont val="Tahoma"/>
          </rPr>
          <t>Conversion factor
TJ (IEA) to PJ</t>
        </r>
      </text>
    </comment>
    <comment ref="C52" authorId="4">
      <text>
        <r>
          <rPr>
            <sz val="8"/>
            <color indexed="81"/>
            <rFont val="Tahoma"/>
          </rPr>
          <t>Includes process cooling, miscellaneous processes and building energy use</t>
        </r>
      </text>
    </comment>
  </commentList>
</comments>
</file>

<file path=xl/comments17.xml><?xml version="1.0" encoding="utf-8"?>
<comments xmlns="http://schemas.openxmlformats.org/spreadsheetml/2006/main">
  <authors>
    <author>Kathleen</author>
    <author>Maryse Labriet</author>
    <author>Amit Kanudia</author>
    <author>Tommi Ekholm</author>
    <author>Barry Kapilow-Cohen</author>
  </authors>
  <commentList>
    <comment ref="AS5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5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5" authorId="0">
      <text>
        <r>
          <rPr>
            <sz val="8"/>
            <color indexed="81"/>
            <rFont val="Tahoma"/>
          </rPr>
          <t>Conversion factor
TJ (IEA) to PJ</t>
        </r>
      </text>
    </comment>
    <comment ref="AA24" authorId="1">
      <text>
        <r>
          <rPr>
            <sz val="8"/>
            <color indexed="81"/>
            <rFont val="Tahoma"/>
          </rPr>
          <t>Maryse Labriet:
In IND, in 2000, BIOBLQ is equivalent to BIOGAS, given IEA statistics.</t>
        </r>
      </text>
    </comment>
    <comment ref="E27" authorId="2">
      <text>
        <r>
          <rPr>
            <sz val="8"/>
            <color indexed="81"/>
            <rFont val="Tahoma"/>
          </rPr>
          <t>Includes refinery gas and non-crude, mainly for chemical</t>
        </r>
      </text>
    </comment>
    <comment ref="I27" authorId="2">
      <text>
        <r>
          <rPr>
            <sz val="8"/>
            <color indexed="81"/>
            <rFont val="Tahoma"/>
          </rPr>
          <t>Includes gas coke for iron&amp;steel</t>
        </r>
      </text>
    </comment>
    <comment ref="G40" authorId="0">
      <text>
        <r>
          <rPr>
            <sz val="9"/>
            <color indexed="81"/>
            <rFont val="Tahoma"/>
            <family val="2"/>
          </rPr>
          <t>No technology is associated to these fuel/end-use in dark gray cells. 
No number should appear in these cells unless one adds appropriate technology(ies).</t>
        </r>
      </text>
    </comment>
    <comment ref="AQ47" authorId="1">
      <text>
        <r>
          <rPr>
            <sz val="8"/>
            <color indexed="81"/>
            <rFont val="Tahoma"/>
          </rPr>
          <t>Regional Fossil Fuel Equivalent - Autoproduction</t>
        </r>
      </text>
    </comment>
    <comment ref="BJ48" authorId="3">
      <text>
        <r>
          <rPr>
            <b/>
            <sz val="8"/>
            <color indexed="81"/>
            <rFont val="Tahoma"/>
            <family val="2"/>
          </rPr>
          <t>Tommi Ekholm:</t>
        </r>
        <r>
          <rPr>
            <sz val="8"/>
            <color indexed="81"/>
            <rFont val="Tahoma"/>
          </rPr>
          <t xml:space="preserve">
Fuels for autoproduction (elc, heat and CHP)
</t>
        </r>
      </text>
    </comment>
    <comment ref="BK48" authorId="3">
      <text>
        <r>
          <rPr>
            <b/>
            <sz val="8"/>
            <color indexed="81"/>
            <rFont val="Tahoma"/>
          </rPr>
          <t>Tommi Ekholm:</t>
        </r>
        <r>
          <rPr>
            <sz val="8"/>
            <color indexed="81"/>
            <rFont val="Tahoma"/>
          </rPr>
          <t xml:space="preserve">
Fuels for autoprod + TOTIND + ONO - NECHEM</t>
        </r>
      </text>
    </comment>
    <comment ref="AS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T49" authorId="0">
      <text>
        <r>
          <rPr>
            <sz val="8"/>
            <color indexed="81"/>
            <rFont val="Tahoma"/>
          </rPr>
          <t>Conversion factor
GWh (IEA) to PJ</t>
        </r>
      </text>
    </comment>
    <comment ref="AU49" authorId="0">
      <text>
        <r>
          <rPr>
            <sz val="8"/>
            <color indexed="81"/>
            <rFont val="Tahoma"/>
          </rPr>
          <t>Conversion factor
ktoe (IEA) to PJ</t>
        </r>
      </text>
    </comment>
    <comment ref="AV49" authorId="0">
      <text>
        <r>
          <rPr>
            <sz val="8"/>
            <color indexed="81"/>
            <rFont val="Tahoma"/>
          </rPr>
          <t>Conversion factor
TJ (IEA) to PJ</t>
        </r>
      </text>
    </comment>
    <comment ref="C52" authorId="4">
      <text>
        <r>
          <rPr>
            <sz val="8"/>
            <color indexed="81"/>
            <rFont val="Tahoma"/>
          </rPr>
          <t>Includes process cooling, miscellaneous processes and building energy use</t>
        </r>
      </text>
    </comment>
  </commentList>
</comments>
</file>

<file path=xl/comments18.xml><?xml version="1.0" encoding="utf-8"?>
<comments xmlns="http://schemas.openxmlformats.org/spreadsheetml/2006/main">
  <authors>
    <author>Antti Lehtilä</author>
  </authors>
  <commentList>
    <comment ref="G82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Tracked at ANNUAL level, load curve is included!</t>
        </r>
      </text>
    </comment>
    <comment ref="C14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For optional alternative cement demand scenario;
Currently not used</t>
        </r>
      </text>
    </comment>
  </commentList>
</comments>
</file>

<file path=xl/comments19.xml><?xml version="1.0" encoding="utf-8"?>
<comments xmlns="http://schemas.openxmlformats.org/spreadsheetml/2006/main">
  <authors>
    <author>Amit Kanudia</author>
    <author>Kathleen</author>
    <author>Antti Lehtilä</author>
  </authors>
  <commentList>
    <comment ref="A1" authorId="0">
      <text>
        <r>
          <rPr>
            <b/>
            <sz val="8"/>
            <color indexed="81"/>
            <rFont val="Tahoma"/>
          </rPr>
          <t>Amit Kanudia:</t>
        </r>
        <r>
          <rPr>
            <sz val="8"/>
            <color indexed="81"/>
            <rFont val="Tahoma"/>
          </rPr>
          <t xml:space="preserve">
These can be used to put sectoral fuel cost mark-ups and also to control the penetration of fuels (Across uses)</t>
        </r>
      </text>
    </comment>
    <comment ref="B55" authorId="1">
      <text>
        <r>
          <rPr>
            <sz val="8"/>
            <color indexed="81"/>
            <rFont val="Tahoma"/>
          </rPr>
          <t>This technology composes industrial electricity as mix of centralized and decentralized electricity.</t>
        </r>
      </text>
    </comment>
    <comment ref="J70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Added efficiency here, due to efficiency of EAUTELC00=1</t>
        </r>
      </text>
    </comment>
    <comment ref="L78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Cost for new gas network for industry assumed at 1.35 USD/GJ.</t>
        </r>
      </text>
    </comment>
    <comment ref="E94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Aggregate OXY with BFG</t>
        </r>
      </text>
    </comment>
    <comment ref="L113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Additional INDBIO distribution price assumed 2 USD/GJ (but less for INDBSL).</t>
        </r>
      </text>
    </comment>
    <comment ref="R113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Allow already in 2000 to help BIO calibration problems.</t>
        </r>
      </text>
    </comment>
    <comment ref="H132" authorId="2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LHV of methanol 20 GJ/t</t>
        </r>
      </text>
    </comment>
  </commentList>
</comments>
</file>

<file path=xl/comments20.xml><?xml version="1.0" encoding="utf-8"?>
<comments xmlns="http://schemas.openxmlformats.org/spreadsheetml/2006/main">
  <authors>
    <author>Antti Lehtilä</author>
    <author>Kathleen</author>
    <author>Amit Kanudia</author>
    <author>Pia Hartman</author>
  </authors>
  <commentList>
    <comment ref="B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Oxidation factor assumed 98%</t>
        </r>
      </text>
    </comment>
    <comment ref="B9" authorId="1">
      <text>
        <r>
          <rPr>
            <sz val="8"/>
            <color indexed="81"/>
            <rFont val="Tahoma"/>
          </rPr>
          <t>Accounted at the technology level (UTRNBLSFU0 and UTRPBLSFU0).</t>
        </r>
      </text>
    </comment>
    <comment ref="B10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Emission accounted in the other fuels, from which the gas is derived.</t>
        </r>
      </text>
    </comment>
    <comment ref="B29" authorId="2">
      <text>
        <r>
          <rPr>
            <sz val="8"/>
            <color indexed="81"/>
            <rFont val="Tahoma"/>
          </rPr>
          <t>50% only
OILLUB is used only for non-energy use</t>
        </r>
      </text>
    </comment>
    <comment ref="B30" authorId="2">
      <text>
        <r>
          <rPr>
            <sz val="8"/>
            <color indexed="81"/>
            <rFont val="Tahoma"/>
          </rPr>
          <t>Only for non-energy use</t>
        </r>
      </text>
    </comment>
    <comment ref="B39" authorId="3">
      <text>
        <r>
          <rPr>
            <sz val="8"/>
            <color indexed="81"/>
            <rFont val="Tahoma"/>
          </rPr>
          <t>Bio-energy</t>
        </r>
      </text>
    </comment>
    <comment ref="B40" authorId="3">
      <text>
        <r>
          <rPr>
            <sz val="8"/>
            <color indexed="81"/>
            <rFont val="Tahoma"/>
          </rPr>
          <t>Bio-energy</t>
        </r>
      </text>
    </comment>
    <comment ref="B41" authorId="3">
      <text>
        <r>
          <rPr>
            <sz val="8"/>
            <color indexed="81"/>
            <rFont val="Tahoma"/>
          </rPr>
          <t>Bio-energy</t>
        </r>
      </text>
    </comment>
    <comment ref="B4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Non-biomass fraction assumed 30%</t>
        </r>
      </text>
    </comment>
    <comment ref="B44" authorId="3">
      <text>
        <r>
          <rPr>
            <sz val="8"/>
            <color indexed="81"/>
            <rFont val="Tahoma"/>
          </rPr>
          <t>Bio-energy</t>
        </r>
      </text>
    </comment>
    <comment ref="B46" authorId="3">
      <text>
        <r>
          <rPr>
            <sz val="8"/>
            <color indexed="81"/>
            <rFont val="Tahoma"/>
          </rPr>
          <t>Bio-energy</t>
        </r>
      </text>
    </comment>
    <comment ref="B47" authorId="3">
      <text>
        <r>
          <rPr>
            <sz val="8"/>
            <color indexed="81"/>
            <rFont val="Tahoma"/>
          </rPr>
          <t>Bio-energy</t>
        </r>
      </text>
    </comment>
  </commentList>
</comments>
</file>

<file path=xl/comments21.xml><?xml version="1.0" encoding="utf-8"?>
<comments xmlns="http://schemas.openxmlformats.org/spreadsheetml/2006/main">
  <authors>
    <author>Antti Lehtilä</author>
    <author>Tommi Ekholm</author>
  </authors>
  <commentList>
    <comment ref="D18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2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3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45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5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61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22.xml><?xml version="1.0" encoding="utf-8"?>
<comments xmlns="http://schemas.openxmlformats.org/spreadsheetml/2006/main">
  <authors>
    <author>Antti Lehtilä</author>
    <author>Tommi Ekholm</author>
  </authors>
  <commentList>
    <comment ref="D1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2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31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41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50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23.xml><?xml version="1.0" encoding="utf-8"?>
<comments xmlns="http://schemas.openxmlformats.org/spreadsheetml/2006/main">
  <authors>
    <author>Antti Lehtilä</author>
    <author>Tommi Ekholm</author>
  </authors>
  <commentList>
    <comment ref="D50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66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24.xml><?xml version="1.0" encoding="utf-8"?>
<comments xmlns="http://schemas.openxmlformats.org/spreadsheetml/2006/main">
  <authors>
    <author>Antti Lehtilä</author>
    <author>Kathleen</author>
  </authors>
  <commentList>
    <comment ref="P20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Converted ADRATIOS to Market-Share constraints. If new processes should be included, they can also beeasily included in these constraints.</t>
        </r>
      </text>
    </comment>
    <comment ref="C27" authorId="1">
      <text>
        <r>
          <rPr>
            <sz val="8"/>
            <color indexed="81"/>
            <rFont val="Tahoma"/>
          </rPr>
          <t>Barry Kapilow-Cohen:
ethane, napthas</t>
        </r>
      </text>
    </comment>
  </commentList>
</comments>
</file>

<file path=xl/comments25.xml><?xml version="1.0" encoding="utf-8"?>
<comments xmlns="http://schemas.openxmlformats.org/spreadsheetml/2006/main">
  <authors>
    <author>Antti Lehtilä</author>
    <author>Tommi Ekholm</author>
  </authors>
  <commentList>
    <comment ref="D1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R14" authorId="1">
      <text>
        <r>
          <rPr>
            <b/>
            <sz val="9"/>
            <color indexed="81"/>
            <rFont val="Tahoma"/>
            <family val="2"/>
          </rPr>
          <t>Tommi Ekholm:</t>
        </r>
        <r>
          <rPr>
            <sz val="9"/>
            <color indexed="81"/>
            <rFont val="Tahoma"/>
            <family val="2"/>
          </rPr>
          <t xml:space="preserve">
0.51  kt CO2/t clinker
90% clinker content</t>
        </r>
      </text>
    </comment>
    <comment ref="D25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R26" authorId="1">
      <text>
        <r>
          <rPr>
            <b/>
            <sz val="9"/>
            <color indexed="81"/>
            <rFont val="Tahoma"/>
            <family val="2"/>
          </rPr>
          <t>Tommi Ekholm:</t>
        </r>
        <r>
          <rPr>
            <sz val="9"/>
            <color indexed="81"/>
            <rFont val="Tahoma"/>
            <family val="2"/>
          </rPr>
          <t xml:space="preserve">
0.51  kt CO2/t clinker
90% clinker content</t>
        </r>
      </text>
    </comment>
    <comment ref="D3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R35" authorId="1">
      <text>
        <r>
          <rPr>
            <b/>
            <sz val="9"/>
            <color indexed="81"/>
            <rFont val="Tahoma"/>
            <family val="2"/>
          </rPr>
          <t>Antti L:</t>
        </r>
        <r>
          <rPr>
            <sz val="9"/>
            <color indexed="81"/>
            <rFont val="Tahoma"/>
            <family val="2"/>
          </rPr>
          <t xml:space="preserve">
0.785 kt CO2/t LIME
80% Assumed to recarbonize in use</t>
        </r>
      </text>
    </comment>
    <comment ref="D4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D5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Dummy raw material in order to have MAT as the SPG.</t>
        </r>
      </text>
    </comment>
    <comment ref="I64" authorId="1">
      <text>
        <r>
          <rPr>
            <sz val="8"/>
            <color indexed="81"/>
            <rFont val="Tahoma"/>
          </rPr>
          <t>Interpolation</t>
        </r>
      </text>
    </comment>
  </commentList>
</comments>
</file>

<file path=xl/comments26.xml><?xml version="1.0" encoding="utf-8"?>
<comments xmlns="http://schemas.openxmlformats.org/spreadsheetml/2006/main">
  <authors>
    <author>Antti Lehtilä</author>
  </authors>
  <commentList>
    <comment ref="R3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exports</t>
        </r>
      </text>
    </comment>
    <comment ref="R38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pulp mix.</t>
        </r>
      </text>
    </comment>
    <comment ref="R4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pulp mix.</t>
        </r>
      </text>
    </comment>
    <comment ref="I5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Commodity efficiency takes care of pulp/paper ratio</t>
        </r>
      </text>
    </comment>
    <comment ref="I54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Commodity efficiency takes care of pulp/paper ratio</t>
        </r>
      </text>
    </comment>
    <comment ref="R5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No RESID; Represents both exinting and new printing</t>
        </r>
      </text>
    </comment>
    <comment ref="AB63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Reduce IMLP demand accordingly, because this final use is included there</t>
        </r>
      </text>
    </comment>
  </commentList>
</comments>
</file>

<file path=xl/comments27.xml><?xml version="1.0" encoding="utf-8"?>
<comments xmlns="http://schemas.openxmlformats.org/spreadsheetml/2006/main">
  <authors>
    <author>Tommi Ekholm</author>
  </authors>
  <commentList>
    <comment ref="P36" authorId="0">
      <text>
        <r>
          <rPr>
            <b/>
            <sz val="8"/>
            <color indexed="81"/>
            <rFont val="Tahoma"/>
          </rPr>
          <t>Tommi Ekholm:</t>
        </r>
        <r>
          <rPr>
            <sz val="8"/>
            <color indexed="81"/>
            <rFont val="Tahoma"/>
          </rPr>
          <t xml:space="preserve">
Converts also INDHET from INDSTM* -processes</t>
        </r>
      </text>
    </comment>
  </commentList>
</comments>
</file>

<file path=xl/comments28.xml><?xml version="1.0" encoding="utf-8"?>
<comments xmlns="http://schemas.openxmlformats.org/spreadsheetml/2006/main">
  <authors>
    <author>Kathleen</author>
  </authors>
  <commentList>
    <comment ref="T24" authorId="0">
      <text>
        <r>
          <rPr>
            <sz val="8"/>
            <color indexed="81"/>
            <rFont val="Tahoma"/>
          </rPr>
          <t xml:space="preserve">Process-related emissions (non-energy emissions)
Only a  % of fuel coefficients for feedstrocks (from 20% to 67%) </t>
        </r>
      </text>
    </comment>
    <comment ref="U24" authorId="0">
      <text>
        <r>
          <rPr>
            <sz val="8"/>
            <color indexed="81"/>
            <rFont val="Tahoma"/>
          </rPr>
          <t xml:space="preserve">Process-related emissions (non-energy emissions)
Only a  % of fuel coefficients for feedstrocks (from 20% to 67%) </t>
        </r>
      </text>
    </comment>
    <comment ref="V24" authorId="0">
      <text>
        <r>
          <rPr>
            <sz val="8"/>
            <color indexed="81"/>
            <rFont val="Tahoma"/>
          </rPr>
          <t xml:space="preserve">Process-related emissions (non-energy emissions)
Only a  % of fuel coefficients for feedstrocks (from 20% to 67%) </t>
        </r>
      </text>
    </comment>
  </commentList>
</comments>
</file>

<file path=xl/comments29.xml><?xml version="1.0" encoding="utf-8"?>
<comments xmlns="http://schemas.openxmlformats.org/spreadsheetml/2006/main">
  <authors>
    <author>Antti Lehtilä</author>
  </authors>
  <commentList>
    <comment ref="N1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Some constraints for Coal appear necessary. Assume 50% max. asymptotic share if current share is quite small.</t>
        </r>
      </text>
    </comment>
    <comment ref="E5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Identification of constraint, together with CommName. Process name can be used for defining a common coefficient for all group members.</t>
        </r>
      </text>
    </comment>
    <comment ref="G5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H56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G5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H57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The Paper-to-Pulp ratio; assumed to remain cosntant</t>
        </r>
      </text>
    </comment>
    <comment ref="G58" authorId="0">
      <text>
        <r>
          <rPr>
            <b/>
            <sz val="8"/>
            <color indexed="81"/>
            <rFont val="Tahoma"/>
          </rPr>
          <t>Antti Lehtilä:</t>
        </r>
        <r>
          <rPr>
            <sz val="8"/>
            <color indexed="81"/>
            <rFont val="Tahoma"/>
          </rPr>
          <t xml:space="preserve">
Distribution costs of INDSTM to HET use in other sectors</t>
        </r>
      </text>
    </comment>
  </commentList>
</comments>
</file>

<file path=xl/sharedStrings.xml><?xml version="1.0" encoding="utf-8"?>
<sst xmlns="http://schemas.openxmlformats.org/spreadsheetml/2006/main" count="14053" uniqueCount="1529">
  <si>
    <t>Specific electricity uses</t>
  </si>
  <si>
    <t>Fuel Tech - LT Heat (IND)</t>
  </si>
  <si>
    <t>FuelIndex</t>
  </si>
  <si>
    <t>Dummy Tech - Steam - New (IND)</t>
  </si>
  <si>
    <t>NUCURA</t>
  </si>
  <si>
    <t>NRG</t>
  </si>
  <si>
    <t>Uranium fuel</t>
  </si>
  <si>
    <t>Adjusted elc. Output</t>
  </si>
  <si>
    <t>Input~2030</t>
  </si>
  <si>
    <t>Input~2050</t>
  </si>
  <si>
    <t>Input~2100</t>
  </si>
  <si>
    <t>Existing technologies</t>
  </si>
  <si>
    <t xml:space="preserve">Emission - Static coefficients </t>
  </si>
  <si>
    <t>\I:OTHER-Table 2</t>
  </si>
  <si>
    <t>\I:OTHER-Table 4a</t>
  </si>
  <si>
    <t>TOTIND-Table 2</t>
  </si>
  <si>
    <t>currently no technology available</t>
  </si>
  <si>
    <t>G-INDELC</t>
  </si>
  <si>
    <t>INDELC Annual Group</t>
  </si>
  <si>
    <t>NEINTREN</t>
  </si>
  <si>
    <t>NEOTHER</t>
  </si>
  <si>
    <t>NEO</t>
  </si>
  <si>
    <t>NEO000</t>
  </si>
  <si>
    <t>Industrial and other non-energy uses</t>
  </si>
  <si>
    <t>Industrial and Other Non Energy Uses</t>
  </si>
  <si>
    <t>\I: Max/Min Share</t>
  </si>
  <si>
    <t>\I: Rate</t>
  </si>
  <si>
    <t>Market share constraints</t>
  </si>
  <si>
    <t>FEQ</t>
  </si>
  <si>
    <t>PURE ELEC</t>
  </si>
  <si>
    <t>PURE HEAT</t>
  </si>
  <si>
    <t>Autoelec</t>
  </si>
  <si>
    <t>Elaute</t>
  </si>
  <si>
    <t>Autoheat</t>
  </si>
  <si>
    <t>Heauth</t>
  </si>
  <si>
    <t>INDNUC</t>
  </si>
  <si>
    <t>INDHYD</t>
  </si>
  <si>
    <t>INDSOL</t>
  </si>
  <si>
    <t>INDWIN</t>
  </si>
  <si>
    <t>Fuel Tech - Nuclear (IND)</t>
  </si>
  <si>
    <t>Nuclear (IND)</t>
  </si>
  <si>
    <t>Hydro (IND)</t>
  </si>
  <si>
    <t>Solar (IND)</t>
  </si>
  <si>
    <t>Wind (IND)</t>
  </si>
  <si>
    <t>EAUTELC00</t>
  </si>
  <si>
    <t>Autoproduction of Elc other than Cogen</t>
  </si>
  <si>
    <t>Sorted:</t>
  </si>
  <si>
    <t>Steam Other Industry Distillate Oil Existing</t>
  </si>
  <si>
    <t>ISOI</t>
  </si>
  <si>
    <t>Process Heat Other Industry Heavy Fuel Existing</t>
  </si>
  <si>
    <t>EFF</t>
  </si>
  <si>
    <t>VAROM</t>
  </si>
  <si>
    <t>FIXOM</t>
  </si>
  <si>
    <t>INVCOST</t>
  </si>
  <si>
    <t>RESID</t>
  </si>
  <si>
    <t>Output</t>
  </si>
  <si>
    <t>Process Heat Other Industry Distillate Fuel Existing</t>
  </si>
  <si>
    <t>IPOI</t>
  </si>
  <si>
    <t>Machine Drive Other Industry Distillate Oil Existing</t>
  </si>
  <si>
    <t>Machine Drive Other Industry Natural Gas Existing</t>
  </si>
  <si>
    <t>IMOI</t>
  </si>
  <si>
    <t>IEOI</t>
  </si>
  <si>
    <t>Other All Other Industry Heavy Oil Existing</t>
  </si>
  <si>
    <t>Total Autofuels</t>
  </si>
  <si>
    <t>Total Fuels</t>
  </si>
  <si>
    <t>Autofuel</t>
  </si>
  <si>
    <t>Direct-IND</t>
  </si>
  <si>
    <t>Direct-ONO</t>
  </si>
  <si>
    <t>Total energy</t>
  </si>
  <si>
    <t>BaseGroup</t>
  </si>
  <si>
    <t>BaseShare</t>
  </si>
  <si>
    <t>Other All Other Industry Distillate Oil Existing</t>
  </si>
  <si>
    <t>Other All Other Industry Natural Gas Existing</t>
  </si>
  <si>
    <t>Other All Other Industry Electric Existing</t>
  </si>
  <si>
    <t>Other All Other Industry LPG Existing</t>
  </si>
  <si>
    <t>IOOI</t>
  </si>
  <si>
    <t>Other All Other Industry Coal Existing</t>
  </si>
  <si>
    <t>Non Metals</t>
  </si>
  <si>
    <t>IOI000</t>
  </si>
  <si>
    <t>AFA</t>
  </si>
  <si>
    <t>Consumption scaled to actual energy form use in each subsector</t>
  </si>
  <si>
    <t>Assumed energy use by sector</t>
  </si>
  <si>
    <t>IEA Statistics</t>
  </si>
  <si>
    <t>Distribution coefficient, not scaled</t>
  </si>
  <si>
    <t>IECH</t>
  </si>
  <si>
    <t>\I: Constraints for INDELC</t>
  </si>
  <si>
    <t>FIN</t>
  </si>
  <si>
    <t>Existing Pure Elec Autoproduction (CHP excluded)</t>
  </si>
  <si>
    <t>Existing CHP technologies</t>
  </si>
  <si>
    <t>Demand</t>
  </si>
  <si>
    <t>Share of industrial energy services</t>
  </si>
  <si>
    <t>Fuels share</t>
  </si>
  <si>
    <t>ISNM</t>
  </si>
  <si>
    <t>Steam Boiler</t>
  </si>
  <si>
    <t>n.a.</t>
  </si>
  <si>
    <t>LUBRIC</t>
  </si>
  <si>
    <t>BITUMEN</t>
  </si>
  <si>
    <t>PARWAX</t>
  </si>
  <si>
    <t>Fuel Tech - Natural Gas Mix (IND)</t>
  </si>
  <si>
    <t>Natural Gas Mix (IND)</t>
  </si>
  <si>
    <t>Fuel Tech - Liquified Petroleum Gases (IND)</t>
  </si>
  <si>
    <t>Liquified Petroleum Gases (IND)</t>
  </si>
  <si>
    <t>Fuel Tech - Natural Gas Liquids (IND)</t>
  </si>
  <si>
    <t>Natural Gas Liquids (IND)</t>
  </si>
  <si>
    <t>Fuel Tech - Coal (IND)</t>
  </si>
  <si>
    <t>Coal (IND)</t>
  </si>
  <si>
    <t>Share of ind production of elc</t>
  </si>
  <si>
    <t>MIN Share of Purchased ELC</t>
  </si>
  <si>
    <t>INPUT~0</t>
  </si>
  <si>
    <t>MINMANRCP00</t>
  </si>
  <si>
    <t>MINMANWOD00</t>
  </si>
  <si>
    <t>App.&amp; Lighting Pulp and Paper Electric Existing</t>
  </si>
  <si>
    <t>MANCMT</t>
  </si>
  <si>
    <t>\I: Constraints for pulping</t>
  </si>
  <si>
    <t>Recycled pulp contribution</t>
  </si>
  <si>
    <t>Max. share of chemical+recycled in ILPPUL</t>
  </si>
  <si>
    <t>Max. share of mechanical in ILPPUL</t>
  </si>
  <si>
    <t>Max. share of recycled in ILPPUL</t>
  </si>
  <si>
    <t>Max share of COA in IOCH</t>
  </si>
  <si>
    <t>Fuel Tech - Ovencoke (IND)</t>
  </si>
  <si>
    <t>Ovencoke (IND)</t>
  </si>
  <si>
    <t>Fuel Tech - Coke Oven Gas (IND)</t>
  </si>
  <si>
    <t>Coke Oven Gas (IND)</t>
  </si>
  <si>
    <t>Fuel Tech - Blast Furnace Gas (IND)</t>
  </si>
  <si>
    <t>Blast Furnace Gas (IND)</t>
  </si>
  <si>
    <t>INDNGA000</t>
  </si>
  <si>
    <t>INDLPG000</t>
  </si>
  <si>
    <t>INDNGL000</t>
  </si>
  <si>
    <t>INDCOA000</t>
  </si>
  <si>
    <t>INDCOK000</t>
  </si>
  <si>
    <t>INDCOG000</t>
  </si>
  <si>
    <t>INDBFG000</t>
  </si>
  <si>
    <t>INDHFO000</t>
  </si>
  <si>
    <t>INDOIL000</t>
  </si>
  <si>
    <t>INDETH000</t>
  </si>
  <si>
    <t>INDNAP000</t>
  </si>
  <si>
    <t>INDPTC000</t>
  </si>
  <si>
    <t>INDBIO000</t>
  </si>
  <si>
    <t>Table 11 : Fuel summary</t>
  </si>
  <si>
    <t>CommGrp</t>
  </si>
  <si>
    <t>Fuel Tech - Heavy Fuel Oil (IND)</t>
  </si>
  <si>
    <t>Heavy Fuel Oil (IND)</t>
  </si>
  <si>
    <t>Fuel Tech - Refined Petroleum Products (IND)</t>
  </si>
  <si>
    <t>Refined Petroleum Products (IND)</t>
  </si>
  <si>
    <t>IOOIGEO000</t>
  </si>
  <si>
    <t>Other All Other Industry Geothermal Existing</t>
  </si>
  <si>
    <t>RESIDs relaxation factor</t>
  </si>
  <si>
    <t>UP</t>
  </si>
  <si>
    <t>Other non-specified consumption (other than RES, COM, IND, TRA)</t>
  </si>
  <si>
    <t>ONON000</t>
  </si>
  <si>
    <t>Other non-specified consumption</t>
  </si>
  <si>
    <t>ONO</t>
  </si>
  <si>
    <t>ISOIHFO000</t>
  </si>
  <si>
    <t>ISOIDST000</t>
  </si>
  <si>
    <t>ISOINGA000</t>
  </si>
  <si>
    <t>ISOICOA000</t>
  </si>
  <si>
    <t>ISOILPG000</t>
  </si>
  <si>
    <t>IMOIHFO000</t>
  </si>
  <si>
    <t>IMOIDST000</t>
  </si>
  <si>
    <t>IMOINGA000</t>
  </si>
  <si>
    <t>IMOIELC000</t>
  </si>
  <si>
    <t>IMOILPG000</t>
  </si>
  <si>
    <t>IPOIHFO000</t>
  </si>
  <si>
    <t>IPOIDST000</t>
  </si>
  <si>
    <t>IPOINGA000</t>
  </si>
  <si>
    <t>IPOICOA000</t>
  </si>
  <si>
    <t>IPOIELC000</t>
  </si>
  <si>
    <t>IPOILPG000</t>
  </si>
  <si>
    <t>IEOIELC000</t>
  </si>
  <si>
    <t>IOOIHFO000</t>
  </si>
  <si>
    <t>IOOIDST000</t>
  </si>
  <si>
    <t>IOOINGA000</t>
  </si>
  <si>
    <t>IOOICOA000</t>
  </si>
  <si>
    <t>IOOIELC000</t>
  </si>
  <si>
    <t>IOOILPG000</t>
  </si>
  <si>
    <t>I00000</t>
  </si>
  <si>
    <t>Other Industrial consumption</t>
  </si>
  <si>
    <t>I00</t>
  </si>
  <si>
    <t>MUNWASTE</t>
  </si>
  <si>
    <t>ILP Direct heat</t>
  </si>
  <si>
    <t>BIOISW from chemical pulping</t>
  </si>
  <si>
    <t>Regional energy consumption levels for industry subsectors:</t>
  </si>
  <si>
    <t>BIOISW from mechanical pulping</t>
  </si>
  <si>
    <t>GJ/tonne</t>
  </si>
  <si>
    <t>Net CO2 factor</t>
  </si>
  <si>
    <t>Existing Ferroalloys</t>
  </si>
  <si>
    <t>SYNMET</t>
  </si>
  <si>
    <t>Synthetic methanol</t>
  </si>
  <si>
    <t>Fuel Tech - Blast+Oxygen Furnace Gas (IND) - New</t>
  </si>
  <si>
    <t>Comm-IN-A</t>
  </si>
  <si>
    <t>0</t>
  </si>
  <si>
    <t>Process Printing Existing/New</t>
  </si>
  <si>
    <t>Supply Tech - MANCRP (IPL)</t>
  </si>
  <si>
    <t>PEAT,BKB,Brsub</t>
  </si>
  <si>
    <t>PEAT,BKB,BROWN</t>
  </si>
  <si>
    <t>Industrial SOX</t>
  </si>
  <si>
    <t>INDSOXN</t>
  </si>
  <si>
    <t>Sector fuel production - New</t>
  </si>
  <si>
    <t>INDNGA005</t>
  </si>
  <si>
    <t>ONO-%</t>
  </si>
  <si>
    <t>IOI-%</t>
  </si>
  <si>
    <t>ICOTH</t>
  </si>
  <si>
    <t>Fuel Tech - Natural Gas Mix (IND) - New</t>
  </si>
  <si>
    <t>INDLPG005</t>
  </si>
  <si>
    <t>Fuel Tech - Liquified Petroleum Gases (IND) - New</t>
  </si>
  <si>
    <t>INDCOA005</t>
  </si>
  <si>
    <t>Fuel Tech - Coal (IND) - New</t>
  </si>
  <si>
    <t>INDCOK005</t>
  </si>
  <si>
    <t>Fuel Tech - Ovencoke (IND) - New</t>
  </si>
  <si>
    <t>INDCOG005</t>
  </si>
  <si>
    <t>Fuel Tech - Coke Oven Gas (IND) - New</t>
  </si>
  <si>
    <t>INDBFG005</t>
  </si>
  <si>
    <t>Assumed fractions</t>
  </si>
  <si>
    <t>IISBOF</t>
  </si>
  <si>
    <t>Wet kilns</t>
  </si>
  <si>
    <t>INMCMTWET</t>
  </si>
  <si>
    <t>Non-wet kilns</t>
  </si>
  <si>
    <t>INMCMTDRY</t>
  </si>
  <si>
    <t>Glass</t>
  </si>
  <si>
    <t>Bricks</t>
  </si>
  <si>
    <t>Aluminium</t>
  </si>
  <si>
    <t>INFALU</t>
  </si>
  <si>
    <t>Copper</t>
  </si>
  <si>
    <t>IISSTEAM</t>
  </si>
  <si>
    <t>IISMCHN</t>
  </si>
  <si>
    <t>IIS Machine Drive</t>
  </si>
  <si>
    <t>IIS Steam</t>
  </si>
  <si>
    <t>ICHMCHN</t>
  </si>
  <si>
    <t>ICHSTEAM</t>
  </si>
  <si>
    <t>ICH Steam</t>
  </si>
  <si>
    <t>ICH Machine Drive</t>
  </si>
  <si>
    <t>ILPMCHN</t>
  </si>
  <si>
    <t>ILPSTEAM</t>
  </si>
  <si>
    <t>ILP Machine Drive</t>
  </si>
  <si>
    <t>ILP Steam</t>
  </si>
  <si>
    <t>INFMCHN</t>
  </si>
  <si>
    <t>INFSTEAM</t>
  </si>
  <si>
    <t>INF Machine Drive</t>
  </si>
  <si>
    <t>INF Steam</t>
  </si>
  <si>
    <t>INMMCHN</t>
  </si>
  <si>
    <t>INMSTEAM</t>
  </si>
  <si>
    <t>INM Machine Drive</t>
  </si>
  <si>
    <t>INM Steam</t>
  </si>
  <si>
    <t>machine drive</t>
  </si>
  <si>
    <t>steam</t>
  </si>
  <si>
    <t>process specific</t>
  </si>
  <si>
    <t>of which [%]</t>
  </si>
  <si>
    <t>Chemical pulp</t>
  </si>
  <si>
    <t>ILPCHPULP</t>
  </si>
  <si>
    <t>Mechanical pulp</t>
  </si>
  <si>
    <t>Paper</t>
  </si>
  <si>
    <t>Olefins</t>
  </si>
  <si>
    <t>BTX</t>
  </si>
  <si>
    <t>ICHBTX</t>
  </si>
  <si>
    <t>Ammonia</t>
  </si>
  <si>
    <t>Fractions, scaled with energy form fractions of total energy use</t>
  </si>
  <si>
    <t>Consumption according to the scaled fractions</t>
  </si>
  <si>
    <t>Assumed</t>
  </si>
  <si>
    <t>Assumed/Total</t>
  </si>
  <si>
    <t>INFALU000</t>
  </si>
  <si>
    <t>Region:</t>
  </si>
  <si>
    <t>BOF</t>
  </si>
  <si>
    <t>DRI-EAF</t>
  </si>
  <si>
    <t>Scrap-EAF</t>
  </si>
  <si>
    <t>AFR</t>
  </si>
  <si>
    <t>AUS</t>
  </si>
  <si>
    <t>CAN</t>
  </si>
  <si>
    <t>CHI</t>
  </si>
  <si>
    <t>EEU</t>
  </si>
  <si>
    <t>IND</t>
  </si>
  <si>
    <t>MEA</t>
  </si>
  <si>
    <t>ODA</t>
  </si>
  <si>
    <t>IIS [Mt]</t>
  </si>
  <si>
    <t>INM [Mt]</t>
  </si>
  <si>
    <t>INF [Mt]</t>
  </si>
  <si>
    <t>ILP [Mt]</t>
  </si>
  <si>
    <t>ICH [Mt]</t>
  </si>
  <si>
    <t>Cement production</t>
  </si>
  <si>
    <t>World</t>
  </si>
  <si>
    <t xml:space="preserve">Practical/industry  minimum </t>
  </si>
  <si>
    <t>Industry average</t>
  </si>
  <si>
    <t>avg min range</t>
  </si>
  <si>
    <t>rough estimate from SEC</t>
  </si>
  <si>
    <t>Energy use</t>
  </si>
  <si>
    <t>Production</t>
  </si>
  <si>
    <t>INONSPEC</t>
  </si>
  <si>
    <t>INO/ONO</t>
  </si>
  <si>
    <t>Existing Aluminium</t>
  </si>
  <si>
    <t>Existing Copper</t>
  </si>
  <si>
    <t>Share~UP~2030</t>
  </si>
  <si>
    <t>Existing Steel</t>
  </si>
  <si>
    <t>Column lookup</t>
  </si>
  <si>
    <t>INDHFO005</t>
  </si>
  <si>
    <t>Fuel Tech - Heavy Fuel Oil (IND) - New</t>
  </si>
  <si>
    <t>INDOIL005</t>
  </si>
  <si>
    <t>Fuel Tech - Refined Petroleum Products (IND) - New</t>
  </si>
  <si>
    <t>INDETH005</t>
  </si>
  <si>
    <t>Fuel Tech - Ethane (IND) - New</t>
  </si>
  <si>
    <t>INDNAP005</t>
  </si>
  <si>
    <t>Fuel Tech - Naphta (IND) - New</t>
  </si>
  <si>
    <t>INDBIO005</t>
  </si>
  <si>
    <t>Fuel Tech - Biofuels (IND) - New</t>
  </si>
  <si>
    <t>INDGEO005</t>
  </si>
  <si>
    <t>Fuel Tech - Geothermal (IND) - New</t>
  </si>
  <si>
    <t>OILCRL</t>
  </si>
  <si>
    <t>OILCRH</t>
  </si>
  <si>
    <t>OILFEE</t>
  </si>
  <si>
    <t>OILADD</t>
  </si>
  <si>
    <t>OILAVG</t>
  </si>
  <si>
    <t>OILJTG</t>
  </si>
  <si>
    <t>OILWSP</t>
  </si>
  <si>
    <t>OILLUB</t>
  </si>
  <si>
    <t>OILASP</t>
  </si>
  <si>
    <t>OILWAX</t>
  </si>
  <si>
    <t>BIOMET</t>
  </si>
  <si>
    <t>BIOETH</t>
  </si>
  <si>
    <t>Trends in Canada's Greenhouse Gas Emissions ; 1990-1995. Environment Canada, 1997.</t>
  </si>
  <si>
    <t>Canada's Greenhouse Gas Emissions : Estimates for 1990. Environment Canada, 1992.</t>
  </si>
  <si>
    <r>
      <t>Sources :</t>
    </r>
    <r>
      <rPr>
        <sz val="8"/>
        <rFont val="Arial"/>
        <family val="2"/>
      </rPr>
      <t xml:space="preserve"> </t>
    </r>
  </si>
  <si>
    <t>INDCO2N</t>
  </si>
  <si>
    <t>INDCH4N</t>
  </si>
  <si>
    <t>INDN2ON</t>
  </si>
  <si>
    <t>MOTORGAS,AVGAS</t>
  </si>
  <si>
    <t>CHARCOAL</t>
  </si>
  <si>
    <t>Non Metallic Minerals</t>
  </si>
  <si>
    <t>Existing Olefins</t>
  </si>
  <si>
    <t>Existing Aromatics</t>
  </si>
  <si>
    <t>Existing Ammonia</t>
  </si>
  <si>
    <t>Feedstock use:</t>
  </si>
  <si>
    <t>[PJ/Mt]</t>
  </si>
  <si>
    <t>[PJ]</t>
  </si>
  <si>
    <t>Feedstocks:</t>
  </si>
  <si>
    <t>Assumed energy use</t>
  </si>
  <si>
    <t>Consumption scaled to actual energy form use</t>
  </si>
  <si>
    <t>Steam Pulp and Paper BIO Existing</t>
  </si>
  <si>
    <t>MANBFS</t>
  </si>
  <si>
    <t>Blast furnace slag</t>
  </si>
  <si>
    <t>Feedstock for chemical industry</t>
  </si>
  <si>
    <t>Recycled</t>
  </si>
  <si>
    <t>ILPREC</t>
  </si>
  <si>
    <t>ILPPUM</t>
  </si>
  <si>
    <t>ILPPAP000</t>
  </si>
  <si>
    <t>ILPPUM000</t>
  </si>
  <si>
    <t>ILPPUC000</t>
  </si>
  <si>
    <t>ILPPUR000</t>
  </si>
  <si>
    <t>ILPOTH000</t>
  </si>
  <si>
    <t>ILPOTH</t>
  </si>
  <si>
    <t>ILPPUC</t>
  </si>
  <si>
    <t>Energy</t>
  </si>
  <si>
    <t>Specific energy use</t>
  </si>
  <si>
    <t>Print &amp; write consumption</t>
  </si>
  <si>
    <t>Specific energy consumption [PJ/Mt]</t>
  </si>
  <si>
    <t>Energy consumption [PJ]</t>
  </si>
  <si>
    <t>Methanol</t>
  </si>
  <si>
    <t>ICHMTH</t>
  </si>
  <si>
    <t>Existing Methanol</t>
  </si>
  <si>
    <t>ICHMTH000</t>
  </si>
  <si>
    <t>ICHAMM</t>
  </si>
  <si>
    <t>ICHAMM000</t>
  </si>
  <si>
    <t>ICHOLF</t>
  </si>
  <si>
    <t>ICHOLF000</t>
  </si>
  <si>
    <t>INMGLS</t>
  </si>
  <si>
    <t>INMGLS000</t>
  </si>
  <si>
    <t>INMCRM</t>
  </si>
  <si>
    <t>INMCRM000</t>
  </si>
  <si>
    <t>IISSCR</t>
  </si>
  <si>
    <t>IISSCR000</t>
  </si>
  <si>
    <t>IISDRI</t>
  </si>
  <si>
    <t>IISDRI000</t>
  </si>
  <si>
    <t>INFCOP</t>
  </si>
  <si>
    <t>INFCOP000</t>
  </si>
  <si>
    <t>ENV_ACT</t>
  </si>
  <si>
    <t>INDCO2P</t>
  </si>
  <si>
    <t>Year:</t>
  </si>
  <si>
    <t>Production statistics</t>
  </si>
  <si>
    <t>IEA Data:</t>
  </si>
  <si>
    <t>(if the ratio of assumed energy use to statistics is more with the subsector than with the whole industry, distribute energy from ONO to the subsector)</t>
  </si>
  <si>
    <t>Assumed energy use per statistics</t>
  </si>
  <si>
    <t>TOTFUEL</t>
  </si>
  <si>
    <t xml:space="preserve"> Distribution of ONO consumption</t>
  </si>
  <si>
    <t>Calibration of intra-sector consumption</t>
  </si>
  <si>
    <t>Check that all energy is allocated:</t>
  </si>
  <si>
    <t>SERVICE</t>
  </si>
  <si>
    <t>IENFELC000</t>
  </si>
  <si>
    <t>IEISELC000</t>
  </si>
  <si>
    <t>IECHELC000</t>
  </si>
  <si>
    <t>Electro-Chemical Process Chemicals Electric Existing</t>
  </si>
  <si>
    <t>IENMELC000</t>
  </si>
  <si>
    <t>INPUT</t>
  </si>
  <si>
    <t>OUTPUT</t>
  </si>
  <si>
    <t>\I: Eff. Multiplier</t>
  </si>
  <si>
    <t>\I: Link</t>
  </si>
  <si>
    <t>Supply Tech - MANWOD (IPL)</t>
  </si>
  <si>
    <t>Max share of coal in INDHET</t>
  </si>
  <si>
    <t>Member of INDHET producers using coal</t>
  </si>
  <si>
    <t>MANRAW</t>
  </si>
  <si>
    <t>Dummy manufacturing raw material</t>
  </si>
  <si>
    <t>Electrical Process Iron and Steel Electric Existing</t>
  </si>
  <si>
    <t>Electrical Process N-ferrous met Electric Existing</t>
  </si>
  <si>
    <t>Electrical Process Non-metals Electric Existing</t>
  </si>
  <si>
    <t>Specific Electricity Other Industry Electric Existing</t>
  </si>
  <si>
    <t>Default</t>
  </si>
  <si>
    <t>Regional</t>
  </si>
  <si>
    <t>Electr.</t>
  </si>
  <si>
    <t>INFZNC</t>
  </si>
  <si>
    <t>INFAMN</t>
  </si>
  <si>
    <t>Alumina</t>
  </si>
  <si>
    <t>Zinc</t>
  </si>
  <si>
    <t>Ferroalloys</t>
  </si>
  <si>
    <t>IISFEA</t>
  </si>
  <si>
    <t>IISFEA000</t>
  </si>
  <si>
    <t>INMLIM</t>
  </si>
  <si>
    <t>INMLIME000</t>
  </si>
  <si>
    <t>Lime kilns</t>
  </si>
  <si>
    <t>Electric machine drive</t>
  </si>
  <si>
    <t>Ratio of statistics to scaled consumption</t>
  </si>
  <si>
    <t>Existing Lime</t>
  </si>
  <si>
    <t>INFZNC000</t>
  </si>
  <si>
    <t>INFAMN000</t>
  </si>
  <si>
    <t>IOCHHFO000</t>
  </si>
  <si>
    <t>Other Chemicals Heavy Oil Existing</t>
  </si>
  <si>
    <t>IOCHDST000</t>
  </si>
  <si>
    <t>Other Chemicals Distillate Oil Existing</t>
  </si>
  <si>
    <t>IOCHNGA000</t>
  </si>
  <si>
    <t>Other Chemicals Natural Gas Existing</t>
  </si>
  <si>
    <t>IOCHCOA000</t>
  </si>
  <si>
    <t>Other Chemicals Coal Existing</t>
  </si>
  <si>
    <t>IOCHCOK000</t>
  </si>
  <si>
    <t>Other Chemicals Coke Existing</t>
  </si>
  <si>
    <t>IOCHETH000</t>
  </si>
  <si>
    <t>Other Chemicals Ethane Existing</t>
  </si>
  <si>
    <t>IOCHNAP000</t>
  </si>
  <si>
    <t>Other Chemicals Naphtha Existing</t>
  </si>
  <si>
    <t>IOCHELC000</t>
  </si>
  <si>
    <t>Other Chemicals Electric Existing</t>
  </si>
  <si>
    <t>IOCHLPG000</t>
  </si>
  <si>
    <t>Other Chemicals LPG Existing</t>
  </si>
  <si>
    <t>Existing Chlorine</t>
  </si>
  <si>
    <t>Steam Ethane Existing</t>
  </si>
  <si>
    <t>SCALED</t>
  </si>
  <si>
    <t>FX</t>
  </si>
  <si>
    <t>Existing Zinc</t>
  </si>
  <si>
    <t>Existing Alumina</t>
  </si>
  <si>
    <t>IISRED</t>
  </si>
  <si>
    <t>Recycled Paper (IND)</t>
  </si>
  <si>
    <t>Blast furnace reductant</t>
  </si>
  <si>
    <t>Print &amp; write</t>
  </si>
  <si>
    <t>Consumption</t>
  </si>
  <si>
    <t>HeatEFF</t>
  </si>
  <si>
    <t>Process</t>
  </si>
  <si>
    <t>ALL</t>
  </si>
  <si>
    <t>Limekiln</t>
  </si>
  <si>
    <t>Other specific electricity:</t>
  </si>
  <si>
    <t>Existing Pulp and Paper Tech</t>
  </si>
  <si>
    <t>ILPPAP</t>
  </si>
  <si>
    <t>ILPPRN</t>
  </si>
  <si>
    <t>Lime</t>
  </si>
  <si>
    <t>Process Chemical Pulp Existing</t>
  </si>
  <si>
    <t>ILPPUL</t>
  </si>
  <si>
    <t>MANWOD</t>
  </si>
  <si>
    <t>Process Mechanical Pulp Existing</t>
  </si>
  <si>
    <t>Process Recycled Pulp Existing</t>
  </si>
  <si>
    <t>IDLP</t>
  </si>
  <si>
    <t>MANRCP</t>
  </si>
  <si>
    <t>Process Paper Mill Existing</t>
  </si>
  <si>
    <t>Index:</t>
  </si>
  <si>
    <t>Regions</t>
  </si>
  <si>
    <t>BaseYear</t>
  </si>
  <si>
    <t>ISLPBIO000</t>
  </si>
  <si>
    <t>IPLPHFO000</t>
  </si>
  <si>
    <t>Process Heat Pulp and Paper Heavy Fuel Existing</t>
  </si>
  <si>
    <t>IPLPDST100</t>
  </si>
  <si>
    <t>Process Heat Pulp and Paper Distillate Fuel Existing</t>
  </si>
  <si>
    <t>IPLPNGA000</t>
  </si>
  <si>
    <t>Process Heat Pulp and Paper Natural Gas Existing</t>
  </si>
  <si>
    <t>IPLPNGA100</t>
  </si>
  <si>
    <t>IPLPCOA000</t>
  </si>
  <si>
    <t>Process Heat Pulp and Paper Coal Existing</t>
  </si>
  <si>
    <t>IPLPBIO000</t>
  </si>
  <si>
    <t>Process Heat Pulp and Paper Biomass Existing</t>
  </si>
  <si>
    <t>IPLPLPG100</t>
  </si>
  <si>
    <t>Process Heat Pulp and Paper LPG Existing</t>
  </si>
  <si>
    <t>IOLPHFO000</t>
  </si>
  <si>
    <t>Other Pulp and Paper Heavy Oil Existing</t>
  </si>
  <si>
    <t>IOLPDST000</t>
  </si>
  <si>
    <t>Other Pulp and Paper Distillate Oil Existing</t>
  </si>
  <si>
    <t>IOLPNGA000</t>
  </si>
  <si>
    <t>Other Pulp and Paper Natural Gas Existing</t>
  </si>
  <si>
    <t>IOLPELC000</t>
  </si>
  <si>
    <t>Other Pulp and Paper Electric Existing</t>
  </si>
  <si>
    <t>IOLPLPG000</t>
  </si>
  <si>
    <t>Other Pulp and Paper LPG Existing</t>
  </si>
  <si>
    <t>IOLPBIO000</t>
  </si>
  <si>
    <t>Other Pulp and Paper Biomass Existing</t>
  </si>
  <si>
    <t>IOLPCOA000</t>
  </si>
  <si>
    <t>Other Pulp and Paper Coal Existing</t>
  </si>
  <si>
    <t>IOLPCOK000</t>
  </si>
  <si>
    <t>Other Pulp and Paper Coke Existing</t>
  </si>
  <si>
    <t>ACTFLO</t>
  </si>
  <si>
    <t>DELIV</t>
  </si>
  <si>
    <t>IELPELC000</t>
  </si>
  <si>
    <t>Steam plant efficiency</t>
  </si>
  <si>
    <t>Current</t>
  </si>
  <si>
    <t>Partial oxidation</t>
  </si>
  <si>
    <t>CO2 factor</t>
  </si>
  <si>
    <t>Share relaxation factors</t>
  </si>
  <si>
    <t>FLO_MARK~LO~2050</t>
  </si>
  <si>
    <t>FLO_MARK~LO~2100</t>
  </si>
  <si>
    <t>IFCHNGA000</t>
  </si>
  <si>
    <t xml:space="preserve">Technology to convert Natural Gas to non-energy petrochemical feedstocks </t>
  </si>
  <si>
    <t>IFCHLPG000</t>
  </si>
  <si>
    <t xml:space="preserve">Technology to convert LPG to non-energy petrochemical feedstocks </t>
  </si>
  <si>
    <t>IFCHNGL000</t>
  </si>
  <si>
    <t xml:space="preserve">Technology to convert NGL to non-energy petrochemical feedstocks </t>
  </si>
  <si>
    <t>IFCHCOA000</t>
  </si>
  <si>
    <t xml:space="preserve">Technology to convert Coal to non-energy petrochemical feedstocks </t>
  </si>
  <si>
    <t>IFCHHFO000</t>
  </si>
  <si>
    <t xml:space="preserve">Technology to convert Heavy Fuel Oil to non-energy petrochemical feedstocks </t>
  </si>
  <si>
    <t>IFCHDST000</t>
  </si>
  <si>
    <t xml:space="preserve">Technology to convert Distillate to non-energy petrochemical feedstocks </t>
  </si>
  <si>
    <t>IFCHETH000</t>
  </si>
  <si>
    <t xml:space="preserve">Technology to convert Ethane to non-energy petrochemical feedstocks </t>
  </si>
  <si>
    <t>IFCHBLQ000</t>
  </si>
  <si>
    <t xml:space="preserve">Technology to convert Biofuels to non-energy petrochemical feedstocks </t>
  </si>
  <si>
    <t>IFCHNAP000</t>
  </si>
  <si>
    <t xml:space="preserve">Technology to convert Naphtha to non-energy petrochemical feedstocks </t>
  </si>
  <si>
    <t>Share~UP</t>
  </si>
  <si>
    <t>ThresHold</t>
  </si>
  <si>
    <t>BIOISW</t>
  </si>
  <si>
    <t>Industrial solid biowaste</t>
  </si>
  <si>
    <t>Pulp for paper and paperboard</t>
  </si>
  <si>
    <t>Paper and paperboard</t>
  </si>
  <si>
    <t>Printing volume</t>
  </si>
  <si>
    <t>Wood raw material</t>
  </si>
  <si>
    <t>Recycled paper for pulping</t>
  </si>
  <si>
    <t>ICHOTH</t>
  </si>
  <si>
    <t>ICHOTH000</t>
  </si>
  <si>
    <t>Other chemicals</t>
  </si>
  <si>
    <t>Electro-chemical</t>
  </si>
  <si>
    <t>Chlorine</t>
  </si>
  <si>
    <t>ICHCHL</t>
  </si>
  <si>
    <t>ICHCHL000</t>
  </si>
  <si>
    <t>IOOIPTC000</t>
  </si>
  <si>
    <t>Other All Other Industry Petroleum Coke Existing</t>
  </si>
  <si>
    <t>DST</t>
  </si>
  <si>
    <t>Coal</t>
  </si>
  <si>
    <t>Steam Other Industry Heavy Oil Existing</t>
  </si>
  <si>
    <t>Steam Other Industry Natural Gas Existing</t>
  </si>
  <si>
    <t>Steam Other Industry Coal Existing</t>
  </si>
  <si>
    <t>Sector fuel production - Existing</t>
  </si>
  <si>
    <t>RESID~2050</t>
  </si>
  <si>
    <t>EFF~2050</t>
  </si>
  <si>
    <t>VAROM~2030</t>
  </si>
  <si>
    <t>Steam Other Industry LPG Existing</t>
  </si>
  <si>
    <t>Machine Drive Other Industry Heavy Oil Existing</t>
  </si>
  <si>
    <t>Description</t>
  </si>
  <si>
    <t>LIFE</t>
  </si>
  <si>
    <t>ELC</t>
  </si>
  <si>
    <t>Paper, Pulp and Printing</t>
  </si>
  <si>
    <t>Iron and Steel</t>
  </si>
  <si>
    <t>Other</t>
  </si>
  <si>
    <t>Coke</t>
  </si>
  <si>
    <t>NGL</t>
  </si>
  <si>
    <t>USA</t>
  </si>
  <si>
    <t>Input~0</t>
  </si>
  <si>
    <t>CTSLvl</t>
  </si>
  <si>
    <t>PeakTS</t>
  </si>
  <si>
    <t>DAYNITE</t>
  </si>
  <si>
    <t>IIS</t>
  </si>
  <si>
    <t>IIS000</t>
  </si>
  <si>
    <t>ISCH</t>
  </si>
  <si>
    <t>IPCH</t>
  </si>
  <si>
    <t>IMCH</t>
  </si>
  <si>
    <t>Region</t>
  </si>
  <si>
    <t>Max share of coal CHP in INDELC</t>
  </si>
  <si>
    <t>\I:Description</t>
  </si>
  <si>
    <t>IOCH</t>
  </si>
  <si>
    <t>ISIS</t>
  </si>
  <si>
    <t>IPIS</t>
  </si>
  <si>
    <t>IMIS</t>
  </si>
  <si>
    <t>IOIS</t>
  </si>
  <si>
    <t>Input</t>
  </si>
  <si>
    <t>Output (elec)</t>
  </si>
  <si>
    <t>Ouput (heat)</t>
  </si>
  <si>
    <t>^IEA_Table</t>
  </si>
  <si>
    <t>Product/Flow</t>
  </si>
  <si>
    <t>Autochp</t>
  </si>
  <si>
    <t>Elautc</t>
  </si>
  <si>
    <t>Heautc</t>
  </si>
  <si>
    <t>EFF elc output/input</t>
  </si>
  <si>
    <t>total</t>
  </si>
  <si>
    <t>GASWKSGS</t>
  </si>
  <si>
    <t>OXYSTGS</t>
  </si>
  <si>
    <t>MOTORGAS</t>
  </si>
  <si>
    <t>ONONSPEC</t>
  </si>
  <si>
    <t>INDWASTE</t>
  </si>
  <si>
    <t>BIOREN</t>
  </si>
  <si>
    <t>RENEWNS</t>
  </si>
  <si>
    <t>HARDCOAL,PATFUEL</t>
  </si>
  <si>
    <t>ELCNUC</t>
  </si>
  <si>
    <t>NUCLEAR</t>
  </si>
  <si>
    <t>ELCHYD</t>
  </si>
  <si>
    <t>HYDRO</t>
  </si>
  <si>
    <t>ELCGEO</t>
  </si>
  <si>
    <t>GEOTHERM</t>
  </si>
  <si>
    <t>ELCSOL</t>
  </si>
  <si>
    <t>BIOBSL</t>
  </si>
  <si>
    <t>BIOBLQ</t>
  </si>
  <si>
    <t>BIOBMU</t>
  </si>
  <si>
    <t>BIOBIN</t>
  </si>
  <si>
    <t>SOLARPV,SOLARTH</t>
  </si>
  <si>
    <t>ELCTDL</t>
  </si>
  <si>
    <t>TIDE</t>
  </si>
  <si>
    <t>ELCWIN</t>
  </si>
  <si>
    <t>WIND</t>
  </si>
  <si>
    <t>\I: Total produced</t>
  </si>
  <si>
    <t>Existing Pure Heat Autoproduction (CHP excluded)</t>
  </si>
  <si>
    <t>HAHETNGA00</t>
  </si>
  <si>
    <t>Auto HEAT with NGA</t>
  </si>
  <si>
    <t>HAHETLPG00</t>
  </si>
  <si>
    <t>Auto HEAT with LPG</t>
  </si>
  <si>
    <t>HAHETNGL00</t>
  </si>
  <si>
    <t>Auto HEAT with NGL</t>
  </si>
  <si>
    <t>HAHETCOA00</t>
  </si>
  <si>
    <t>Auto HEAT with COA</t>
  </si>
  <si>
    <t>HAHETCOK00</t>
  </si>
  <si>
    <t>Auto HEAT with COK</t>
  </si>
  <si>
    <t>HAHETCOG00</t>
  </si>
  <si>
    <t>Auto HEAT with COG</t>
  </si>
  <si>
    <t>HAHETBFG00</t>
  </si>
  <si>
    <t>Auto HEAT with BFG</t>
  </si>
  <si>
    <t>HAHETHFO00</t>
  </si>
  <si>
    <t>Auto HEAT with HFO</t>
  </si>
  <si>
    <t>HAHETOIL00</t>
  </si>
  <si>
    <t>Auto HEAT with OIL</t>
  </si>
  <si>
    <t>HAHETETH00</t>
  </si>
  <si>
    <t>Auto HEAT with ETH</t>
  </si>
  <si>
    <t>HAHETNAP00</t>
  </si>
  <si>
    <t>Auto HEAT with NAP</t>
  </si>
  <si>
    <t>HAHETPTC00</t>
  </si>
  <si>
    <t>Auto HEAT with PTC</t>
  </si>
  <si>
    <t>HAHETBIO00</t>
  </si>
  <si>
    <t>Auto HEAT with BIO</t>
  </si>
  <si>
    <t>HAHETGEO00</t>
  </si>
  <si>
    <t>Auto HEAT with GEO</t>
  </si>
  <si>
    <t>HET elc output/input</t>
  </si>
  <si>
    <t>IEIS</t>
  </si>
  <si>
    <t>~FI_T</t>
  </si>
  <si>
    <t>Comm-IN</t>
  </si>
  <si>
    <t>TechName</t>
  </si>
  <si>
    <t>TechDesc</t>
  </si>
  <si>
    <t>Comm-OUT</t>
  </si>
  <si>
    <t>GBIOMASS,LBIOMASS</t>
  </si>
  <si>
    <t>IMNM</t>
  </si>
  <si>
    <t>IENM</t>
  </si>
  <si>
    <t>INDBSL</t>
  </si>
  <si>
    <t>Biomass (IND)</t>
  </si>
  <si>
    <t>Fuel Tech - BIOBSL (IPL)</t>
  </si>
  <si>
    <t>ACT_BND~2050~UP</t>
  </si>
  <si>
    <t>ACT_BND~2100~UP</t>
  </si>
  <si>
    <t>INDBSL000</t>
  </si>
  <si>
    <t>For CO2 &amp; CH4: 2006 IPCC Guidelines for National Greenhouse Gas Inventories</t>
  </si>
  <si>
    <t>Biofuels (IPL)</t>
  </si>
  <si>
    <t>LPG</t>
  </si>
  <si>
    <t>Fuel Tech - Ethane (IND)</t>
  </si>
  <si>
    <t>Ethane (IND)</t>
  </si>
  <si>
    <t>Fuel Tech - Naphta (IND)</t>
  </si>
  <si>
    <t>Naphta (IND)</t>
  </si>
  <si>
    <t>Fuel Tech - Petroleum Coke (IND)</t>
  </si>
  <si>
    <t>Petroleum Coke (IND)</t>
  </si>
  <si>
    <t>Fuel Tech - Biofuels (IND)</t>
  </si>
  <si>
    <t>Biofuels (IND)</t>
  </si>
  <si>
    <t>Fuel Tech - Geothermal (IND)</t>
  </si>
  <si>
    <t>Geothermal (IND)</t>
  </si>
  <si>
    <t>Machine drive</t>
  </si>
  <si>
    <t>Steam</t>
  </si>
  <si>
    <t>Machine drive and steam:</t>
  </si>
  <si>
    <t>Machine Drive Distillate Oil Existing</t>
  </si>
  <si>
    <t>Machine Drive Electricity Existing</t>
  </si>
  <si>
    <t>Steam Heat Existing</t>
  </si>
  <si>
    <t>Steam Heavy Oil Existing</t>
  </si>
  <si>
    <t>Steam Distillate Oil Existing</t>
  </si>
  <si>
    <t>Steam Cokeoven Gas Existing</t>
  </si>
  <si>
    <t>Steam Blast Furnace Gas Existing</t>
  </si>
  <si>
    <t>Steam Natural Gas Existing</t>
  </si>
  <si>
    <t>Steam Coal Existing</t>
  </si>
  <si>
    <t>Steam Geothermal Existing</t>
  </si>
  <si>
    <t>Steam Biomass Existing</t>
  </si>
  <si>
    <t>Steam LPG Existing</t>
  </si>
  <si>
    <t>Steam Coke Existing</t>
  </si>
  <si>
    <t>Steam Petroleum Coke Existing</t>
  </si>
  <si>
    <t>Percentage of industry consumption for</t>
  </si>
  <si>
    <t>MAT</t>
  </si>
  <si>
    <t>BOF steel</t>
  </si>
  <si>
    <t>DRI steel</t>
  </si>
  <si>
    <t>Steel from scrap</t>
  </si>
  <si>
    <t>INMCMT</t>
  </si>
  <si>
    <t>Cement</t>
  </si>
  <si>
    <t>Ceramics</t>
  </si>
  <si>
    <t>Aromatics</t>
  </si>
  <si>
    <t>Fuel Tech - Electricity (IND)</t>
  </si>
  <si>
    <t>Electricity (IND)</t>
  </si>
  <si>
    <t>Fuel Tech - Heat (IND)</t>
  </si>
  <si>
    <t>Heat (IND)</t>
  </si>
  <si>
    <t>START</t>
  </si>
  <si>
    <t>WEU</t>
  </si>
  <si>
    <t>Biogas (landfill)</t>
  </si>
  <si>
    <t>Hard coal</t>
  </si>
  <si>
    <t>Liquid petroleum gas</t>
  </si>
  <si>
    <t>Natural gas</t>
  </si>
  <si>
    <t>Distillates</t>
  </si>
  <si>
    <t>Heavy fuel oil</t>
  </si>
  <si>
    <t>Naphta</t>
  </si>
  <si>
    <t>Natural gas liquids</t>
  </si>
  <si>
    <t>Coke oven coke</t>
  </si>
  <si>
    <t>Non spec oil</t>
  </si>
  <si>
    <t>Petroleum coke</t>
  </si>
  <si>
    <t>White spirit</t>
  </si>
  <si>
    <t>Lubricants</t>
  </si>
  <si>
    <t>Asphalt</t>
  </si>
  <si>
    <t>Paraffin wax</t>
  </si>
  <si>
    <t>\I: Eff. multiplier to 2000</t>
  </si>
  <si>
    <t>IOI</t>
  </si>
  <si>
    <t>LimType</t>
  </si>
  <si>
    <t>BD</t>
  </si>
  <si>
    <t>LO</t>
  </si>
  <si>
    <t>ISOIBIO000</t>
  </si>
  <si>
    <t>Steam Other Industry BIO Existing</t>
  </si>
  <si>
    <t>INDSTM</t>
  </si>
  <si>
    <t>IPCC/OECD/IEA. UK Meteorological Office, Bracknell.</t>
  </si>
  <si>
    <t xml:space="preserve">
</t>
  </si>
  <si>
    <t>JT Houghton, LG Meira Filho, B Lim, K Treanton, I Mamaty, Y Bonduki,DJ Griggs and BA Callender (Eds)</t>
  </si>
  <si>
    <t>Table 5 :  IEA Data (CHP Autoproduction)</t>
  </si>
  <si>
    <t>Table 6 : Aggregation (CHP)</t>
  </si>
  <si>
    <t>Table 7 :  Breakout of Heat output by industry (Fractional Shares)</t>
  </si>
  <si>
    <t>Table 9 :  IEA Data (Elc &amp; Heat Autoproduction)</t>
  </si>
  <si>
    <t>Weight</t>
  </si>
  <si>
    <t>Adjusted heat demand</t>
  </si>
  <si>
    <t>Original production</t>
  </si>
  <si>
    <t>Refinery ratio of CHP input (see SUP template)</t>
  </si>
  <si>
    <t>Steam Other Industry CoGas Existing</t>
  </si>
  <si>
    <t>ISOICOG000</t>
  </si>
  <si>
    <t>IOOIHET000</t>
  </si>
  <si>
    <t>Other All Other Industry Heat Existing</t>
  </si>
  <si>
    <t>Table 10 : Aggregation (Elc&amp;Heat Autop)</t>
  </si>
  <si>
    <t>MUNWASTEN,MUNWASTER</t>
  </si>
  <si>
    <t>Input (elec)</t>
  </si>
  <si>
    <t>Input(heat)</t>
  </si>
  <si>
    <t>WHITESP</t>
  </si>
  <si>
    <t>IEA Data</t>
  </si>
  <si>
    <t>IEA Data Aggregations</t>
  </si>
  <si>
    <t>Assumptions</t>
  </si>
  <si>
    <t>Names</t>
  </si>
  <si>
    <t>Descriptions, etc.</t>
  </si>
  <si>
    <t>Used in technology sheets</t>
  </si>
  <si>
    <t>User constraints</t>
  </si>
  <si>
    <t>OILNGL</t>
  </si>
  <si>
    <t>OILJTK</t>
  </si>
  <si>
    <t>Process Heat Other Industry Coal Existing</t>
  </si>
  <si>
    <t>Process Heat Other Industry Electric Existing</t>
  </si>
  <si>
    <t>ISOIHET000</t>
  </si>
  <si>
    <t>CH4 - Biomass:IPCC Guidelines, Energy section, Table 1.7.</t>
  </si>
  <si>
    <t>CH4 - Coal: IPCC Guidelines, Energy section, Table 1.7. Reduced (see Tables 1.15 and after)</t>
  </si>
  <si>
    <t>CH4 - Gas: IPCC Guidelines, Energy section, Table 1.7. Reduced (see Tables 1.15 and after)</t>
  </si>
  <si>
    <t>Steam Other Industry Heat Existing</t>
  </si>
  <si>
    <t>IPOICOK000</t>
  </si>
  <si>
    <t>Process Heat Other Industry Coke Existing</t>
  </si>
  <si>
    <t>IOOICOK000</t>
  </si>
  <si>
    <t>Other All Other Industry Coke Existing</t>
  </si>
  <si>
    <t>Process Heat Other Industry LPG Existing</t>
  </si>
  <si>
    <t>~FI_Comm</t>
  </si>
  <si>
    <t>CSet</t>
  </si>
  <si>
    <t>CommName</t>
  </si>
  <si>
    <t>CommDesc</t>
  </si>
  <si>
    <t>Unit</t>
  </si>
  <si>
    <t>ENV</t>
  </si>
  <si>
    <t>Machine Drive Other Industry Electric Existing</t>
  </si>
  <si>
    <t>Machine Drive Other Industry LPG Existing</t>
  </si>
  <si>
    <t>Units</t>
  </si>
  <si>
    <t>Ethane</t>
  </si>
  <si>
    <t>Naphtha</t>
  </si>
  <si>
    <t>Electricity</t>
  </si>
  <si>
    <t>Total</t>
  </si>
  <si>
    <t>PJ</t>
  </si>
  <si>
    <t xml:space="preserve"> </t>
  </si>
  <si>
    <t>INF000</t>
  </si>
  <si>
    <t>Chemicals</t>
  </si>
  <si>
    <t>ICH</t>
  </si>
  <si>
    <t>ICH000</t>
  </si>
  <si>
    <t>INM000</t>
  </si>
  <si>
    <t>Other Industries</t>
  </si>
  <si>
    <t>IRONSTL</t>
  </si>
  <si>
    <t>CHEMICAL</t>
  </si>
  <si>
    <t>NONFERR</t>
  </si>
  <si>
    <t>NONMET</t>
  </si>
  <si>
    <t>PAPERPRO</t>
  </si>
  <si>
    <t>TOTIND</t>
  </si>
  <si>
    <t>ELECTR</t>
  </si>
  <si>
    <t>NATGAS</t>
  </si>
  <si>
    <t>OVENCOKE</t>
  </si>
  <si>
    <t>COKEOVGS</t>
  </si>
  <si>
    <t>BLFURGS</t>
  </si>
  <si>
    <t>RESFUEL</t>
  </si>
  <si>
    <t>GASDIES</t>
  </si>
  <si>
    <t>ETHANE</t>
  </si>
  <si>
    <t>NAPHTHA</t>
  </si>
  <si>
    <t>PETCOKE</t>
  </si>
  <si>
    <t>HEAT</t>
  </si>
  <si>
    <t>^IEA_Country</t>
  </si>
  <si>
    <t>^IEA_Year</t>
  </si>
  <si>
    <t>^IEA_Units</t>
  </si>
  <si>
    <t>FLOW/PRODUCT</t>
  </si>
  <si>
    <t>GASCOKE</t>
  </si>
  <si>
    <t>Existing Basic Oxygen Furnace</t>
  </si>
  <si>
    <t>Existing DRI with EAF</t>
  </si>
  <si>
    <t>Existing EAF with Scrap</t>
  </si>
  <si>
    <t>Existing Non-ferrous Metals</t>
  </si>
  <si>
    <t>Existing Wet Cement Kilns</t>
  </si>
  <si>
    <t>Existing Dry Cement Kilns</t>
  </si>
  <si>
    <t>Existing Glass</t>
  </si>
  <si>
    <t>Existing Ceramics</t>
  </si>
  <si>
    <t>Existing Non-Metals</t>
  </si>
  <si>
    <t>Existing Chemicals</t>
  </si>
  <si>
    <t>Ctype</t>
  </si>
  <si>
    <t>LTHEAT</t>
  </si>
  <si>
    <t>IDTSTM000</t>
  </si>
  <si>
    <t>INDOIL</t>
  </si>
  <si>
    <t>Share~LO</t>
  </si>
  <si>
    <t>Share~LO~2050</t>
  </si>
  <si>
    <t>Tiny</t>
  </si>
  <si>
    <t>GASBFG</t>
  </si>
  <si>
    <t>GASOXY</t>
  </si>
  <si>
    <t>GASGWG</t>
  </si>
  <si>
    <t>GASRFG</t>
  </si>
  <si>
    <t>OILCRD</t>
  </si>
  <si>
    <t>OILHFO</t>
  </si>
  <si>
    <t>OILDST</t>
  </si>
  <si>
    <t>OILKER</t>
  </si>
  <si>
    <t>OILGSL</t>
  </si>
  <si>
    <t>OILNSP</t>
  </si>
  <si>
    <t>OILNCR</t>
  </si>
  <si>
    <t>OILNAP</t>
  </si>
  <si>
    <t>OILPTC</t>
  </si>
  <si>
    <t>GASETH</t>
  </si>
  <si>
    <t>HET</t>
  </si>
  <si>
    <t>GEO</t>
  </si>
  <si>
    <t>BIOCHR</t>
  </si>
  <si>
    <t>BIOGAS</t>
  </si>
  <si>
    <t>CAPUNIT</t>
  </si>
  <si>
    <t>CF</t>
  </si>
  <si>
    <t>IPNM</t>
  </si>
  <si>
    <t>FLO_EMIS~INDCO2N</t>
  </si>
  <si>
    <t>FLO_EMIS~INDCH4N</t>
  </si>
  <si>
    <t>FLO_EMIS~INDN2ON</t>
  </si>
  <si>
    <t>Share~LO~2100</t>
  </si>
  <si>
    <t>Relaxation factor</t>
  </si>
  <si>
    <t>Default max. Share of Coal:</t>
  </si>
  <si>
    <t>\I: Constraints for INDCOA</t>
  </si>
  <si>
    <t>Relaxation factor for Shares:</t>
  </si>
  <si>
    <t>ISNF</t>
  </si>
  <si>
    <t>Technologies to produce Industrial sector fuels</t>
  </si>
  <si>
    <t>IPNF</t>
  </si>
  <si>
    <t>IMNF</t>
  </si>
  <si>
    <t>IONF</t>
  </si>
  <si>
    <t>IENF</t>
  </si>
  <si>
    <t>IOOIBIO000</t>
  </si>
  <si>
    <t>Other All Other Industry BIO Existing</t>
  </si>
  <si>
    <t>Sets</t>
  </si>
  <si>
    <t>Industrial CO2</t>
  </si>
  <si>
    <t>Industrial CH4</t>
  </si>
  <si>
    <t>Industrial N2O</t>
  </si>
  <si>
    <t>t</t>
  </si>
  <si>
    <t>AF</t>
  </si>
  <si>
    <t>Industry</t>
  </si>
  <si>
    <t>Service Demand Identifier</t>
  </si>
  <si>
    <t>Process Heat</t>
  </si>
  <si>
    <t>Machine Drive</t>
  </si>
  <si>
    <t xml:space="preserve">Feedstocks </t>
  </si>
  <si>
    <t>Non-ferrous Metals</t>
  </si>
  <si>
    <t>INM</t>
  </si>
  <si>
    <t>INF</t>
  </si>
  <si>
    <t xml:space="preserve">LPG </t>
  </si>
  <si>
    <t>CHPR~FX</t>
  </si>
  <si>
    <t>Chemicals and Petrochemicals</t>
  </si>
  <si>
    <t>Non-Metallic minerals (SCG)</t>
  </si>
  <si>
    <t>Other Industrial</t>
  </si>
  <si>
    <t>Non-ferrous metals</t>
  </si>
  <si>
    <t>Pulp and Paper</t>
  </si>
  <si>
    <t>TOTAL</t>
  </si>
  <si>
    <t>Process Heat Other Industry Natural Gas Existing</t>
  </si>
  <si>
    <t>OTHKERO</t>
  </si>
  <si>
    <t>REFINGAS</t>
  </si>
  <si>
    <t>CRUDEOIL</t>
  </si>
  <si>
    <t>NONCRUDE</t>
  </si>
  <si>
    <t>Gas</t>
  </si>
  <si>
    <t>HFO</t>
  </si>
  <si>
    <t>ANNUAL</t>
  </si>
  <si>
    <t>BF Gas</t>
  </si>
  <si>
    <t>CO Gas</t>
  </si>
  <si>
    <t>Pet Coke</t>
  </si>
  <si>
    <t>ComRen</t>
  </si>
  <si>
    <t>Heat</t>
  </si>
  <si>
    <t>\I:</t>
  </si>
  <si>
    <t>NECHEM</t>
  </si>
  <si>
    <t>\I:OTHER</t>
  </si>
  <si>
    <t>INDELC</t>
  </si>
  <si>
    <t>INDNGA</t>
  </si>
  <si>
    <t>INDLPG</t>
  </si>
  <si>
    <t>INDNGL</t>
  </si>
  <si>
    <t>INDCOA</t>
  </si>
  <si>
    <t>INDCOK</t>
  </si>
  <si>
    <t>INDCOG</t>
  </si>
  <si>
    <t>INDBFG</t>
  </si>
  <si>
    <t>INDHFO</t>
  </si>
  <si>
    <t>INDETH</t>
  </si>
  <si>
    <t>INDNAP</t>
  </si>
  <si>
    <t>INDPTC</t>
  </si>
  <si>
    <t>INDBIO</t>
  </si>
  <si>
    <t>ESTMNGA000</t>
  </si>
  <si>
    <t>Auto CHP with NGA Existing</t>
  </si>
  <si>
    <t>ESTMLPG000</t>
  </si>
  <si>
    <t>Auto CHP with LPG Existing</t>
  </si>
  <si>
    <t>ESTMNGL000</t>
  </si>
  <si>
    <t>Auto CHP with NGL Existing</t>
  </si>
  <si>
    <t>ESTMCOA000</t>
  </si>
  <si>
    <t>Auto CHP with COA Existing</t>
  </si>
  <si>
    <t>ESTMCOK000</t>
  </si>
  <si>
    <t>Auto CHP with COK Existing</t>
  </si>
  <si>
    <t>ESTMCOG000</t>
  </si>
  <si>
    <t>Auto CHP with COG Existing</t>
  </si>
  <si>
    <t>ESTMBFG000</t>
  </si>
  <si>
    <t>ACT_COST</t>
  </si>
  <si>
    <t>Auto CHP with BFG Existing</t>
  </si>
  <si>
    <t>ESTMHFO000</t>
  </si>
  <si>
    <t>Auto CHP with HFO Existing</t>
  </si>
  <si>
    <t>ESTMOIL000</t>
  </si>
  <si>
    <t>Auto CHP with OIL Existing</t>
  </si>
  <si>
    <t>ESTMETH000</t>
  </si>
  <si>
    <t>Auto CHP with ETH Existing</t>
  </si>
  <si>
    <t>ESTMPTC000</t>
  </si>
  <si>
    <t>Table 3:  Breakout by energy service (Fractional Shares)</t>
  </si>
  <si>
    <t>Auto CHP with PTC Existing</t>
  </si>
  <si>
    <t>ESTMBIO000</t>
  </si>
  <si>
    <t>Auto CHP with BIO Existing</t>
  </si>
  <si>
    <t>ESTMGEO000</t>
  </si>
  <si>
    <t>Auto CHP with GEO Existing</t>
  </si>
  <si>
    <t>INDHET</t>
  </si>
  <si>
    <t>SBIOMASS</t>
  </si>
  <si>
    <t>JETKERO</t>
  </si>
  <si>
    <t>Geotherm</t>
  </si>
  <si>
    <t>INDGEO</t>
  </si>
  <si>
    <t>GASNGA</t>
  </si>
  <si>
    <t>COAHCO</t>
  </si>
  <si>
    <t>COABCO</t>
  </si>
  <si>
    <t>COAOVC</t>
  </si>
  <si>
    <t>COAGSC</t>
  </si>
  <si>
    <t>GASCOG</t>
  </si>
  <si>
    <t>Table 2: IEA Data aggregated by fuels</t>
  </si>
  <si>
    <t>ELCD</t>
  </si>
  <si>
    <t>\I: RESID</t>
  </si>
  <si>
    <t>IFCH</t>
  </si>
  <si>
    <t>IISBOF000</t>
  </si>
  <si>
    <t>IISMCHN000</t>
  </si>
  <si>
    <t>IISSTEAM000</t>
  </si>
  <si>
    <t>INMCMTWET000</t>
  </si>
  <si>
    <t>INMCMTDRY000</t>
  </si>
  <si>
    <t>INMMCHN000</t>
  </si>
  <si>
    <t>INMSTEAM000</t>
  </si>
  <si>
    <t>INFMCHN000</t>
  </si>
  <si>
    <t>INFSTEAM000</t>
  </si>
  <si>
    <t>ILPMCHN000</t>
  </si>
  <si>
    <t>ILPSTEAM000</t>
  </si>
  <si>
    <t>ICHBTX000</t>
  </si>
  <si>
    <t>ICHMCHN000</t>
  </si>
  <si>
    <t>ICHSTEAM000</t>
  </si>
  <si>
    <t>Commodity</t>
  </si>
  <si>
    <t>Mt</t>
  </si>
  <si>
    <t>ALL INDUSTRY</t>
  </si>
  <si>
    <t>ILP</t>
  </si>
  <si>
    <t>ISLP</t>
  </si>
  <si>
    <t>IPLP</t>
  </si>
  <si>
    <t>IMLP</t>
  </si>
  <si>
    <t>IELP</t>
  </si>
  <si>
    <t>IOLP</t>
  </si>
  <si>
    <t>ILP000</t>
  </si>
  <si>
    <t>[final energy]</t>
  </si>
  <si>
    <t>Table 1:  IEA Data</t>
  </si>
  <si>
    <t>IONM</t>
  </si>
  <si>
    <t>Table 4a:  Breakout by energy service (Absolute Values)</t>
  </si>
  <si>
    <t>Table 4b: Total Energy (Quick Check)</t>
  </si>
  <si>
    <t>Distributed energy from ONO</t>
  </si>
  <si>
    <t>IEA Statistics + distributed ONO</t>
  </si>
  <si>
    <t>Check: Assumed energy use per IEA statistics + distributed ONO</t>
  </si>
  <si>
    <t>INDLTH</t>
  </si>
  <si>
    <t>Steam (IND)</t>
  </si>
  <si>
    <t>HTHEAT</t>
  </si>
  <si>
    <t>Assumed own use</t>
  </si>
  <si>
    <t>Typical net efficiency</t>
  </si>
  <si>
    <t>Adjusted heat output</t>
  </si>
  <si>
    <t>Adjusted elec eff.</t>
  </si>
  <si>
    <t>CHPR</t>
  </si>
  <si>
    <t>Adjusted elc output</t>
  </si>
  <si>
    <t>Adjusted eff.</t>
  </si>
  <si>
    <t>Min:</t>
  </si>
  <si>
    <t>Max:</t>
  </si>
  <si>
    <t>(for combustibles)</t>
  </si>
  <si>
    <t>~COMAGG_R1C2</t>
  </si>
  <si>
    <t>ONOE000</t>
  </si>
  <si>
    <t>\I: Efficiency improvement</t>
  </si>
  <si>
    <t>ACTFLO~ONO</t>
  </si>
  <si>
    <t>\I: Share~FX</t>
  </si>
  <si>
    <t>Added steam</t>
  </si>
  <si>
    <t>COM_STEP~LO</t>
  </si>
  <si>
    <t>COM_STEP~UP</t>
  </si>
  <si>
    <t>\I:INONSPEC</t>
  </si>
  <si>
    <t>~FI_Process</t>
  </si>
  <si>
    <t>Tact</t>
  </si>
  <si>
    <t>Tcap</t>
  </si>
  <si>
    <t>Tslvl</t>
  </si>
  <si>
    <t>PrimaryCG</t>
  </si>
  <si>
    <t>Vintage</t>
  </si>
  <si>
    <t>Mt_a</t>
  </si>
  <si>
    <t>NO</t>
  </si>
  <si>
    <t>PJ_a</t>
  </si>
  <si>
    <t>INDLTH000</t>
  </si>
  <si>
    <t>SYNMET000</t>
  </si>
  <si>
    <t>GW</t>
  </si>
  <si>
    <t>EAELCBFG00</t>
  </si>
  <si>
    <t>Autoprod of ELC with BFG</t>
  </si>
  <si>
    <t>EAELCBIO00</t>
  </si>
  <si>
    <t>Autoprod of ELC with BIO</t>
  </si>
  <si>
    <t>EAELCCOA00</t>
  </si>
  <si>
    <t>Autoprod of ELC with COA</t>
  </si>
  <si>
    <t>EAELCCOG00</t>
  </si>
  <si>
    <t>Autoprod of ELC with COG</t>
  </si>
  <si>
    <t>EAELCCOK00</t>
  </si>
  <si>
    <t>Autoprod of ELC with COK</t>
  </si>
  <si>
    <t>EAELCETH00</t>
  </si>
  <si>
    <t>Autoprod of ELC with ETH</t>
  </si>
  <si>
    <t>EAELCGEO00</t>
  </si>
  <si>
    <t>Autoprod of ELC with GEO</t>
  </si>
  <si>
    <t>EAELCHFO00</t>
  </si>
  <si>
    <t>Autoprod of ELC with HFO</t>
  </si>
  <si>
    <t>EAELCLPG00</t>
  </si>
  <si>
    <t>Autoprod of ELC with LPG</t>
  </si>
  <si>
    <t>EAELCNAP00</t>
  </si>
  <si>
    <t>Autoprod of ELC with NAP</t>
  </si>
  <si>
    <t>EAELCNGA00</t>
  </si>
  <si>
    <t>Autoprod of ELC with NGA</t>
  </si>
  <si>
    <t>EAELCNGL00</t>
  </si>
  <si>
    <t>Autoprod of ELC with NGL</t>
  </si>
  <si>
    <t>EAELCOIL00</t>
  </si>
  <si>
    <t>Autoprod of ELC with OIL</t>
  </si>
  <si>
    <t>EAELCPTC00</t>
  </si>
  <si>
    <t>Autoprod of ELC with PTC</t>
  </si>
  <si>
    <t>INDELC000</t>
  </si>
  <si>
    <t>ISTMBFG000</t>
  </si>
  <si>
    <t>ISTMBIO000</t>
  </si>
  <si>
    <t>ISTMCOA000</t>
  </si>
  <si>
    <t>ISTMCOG000</t>
  </si>
  <si>
    <t>ISTMCOK000</t>
  </si>
  <si>
    <t>ISTMETH000</t>
  </si>
  <si>
    <t>ISTMGEO000</t>
  </si>
  <si>
    <t>ISTMHFO000</t>
  </si>
  <si>
    <t>ISTMLPG000</t>
  </si>
  <si>
    <t>ISTMNGA000</t>
  </si>
  <si>
    <t>ISTMOIL000</t>
  </si>
  <si>
    <t>ISTMPTC000</t>
  </si>
  <si>
    <t>INDHET000</t>
  </si>
  <si>
    <t>ISTMHET000</t>
  </si>
  <si>
    <t>INDGEO000</t>
  </si>
  <si>
    <t>INDNUC000</t>
  </si>
  <si>
    <t>Process Printing Existing_New</t>
  </si>
  <si>
    <t>FLO_MARK~ONO~LO</t>
  </si>
  <si>
    <t>CRUDE+FEED+NONCRUD</t>
  </si>
  <si>
    <t>Ref. Heat</t>
  </si>
  <si>
    <t>TJ/PJ</t>
  </si>
  <si>
    <t>Ref. CHPR</t>
  </si>
  <si>
    <t>Ref. CHP Heat</t>
  </si>
  <si>
    <t>Ref. CHP Electr</t>
  </si>
  <si>
    <t>Ref-HET</t>
  </si>
  <si>
    <t>Demand correction</t>
  </si>
  <si>
    <t>Ref. INPUT</t>
  </si>
  <si>
    <t>DEMAND</t>
  </si>
  <si>
    <t>OILLPG</t>
  </si>
  <si>
    <t>COM_IE</t>
  </si>
  <si>
    <t>COM_CSTNET</t>
  </si>
  <si>
    <t>Steam existing industry</t>
  </si>
  <si>
    <t>Heat balance</t>
  </si>
  <si>
    <t>Adjusted</t>
  </si>
  <si>
    <t>Realloc</t>
  </si>
  <si>
    <t>HTH</t>
  </si>
  <si>
    <t>LTH</t>
  </si>
  <si>
    <t>ACT_BND~UP</t>
  </si>
  <si>
    <t>CIS</t>
  </si>
  <si>
    <t>JPK</t>
  </si>
  <si>
    <t>LAM</t>
  </si>
  <si>
    <t>DNK</t>
  </si>
  <si>
    <t>NOR</t>
  </si>
  <si>
    <t>SWE</t>
  </si>
  <si>
    <t>TRANSEQ</t>
  </si>
  <si>
    <t>MACHINE</t>
  </si>
  <si>
    <t>MINING</t>
  </si>
  <si>
    <t>FOODPRO</t>
  </si>
  <si>
    <t>WOODPRO</t>
  </si>
  <si>
    <t>CONSTRUC</t>
  </si>
  <si>
    <t>PROC</t>
  </si>
  <si>
    <t>PROCELC</t>
  </si>
  <si>
    <t>STEM</t>
  </si>
  <si>
    <t>OTHER</t>
  </si>
  <si>
    <t>FUELS</t>
  </si>
  <si>
    <t>ALLOC</t>
  </si>
  <si>
    <t>IOT</t>
  </si>
  <si>
    <t>IOM</t>
  </si>
  <si>
    <t>IOQ</t>
  </si>
  <si>
    <t>IOF</t>
  </si>
  <si>
    <t>IOW</t>
  </si>
  <si>
    <t>IOC</t>
  </si>
  <si>
    <t>Construction</t>
  </si>
  <si>
    <t>Wood processing</t>
  </si>
  <si>
    <t>Foodstuff</t>
  </si>
  <si>
    <t>Mining and quarrying</t>
  </si>
  <si>
    <t>Machinery and equipment</t>
  </si>
  <si>
    <t>Transport equipment</t>
  </si>
  <si>
    <t>Service</t>
  </si>
  <si>
    <t>Index</t>
  </si>
  <si>
    <t>ACT</t>
  </si>
  <si>
    <t>Calculations</t>
  </si>
  <si>
    <t>Table ILP: Additional parameters for ILP+IOI calibration</t>
  </si>
  <si>
    <t>Black</t>
  </si>
  <si>
    <t>liquors</t>
  </si>
  <si>
    <t>Pulp</t>
  </si>
  <si>
    <t>exports</t>
  </si>
  <si>
    <t>Wood</t>
  </si>
  <si>
    <t>products</t>
  </si>
  <si>
    <t>By-product</t>
  </si>
  <si>
    <t>ChemPulp</t>
  </si>
  <si>
    <t>BIOISW from barking</t>
  </si>
  <si>
    <t>Print &amp; write production</t>
  </si>
  <si>
    <t>Wood by-product energy</t>
  </si>
  <si>
    <t>BIOBLQ from chemical pulping</t>
  </si>
  <si>
    <t>GJ/m3</t>
  </si>
  <si>
    <t>BIOISW from wood products</t>
  </si>
  <si>
    <t>Wood for ChemPulp</t>
  </si>
  <si>
    <t>Wood for MechPulp</t>
  </si>
  <si>
    <t>Wood for WoofProd</t>
  </si>
  <si>
    <t>Wood by-product wood</t>
  </si>
  <si>
    <t>ILPPEX000</t>
  </si>
  <si>
    <t>Export Chemical Pulp</t>
  </si>
  <si>
    <t>Brown</t>
  </si>
  <si>
    <t>INDBCO</t>
  </si>
  <si>
    <t>INDBCO000</t>
  </si>
  <si>
    <t>Brown Coal - Peat (IND)</t>
  </si>
  <si>
    <t>Fuel Tech - Brown Coal Peat (IND)</t>
  </si>
  <si>
    <t>ESTMBCO000</t>
  </si>
  <si>
    <t>Auto CHP with BCO Existing</t>
  </si>
  <si>
    <t>EAELCBCO00</t>
  </si>
  <si>
    <t>Autoprod of ELC with BCO</t>
  </si>
  <si>
    <t>HAHETBCO00</t>
  </si>
  <si>
    <t>Auto HEAT with BCO</t>
  </si>
  <si>
    <t>ISTMBCO000</t>
  </si>
  <si>
    <t>Steam Brown Coal Peat Existing</t>
  </si>
  <si>
    <t>Auto HEAT with HET</t>
  </si>
  <si>
    <t>IOOI-HET</t>
  </si>
  <si>
    <t>INDBLQ</t>
  </si>
  <si>
    <t>INDBLQ yield</t>
  </si>
  <si>
    <t>INDBLQ auto-CHP</t>
  </si>
  <si>
    <t>HAHETHET00</t>
  </si>
  <si>
    <t>Auto HEAT with BLQ</t>
  </si>
  <si>
    <t>INDBIO Remains for ISLP</t>
  </si>
  <si>
    <t>INDBLQ HPL steam</t>
  </si>
  <si>
    <t>Black liquor</t>
  </si>
  <si>
    <t>Industrial Black liquor (IND)</t>
  </si>
  <si>
    <t>Mix pulps for paper and board</t>
  </si>
  <si>
    <t>ILPMRF</t>
  </si>
  <si>
    <t>ILPMRN</t>
  </si>
  <si>
    <t>ILPMGN</t>
  </si>
  <si>
    <t>ILPMGF</t>
  </si>
  <si>
    <t>ILPCHB</t>
  </si>
  <si>
    <t>ILPCSB</t>
  </si>
  <si>
    <t>ILPCSN</t>
  </si>
  <si>
    <t>ILPSCN</t>
  </si>
  <si>
    <t>ILPPPW</t>
  </si>
  <si>
    <t>ILPPOT</t>
  </si>
  <si>
    <t>ILPMIX200</t>
  </si>
  <si>
    <t>ILPMIX100</t>
  </si>
  <si>
    <t>Wood-IN</t>
  </si>
  <si>
    <t>Wood-OUT</t>
  </si>
  <si>
    <t>Recipes</t>
  </si>
  <si>
    <t>Efficiency</t>
  </si>
  <si>
    <t>MechPulp</t>
  </si>
  <si>
    <t>Recovered</t>
  </si>
  <si>
    <t>SEC-Elc</t>
  </si>
  <si>
    <t>SEC-Tot</t>
  </si>
  <si>
    <t>CURRENT</t>
  </si>
  <si>
    <t>Shar-in-PW</t>
  </si>
  <si>
    <t xml:space="preserve">Pulp for printing &amp; writing paper </t>
  </si>
  <si>
    <t>Pulp for other paper and board</t>
  </si>
  <si>
    <t>Mechanical refiner pulp - fine</t>
  </si>
  <si>
    <t>Mechanical groundwood pulp - fine</t>
  </si>
  <si>
    <t>Mechanical refiner pulp - coarse</t>
  </si>
  <si>
    <t>Mechanical groundwood pulp - coarse</t>
  </si>
  <si>
    <t>Semi-chemical pulp</t>
  </si>
  <si>
    <t>Chemical hardwood sulphate pulp</t>
  </si>
  <si>
    <t>Chemical softwood sulphate pulp</t>
  </si>
  <si>
    <t>Chemical softwood sulphate pulp - bleached</t>
  </si>
  <si>
    <t>Shar-in-EXP</t>
  </si>
  <si>
    <t>Export</t>
  </si>
  <si>
    <t>ACT_BND~LO</t>
  </si>
  <si>
    <t>All chemical pulp composition</t>
  </si>
  <si>
    <t>IMPMANWOD00</t>
  </si>
  <si>
    <t>Import Tech - MANWOD (IPL)</t>
  </si>
  <si>
    <t xml:space="preserve">Mix Pulps Printing-writing </t>
  </si>
  <si>
    <t>Mix Pulps Other Papers Boards</t>
  </si>
  <si>
    <t>Potential</t>
  </si>
  <si>
    <t>Papers and boards / pulp</t>
  </si>
  <si>
    <t>IOT000</t>
  </si>
  <si>
    <t>IOM000</t>
  </si>
  <si>
    <t>IOQ000</t>
  </si>
  <si>
    <t>IOF000</t>
  </si>
  <si>
    <t>IOW000</t>
  </si>
  <si>
    <t>IOC000</t>
  </si>
  <si>
    <t>Other Industries Demand Tech</t>
  </si>
  <si>
    <t>ACT_BND~UP~2050</t>
  </si>
  <si>
    <t>G-PAPMIX</t>
  </si>
  <si>
    <t>Fixed. share of Printing+Writing papers</t>
  </si>
  <si>
    <t>EAELCHET00</t>
  </si>
  <si>
    <t>Autoprod of ELC with HET</t>
  </si>
  <si>
    <t>Potential from wood</t>
  </si>
  <si>
    <t>BIOFOR</t>
  </si>
  <si>
    <t>NRGO</t>
  </si>
  <si>
    <t>ELCE</t>
  </si>
  <si>
    <t>INDBLQ000</t>
  </si>
  <si>
    <t>Fuel Tech - BIOBLQ (IPL)</t>
  </si>
  <si>
    <t>Black liquor (IND)</t>
  </si>
  <si>
    <t>Paper Pulp Mixture</t>
  </si>
  <si>
    <t>N</t>
  </si>
  <si>
    <t>HAHETBLQ00</t>
  </si>
  <si>
    <t>ESTMBLQ000</t>
  </si>
  <si>
    <t>WEEKLY</t>
  </si>
  <si>
    <t>ACT_EFF</t>
  </si>
  <si>
    <t>INDBCO005</t>
  </si>
  <si>
    <t>Fuel Tech - Brown Coal Peat (IND) - New</t>
  </si>
  <si>
    <t>Solid biomass (end-use)</t>
  </si>
  <si>
    <t>LimBase</t>
  </si>
  <si>
    <t>IISELC</t>
  </si>
  <si>
    <t>INFELC</t>
  </si>
  <si>
    <t>INMELC</t>
  </si>
  <si>
    <t>ICHELC</t>
  </si>
  <si>
    <t>ILPELC</t>
  </si>
  <si>
    <t>Electricity (IIS)</t>
  </si>
  <si>
    <t>Electricity (ILP)</t>
  </si>
  <si>
    <t>Electricity (INM)</t>
  </si>
  <si>
    <t>Electricity (ICH)</t>
  </si>
  <si>
    <t>Electricity (INF)</t>
  </si>
  <si>
    <t>INDELC500</t>
  </si>
  <si>
    <t>Distr Tech - Electricity (IND)</t>
  </si>
  <si>
    <t>IMISELC000</t>
  </si>
  <si>
    <t>IMISOIL000</t>
  </si>
  <si>
    <t>IMNFELC000</t>
  </si>
  <si>
    <t>IMNFOIL000</t>
  </si>
  <si>
    <t>IMCHELC000</t>
  </si>
  <si>
    <t>IMCHOIL000</t>
  </si>
  <si>
    <t>IMNMELC000</t>
  </si>
  <si>
    <t>IMNMOIL000</t>
  </si>
  <si>
    <t>IMLPELC000</t>
  </si>
  <si>
    <t>IMLPOIL000</t>
  </si>
  <si>
    <t>FLO_EMIS</t>
  </si>
  <si>
    <t>ACT_BND~0</t>
  </si>
  <si>
    <t>ACT_BND~2030</t>
  </si>
  <si>
    <t>INPUT~2050</t>
  </si>
  <si>
    <t>FLO_MARK~2070</t>
  </si>
  <si>
    <t>AFA~UP</t>
  </si>
  <si>
    <t>IDTHET000</t>
  </si>
  <si>
    <t>Dummy Tech - Heat - New (IND)</t>
  </si>
  <si>
    <t>Heat (LTH)</t>
  </si>
  <si>
    <t>UPNSTM</t>
  </si>
  <si>
    <t>Heat (UPS)</t>
  </si>
  <si>
    <t>FLO_SHAR~MANRAW~UP</t>
  </si>
  <si>
    <t>ACT_BND~2040~UP</t>
  </si>
  <si>
    <t>IOWSTM</t>
  </si>
  <si>
    <t>BIOWOO</t>
  </si>
  <si>
    <t>Solid Biomass (wood)</t>
  </si>
  <si>
    <t>IISAOD</t>
  </si>
  <si>
    <t>Argon-oxygen decarbonized steel</t>
  </si>
  <si>
    <t>IISOTH</t>
  </si>
  <si>
    <t>IISOTH000</t>
  </si>
  <si>
    <t>Other IIS</t>
  </si>
  <si>
    <t>\I: EFF</t>
  </si>
  <si>
    <t>BIODST</t>
  </si>
  <si>
    <t>Fuel Tech - Bio-oils (IND) - New</t>
  </si>
  <si>
    <t>BIOGLQ</t>
  </si>
  <si>
    <t>INDBFO</t>
  </si>
  <si>
    <t>Bio Fuel Oil (IND)</t>
  </si>
  <si>
    <t>INDBFO005</t>
  </si>
  <si>
    <t>Min-Import</t>
  </si>
  <si>
    <t>OWNUSE</t>
  </si>
  <si>
    <t>GASLPG</t>
  </si>
  <si>
    <t>ISOIHFO100</t>
  </si>
  <si>
    <t>ISOINGA100</t>
  </si>
  <si>
    <t>ISOICOA100</t>
  </si>
  <si>
    <t>ISOIBCO100</t>
  </si>
  <si>
    <t>ISOI Natural Gas Existing</t>
  </si>
  <si>
    <t>ISOI Brown Coal Existing</t>
  </si>
  <si>
    <t>ISOI Hard Coal Existing</t>
  </si>
  <si>
    <t>ISOI Distillates Existing</t>
  </si>
  <si>
    <t>ISOI Heavy Oil Existing</t>
  </si>
  <si>
    <t>ISOIOIL100</t>
  </si>
  <si>
    <t>Steam Wood Industry ISLP New</t>
  </si>
  <si>
    <t>ISOWHET000</t>
  </si>
  <si>
    <t>ISOI:</t>
  </si>
  <si>
    <t>FLO_MARK~UP</t>
  </si>
  <si>
    <t>FLO_MARK~UP~2030</t>
  </si>
  <si>
    <t>RESID~2100</t>
  </si>
  <si>
    <t>VA_Attrib_C</t>
  </si>
  <si>
    <t>BIOAGR</t>
  </si>
  <si>
    <t>Solid Biomass (agri)</t>
  </si>
  <si>
    <t>Check</t>
  </si>
  <si>
    <t>Table:</t>
  </si>
  <si>
    <t>Non-ETS-HPL</t>
  </si>
  <si>
    <t>OUTPUT~0</t>
  </si>
  <si>
    <t>Relax:</t>
  </si>
  <si>
    <t>AF~LO</t>
  </si>
  <si>
    <t>TRAN2ON</t>
  </si>
  <si>
    <t>N2O+NO2</t>
  </si>
  <si>
    <t>LIMUSE</t>
  </si>
  <si>
    <t>Emission</t>
  </si>
  <si>
    <t>DUM2</t>
  </si>
  <si>
    <t>DUM1</t>
  </si>
  <si>
    <t>Final energy</t>
  </si>
  <si>
    <t>Dummy 1</t>
  </si>
  <si>
    <t>Dummy 2</t>
  </si>
  <si>
    <t>IQOI</t>
  </si>
  <si>
    <t>Mining</t>
  </si>
  <si>
    <t>IPOIDST100</t>
  </si>
  <si>
    <t>IPOIELC100</t>
  </si>
  <si>
    <t>IPOILPG100</t>
  </si>
  <si>
    <t>IPOIBFO100</t>
  </si>
  <si>
    <t>FLO_MARK~LO</t>
  </si>
  <si>
    <t>FLO_MARK~UP~2050</t>
  </si>
  <si>
    <t>Fix</t>
  </si>
  <si>
    <t>FIM</t>
  </si>
  <si>
    <t>VDA_FLOP~MATI</t>
  </si>
  <si>
    <t>BIOLOG</t>
  </si>
  <si>
    <t>Forest residues</t>
  </si>
  <si>
    <t>Stemwood for energy</t>
  </si>
  <si>
    <t>Potential from residues</t>
  </si>
  <si>
    <t>MATO</t>
  </si>
  <si>
    <t>SYNGAS</t>
  </si>
  <si>
    <t>IOIELC</t>
  </si>
  <si>
    <t>Electricity (IOI)</t>
  </si>
  <si>
    <t>IOOELC</t>
  </si>
  <si>
    <t>Electricity (IOO)</t>
  </si>
  <si>
    <t>YES</t>
  </si>
  <si>
    <t>Work Machines IOQ Distillate Fuel</t>
  </si>
  <si>
    <t>Work Machines IOQ Distillate BioFuel</t>
  </si>
  <si>
    <t>Work Machines IOQ Electric</t>
  </si>
  <si>
    <t>Work Machines IOQ LPG</t>
  </si>
  <si>
    <t>INDBDL</t>
  </si>
  <si>
    <t>Biodiesel (IND)</t>
  </si>
  <si>
    <t>ESTMBSL000</t>
  </si>
  <si>
    <t>Auto CHP with BSL Existing</t>
  </si>
  <si>
    <t>Auto CHP with BLQ Existing</t>
  </si>
  <si>
    <t>DHET1+3</t>
  </si>
  <si>
    <t>DH Large potential</t>
  </si>
  <si>
    <t>INDDST</t>
  </si>
  <si>
    <t>Fuel Tech - Blast Furnace Gas (IND) - New</t>
  </si>
  <si>
    <t>INDOIL100</t>
  </si>
  <si>
    <t>Fuel Tech - Distillate Oil (IND) - New</t>
  </si>
  <si>
    <t>Distillate Fuel Oil (IND)</t>
  </si>
  <si>
    <t>Fuel Tech - Distillate Fuel Oil (IND)</t>
  </si>
  <si>
    <t>Distillate Oil (IND)</t>
  </si>
  <si>
    <t>DEM</t>
  </si>
  <si>
    <t>kt</t>
  </si>
  <si>
    <t>LBIOMASS</t>
  </si>
  <si>
    <t>GBIOMASS</t>
  </si>
  <si>
    <t xml:space="preserve">Emissions on flows  </t>
  </si>
  <si>
    <t>\I:Output-2010</t>
  </si>
  <si>
    <t>\I:Output-Aux</t>
  </si>
  <si>
    <t>PEAK</t>
  </si>
  <si>
    <t>*</t>
  </si>
  <si>
    <t>Feedstock use</t>
  </si>
  <si>
    <t>RESID~2060</t>
  </si>
  <si>
    <t>Very Other Industrial consumption</t>
  </si>
  <si>
    <t>Bark</t>
  </si>
  <si>
    <t>Pulping</t>
  </si>
  <si>
    <t>Mechani</t>
  </si>
  <si>
    <t>ILPNFR</t>
  </si>
  <si>
    <t>New fibers</t>
  </si>
  <si>
    <t>demand</t>
  </si>
  <si>
    <t>New fibres</t>
  </si>
  <si>
    <t>Non-paper pulp</t>
  </si>
  <si>
    <t>ILPPEX</t>
  </si>
  <si>
    <t>ILPPUD000</t>
  </si>
  <si>
    <t>Non-paper pulp, eg. dissolving</t>
  </si>
  <si>
    <t>Process Non-paper Pulp Existing</t>
  </si>
  <si>
    <t>New non-paper pulp fibres</t>
  </si>
  <si>
    <t>FT-INDNGA5</t>
  </si>
  <si>
    <t>FT-INDLPG5</t>
  </si>
  <si>
    <t>FT-INDBCO5</t>
  </si>
  <si>
    <t>FT-INDCOA5</t>
  </si>
  <si>
    <t>FT-INDCOK5</t>
  </si>
  <si>
    <t>FT-INDCOG5</t>
  </si>
  <si>
    <t>FT-INDBFG5</t>
  </si>
  <si>
    <t>FT-INDHFO5</t>
  </si>
  <si>
    <t>FT-INDOIL5</t>
  </si>
  <si>
    <t>FT-INDBFO5</t>
  </si>
  <si>
    <t>FT-INDETH5</t>
  </si>
  <si>
    <t>FT-INDNAP5</t>
  </si>
  <si>
    <t>FT-INDDST5</t>
  </si>
  <si>
    <t>FT-INDBIO5</t>
  </si>
  <si>
    <t>FT-INDGEO5</t>
  </si>
  <si>
    <t>FT-INDBLQ0</t>
  </si>
  <si>
    <t>Sector fuel production - Electricity + Heat</t>
  </si>
  <si>
    <t>Fuel Tech - Process Heat (IND)</t>
  </si>
  <si>
    <t>CHP</t>
  </si>
  <si>
    <t>ELE</t>
  </si>
  <si>
    <t>ELE,PKNO</t>
  </si>
  <si>
    <t>HPL</t>
  </si>
  <si>
    <t>DMD</t>
  </si>
  <si>
    <t>PRE</t>
  </si>
  <si>
    <t>PRW</t>
  </si>
  <si>
    <t>FT-INDOIL0</t>
  </si>
  <si>
    <t>Distr Tech - SYNMET (ICH)</t>
  </si>
  <si>
    <t>FT-INDBCO0</t>
  </si>
  <si>
    <t>FT-INDBFG0</t>
  </si>
  <si>
    <t>FT-INDBIO0</t>
  </si>
  <si>
    <t>FT-INDBSL0</t>
  </si>
  <si>
    <t>FT-INDCOA0</t>
  </si>
  <si>
    <t>FT-INDCOG0</t>
  </si>
  <si>
    <t>FT-INDCOK0</t>
  </si>
  <si>
    <t>FT-INDETH0</t>
  </si>
  <si>
    <t>FT-INDGEO0</t>
  </si>
  <si>
    <t>FT-INDHFO0</t>
  </si>
  <si>
    <t>FT-INDLPG0</t>
  </si>
  <si>
    <t>FT-INDNAP0</t>
  </si>
  <si>
    <t>FT-INDNGA0</t>
  </si>
  <si>
    <t>FT-INDNGL0</t>
  </si>
  <si>
    <t>FT-INDNUC0</t>
  </si>
  <si>
    <t>FT-INDPTC0</t>
  </si>
  <si>
    <t>FT-INDELC0</t>
  </si>
  <si>
    <t>FT-INDHET0</t>
  </si>
  <si>
    <t>FT-INDLTH0</t>
  </si>
  <si>
    <t>Attribute</t>
  </si>
  <si>
    <t>Share</t>
  </si>
  <si>
    <t>~FI_T: FLO_EMIS</t>
  </si>
  <si>
    <t>SubSector</t>
  </si>
  <si>
    <t>Curr</t>
  </si>
  <si>
    <t>EUR10</t>
  </si>
  <si>
    <t>SYNHYN</t>
  </si>
  <si>
    <t>Hydrogen after distribution</t>
  </si>
  <si>
    <t>Seed:</t>
  </si>
  <si>
    <t>Raw demands</t>
  </si>
  <si>
    <t>Fuel Tech - Biogas (IND) - New</t>
  </si>
  <si>
    <t>FT-INDBGS5</t>
  </si>
  <si>
    <t>INDBGS</t>
  </si>
  <si>
    <t>Biogases (IND)</t>
  </si>
  <si>
    <t>Biogas (IND)</t>
  </si>
  <si>
    <t>Load Tech - Electricity (IND)</t>
  </si>
  <si>
    <t>Other IIS output</t>
  </si>
  <si>
    <t>Process electricity chemicals</t>
  </si>
  <si>
    <t>Process electricity other industry</t>
  </si>
  <si>
    <t>Process electricity minerals</t>
  </si>
  <si>
    <t>Process electricity non-ferrous</t>
  </si>
  <si>
    <t>Process electricity pulp and paper</t>
  </si>
  <si>
    <t>Process electricity ferrous metals</t>
  </si>
  <si>
    <t>Machine drive other industries</t>
  </si>
  <si>
    <t>Machine drive minerals</t>
  </si>
  <si>
    <t>Machine drive non-ferrous</t>
  </si>
  <si>
    <t>Machine drive pulp and paper</t>
  </si>
  <si>
    <t>Machine drive ferrous metals</t>
  </si>
  <si>
    <t>Machine drive chemicals</t>
  </si>
  <si>
    <t>Brown Coal and Peat (IND)</t>
  </si>
  <si>
    <t>Other energy services other industry</t>
  </si>
  <si>
    <t>Other energy services minerals</t>
  </si>
  <si>
    <t>Other energy services non-ferrous</t>
  </si>
  <si>
    <t>Other energy services pulp and paper</t>
  </si>
  <si>
    <t>Other energy services ferrous metals</t>
  </si>
  <si>
    <t>Other energy services chemicals</t>
  </si>
  <si>
    <t>Process heat other industries</t>
  </si>
  <si>
    <t>Process heat minerals</t>
  </si>
  <si>
    <t>Process heat non-ferrous</t>
  </si>
  <si>
    <t>Process heat pulp and paper</t>
  </si>
  <si>
    <t>Process heat ferrous metals</t>
  </si>
  <si>
    <t>Process heat chemicals</t>
  </si>
  <si>
    <t>Process steam chemicals</t>
  </si>
  <si>
    <t>Process steam wood processing</t>
  </si>
  <si>
    <t>Process steam pulp and paper</t>
  </si>
  <si>
    <t>Process steam non-ferrous</t>
  </si>
  <si>
    <t>Process steam minerals</t>
  </si>
  <si>
    <t>Process steam other industries</t>
  </si>
  <si>
    <t>Process steam ferrous metals</t>
  </si>
  <si>
    <t>LT Heat (IND)</t>
  </si>
  <si>
    <t>ElcEFF</t>
  </si>
  <si>
    <t>P2H</t>
  </si>
  <si>
    <t>IQOI Total</t>
  </si>
  <si>
    <t xml:space="preserve">Work machines mining and construction </t>
  </si>
  <si>
    <t>VA_Attrib_TC</t>
  </si>
  <si>
    <t>NCAP_BND~UP</t>
  </si>
  <si>
    <t>Sector fuel production - Additions (Not fuel techs)</t>
  </si>
  <si>
    <t>\I: Constraints for INDNGA +LTH</t>
  </si>
  <si>
    <t>FT-INDMET5</t>
  </si>
  <si>
    <t>INDMET</t>
  </si>
  <si>
    <t>Methanol (IND)</t>
  </si>
  <si>
    <t>Fuel Tech - Methanol (IND) - New</t>
  </si>
  <si>
    <t>Methanol - non fossil (IND)</t>
  </si>
  <si>
    <t>Fuel Tech - Brown Peat (IND) - New</t>
  </si>
  <si>
    <t>INVCOST~EUR10</t>
  </si>
  <si>
    <t>\I: Eff. multiplier</t>
  </si>
  <si>
    <t>FCOST~EUR10</t>
  </si>
  <si>
    <t>Suffix</t>
  </si>
  <si>
    <t>IRACOA</t>
  </si>
  <si>
    <t>Reductant coal</t>
  </si>
  <si>
    <t>IRACOK</t>
  </si>
  <si>
    <t>Reductant coke</t>
  </si>
  <si>
    <t>MISORE</t>
  </si>
  <si>
    <t>Iron ore</t>
  </si>
  <si>
    <t>INMLMS</t>
  </si>
  <si>
    <t>Limestone</t>
  </si>
  <si>
    <t>INMCLK</t>
  </si>
  <si>
    <t>Clinker</t>
  </si>
  <si>
    <t>MISHME</t>
  </si>
  <si>
    <t>Hot iron metal</t>
  </si>
  <si>
    <t>Share~UP~2050</t>
  </si>
  <si>
    <t>ENV_ACT~INDCO2P</t>
  </si>
  <si>
    <t>Input~2040</t>
  </si>
  <si>
    <t>IN</t>
  </si>
  <si>
    <t>OUT</t>
  </si>
  <si>
    <t>NCAP_COM</t>
  </si>
</sst>
</file>

<file path=xl/styles.xml><?xml version="1.0" encoding="utf-8"?>
<styleSheet xmlns="http://schemas.openxmlformats.org/spreadsheetml/2006/main">
  <numFmts count="9">
    <numFmt numFmtId="165" formatCode="0.000"/>
    <numFmt numFmtId="166" formatCode="0.0"/>
    <numFmt numFmtId="167" formatCode="0.0000"/>
    <numFmt numFmtId="168" formatCode="0.0%"/>
    <numFmt numFmtId="169" formatCode="0.0\ %"/>
    <numFmt numFmtId="170" formatCode="_([$€]* #,##0.00_);_([$€]* \(#,##0.00\);_([$€]* &quot;-&quot;??_);_(@_)"/>
    <numFmt numFmtId="171" formatCode="0.0;\-0.0;General"/>
    <numFmt numFmtId="172" formatCode="0.00000"/>
    <numFmt numFmtId="174" formatCode="0.00;\-0.00;General"/>
  </numFmts>
  <fonts count="50">
    <font>
      <sz val="10"/>
      <name val="Arial"/>
    </font>
    <font>
      <sz val="10"/>
      <color indexed="8"/>
      <name val="Arial"/>
      <family val="2"/>
    </font>
    <font>
      <sz val="10"/>
      <name val="Arial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  <family val="2"/>
    </font>
    <font>
      <b/>
      <sz val="14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0"/>
      <name val="Geneva"/>
    </font>
    <font>
      <u/>
      <sz val="10"/>
      <name val="Arial"/>
      <family val="2"/>
    </font>
    <font>
      <sz val="10"/>
      <color indexed="9"/>
      <name val="Arial"/>
      <family val="2"/>
    </font>
    <font>
      <b/>
      <i/>
      <sz val="12"/>
      <name val="Arial"/>
      <family val="2"/>
    </font>
    <font>
      <b/>
      <sz val="8"/>
      <name val="Arial"/>
      <family val="2"/>
    </font>
    <font>
      <sz val="10"/>
      <color indexed="10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55"/>
      <name val="Arial"/>
      <family val="2"/>
    </font>
    <font>
      <sz val="14"/>
      <color indexed="9"/>
      <name val="Arial"/>
      <family val="2"/>
    </font>
    <font>
      <b/>
      <sz val="14"/>
      <color indexed="9"/>
      <name val="Arial"/>
      <family val="2"/>
    </font>
    <font>
      <sz val="10"/>
      <color indexed="12"/>
      <name val="Arial"/>
      <family val="2"/>
    </font>
    <font>
      <b/>
      <sz val="11"/>
      <color indexed="9"/>
      <name val="Arial"/>
      <family val="2"/>
    </font>
    <font>
      <sz val="8"/>
      <name val="Arial"/>
    </font>
    <font>
      <sz val="9"/>
      <color indexed="8"/>
      <name val="Arial"/>
      <family val="2"/>
    </font>
    <font>
      <sz val="9"/>
      <name val="Arial"/>
      <family val="2"/>
    </font>
    <font>
      <sz val="11"/>
      <name val="Arial"/>
      <family val="2"/>
    </font>
    <font>
      <i/>
      <sz val="8"/>
      <color indexed="8"/>
      <name val="Arial"/>
      <family val="2"/>
    </font>
    <font>
      <i/>
      <sz val="8"/>
      <name val="Arial"/>
      <family val="2"/>
    </font>
    <font>
      <sz val="8"/>
      <color indexed="10"/>
      <name val="Arial"/>
      <family val="2"/>
    </font>
    <font>
      <b/>
      <sz val="10"/>
      <color indexed="9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1"/>
      <color indexed="12"/>
      <name val="Arial"/>
      <family val="2"/>
    </font>
    <font>
      <sz val="9"/>
      <color indexed="81"/>
      <name val="Tahoma"/>
      <family val="2"/>
    </font>
    <font>
      <b/>
      <sz val="8"/>
      <color indexed="9"/>
      <name val="Arial"/>
      <family val="2"/>
    </font>
    <font>
      <sz val="10"/>
      <color indexed="12"/>
      <name val="Arial"/>
    </font>
    <font>
      <sz val="10"/>
      <color indexed="10"/>
      <name val="Arial"/>
    </font>
    <font>
      <b/>
      <sz val="8"/>
      <color indexed="81"/>
      <name val="Tahoma"/>
      <family val="2"/>
    </font>
    <font>
      <sz val="12"/>
      <color indexed="9"/>
      <name val="Arial"/>
      <family val="2"/>
    </font>
    <font>
      <sz val="11"/>
      <color indexed="17"/>
      <name val="Calibri"/>
      <family val="2"/>
    </font>
    <font>
      <b/>
      <sz val="9"/>
      <color indexed="81"/>
      <name val="Tahoma"/>
      <family val="2"/>
    </font>
    <font>
      <sz val="10"/>
      <color indexed="16"/>
      <name val="Arial"/>
    </font>
    <font>
      <b/>
      <sz val="12"/>
      <name val="Arial"/>
      <family val="2"/>
    </font>
    <font>
      <b/>
      <sz val="12"/>
      <color indexed="12"/>
      <name val="Arial"/>
      <family val="2"/>
    </font>
    <font>
      <sz val="9"/>
      <name val="Arial"/>
    </font>
    <font>
      <b/>
      <sz val="8"/>
      <color indexed="8"/>
      <name val="Arial"/>
      <family val="2"/>
    </font>
    <font>
      <b/>
      <sz val="10"/>
      <color indexed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26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lightGray">
        <bgColor indexed="26"/>
      </patternFill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9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70" fontId="2" fillId="0" borderId="0" applyFont="0" applyFill="0" applyBorder="0" applyAlignment="0" applyProtection="0"/>
    <xf numFmtId="0" fontId="42" fillId="2" borderId="0" applyNumberFormat="0" applyBorder="0" applyAlignment="0" applyProtection="0"/>
    <xf numFmtId="0" fontId="11" fillId="0" borderId="0"/>
    <xf numFmtId="0" fontId="2" fillId="0" borderId="0"/>
    <xf numFmtId="9" fontId="2" fillId="0" borderId="0" applyFont="0" applyFill="0" applyBorder="0" applyAlignment="0" applyProtection="0"/>
  </cellStyleXfs>
  <cellXfs count="829">
    <xf numFmtId="0" fontId="0" fillId="0" borderId="0" xfId="0"/>
    <xf numFmtId="0" fontId="3" fillId="0" borderId="0" xfId="0" applyFont="1" applyAlignment="1">
      <alignment horizontal="center" vertical="center" wrapText="1"/>
    </xf>
    <xf numFmtId="2" fontId="0" fillId="0" borderId="0" xfId="0" applyNumberFormat="1"/>
    <xf numFmtId="165" fontId="0" fillId="0" borderId="0" xfId="0" applyNumberForma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3" borderId="0" xfId="0" applyFill="1"/>
    <xf numFmtId="0" fontId="12" fillId="0" borderId="0" xfId="0" applyFont="1"/>
    <xf numFmtId="0" fontId="12" fillId="0" borderId="0" xfId="3" applyFont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0" xfId="0" applyFill="1"/>
    <xf numFmtId="0" fontId="0" fillId="0" borderId="0" xfId="0" applyBorder="1"/>
    <xf numFmtId="165" fontId="0" fillId="0" borderId="0" xfId="0" applyNumberFormat="1" applyFill="1"/>
    <xf numFmtId="165" fontId="0" fillId="4" borderId="0" xfId="0" applyNumberFormat="1" applyFill="1"/>
    <xf numFmtId="2" fontId="0" fillId="0" borderId="0" xfId="0" applyNumberFormat="1" applyFill="1"/>
    <xf numFmtId="0" fontId="0" fillId="5" borderId="0" xfId="0" applyFill="1"/>
    <xf numFmtId="0" fontId="9" fillId="6" borderId="0" xfId="0" applyFont="1" applyFill="1"/>
    <xf numFmtId="2" fontId="0" fillId="5" borderId="0" xfId="0" applyNumberFormat="1" applyFill="1"/>
    <xf numFmtId="0" fontId="0" fillId="3" borderId="1" xfId="0" applyFill="1" applyBorder="1"/>
    <xf numFmtId="0" fontId="0" fillId="3" borderId="0" xfId="0" applyFill="1" applyAlignment="1">
      <alignment wrapText="1"/>
    </xf>
    <xf numFmtId="0" fontId="0" fillId="3" borderId="1" xfId="0" applyFill="1" applyBorder="1" applyAlignment="1">
      <alignment wrapText="1"/>
    </xf>
    <xf numFmtId="0" fontId="6" fillId="3" borderId="2" xfId="0" applyFont="1" applyFill="1" applyBorder="1" applyAlignment="1">
      <alignment wrapText="1"/>
    </xf>
    <xf numFmtId="0" fontId="6" fillId="3" borderId="2" xfId="0" applyFont="1" applyFill="1" applyBorder="1"/>
    <xf numFmtId="0" fontId="6" fillId="3" borderId="0" xfId="0" applyFont="1" applyFill="1" applyAlignment="1">
      <alignment wrapText="1"/>
    </xf>
    <xf numFmtId="2" fontId="0" fillId="5" borderId="1" xfId="0" applyNumberFormat="1" applyFill="1" applyBorder="1"/>
    <xf numFmtId="2" fontId="0" fillId="4" borderId="1" xfId="0" applyNumberFormat="1" applyFill="1" applyBorder="1"/>
    <xf numFmtId="165" fontId="9" fillId="5" borderId="0" xfId="0" applyNumberFormat="1" applyFont="1" applyFill="1" applyAlignment="1">
      <alignment wrapText="1"/>
    </xf>
    <xf numFmtId="2" fontId="0" fillId="4" borderId="0" xfId="0" applyNumberFormat="1" applyFill="1"/>
    <xf numFmtId="165" fontId="0" fillId="4" borderId="1" xfId="0" applyNumberFormat="1" applyFill="1" applyBorder="1"/>
    <xf numFmtId="0" fontId="0" fillId="0" borderId="0" xfId="0" applyAlignment="1"/>
    <xf numFmtId="0" fontId="3" fillId="0" borderId="0" xfId="0" applyFont="1" applyFill="1" applyAlignment="1">
      <alignment horizontal="center" vertical="center" wrapText="1"/>
    </xf>
    <xf numFmtId="0" fontId="0" fillId="7" borderId="0" xfId="0" applyFill="1"/>
    <xf numFmtId="1" fontId="8" fillId="6" borderId="0" xfId="0" applyNumberFormat="1" applyFont="1" applyFill="1"/>
    <xf numFmtId="1" fontId="8" fillId="6" borderId="0" xfId="0" quotePrefix="1" applyNumberFormat="1" applyFont="1" applyFill="1"/>
    <xf numFmtId="0" fontId="0" fillId="4" borderId="0" xfId="0" applyFill="1" applyAlignment="1">
      <alignment horizontal="left"/>
    </xf>
    <xf numFmtId="1" fontId="0" fillId="4" borderId="0" xfId="0" applyNumberFormat="1" applyFill="1" applyAlignment="1">
      <alignment horizontal="left"/>
    </xf>
    <xf numFmtId="1" fontId="0" fillId="8" borderId="0" xfId="0" applyNumberFormat="1" applyFill="1"/>
    <xf numFmtId="0" fontId="6" fillId="8" borderId="0" xfId="0" applyFont="1" applyFill="1" applyAlignment="1">
      <alignment horizontal="right"/>
    </xf>
    <xf numFmtId="0" fontId="0" fillId="4" borderId="0" xfId="0" applyFill="1" applyAlignment="1">
      <alignment horizontal="right"/>
    </xf>
    <xf numFmtId="0" fontId="6" fillId="7" borderId="0" xfId="0" applyFont="1" applyFill="1" applyAlignment="1">
      <alignment horizontal="right"/>
    </xf>
    <xf numFmtId="1" fontId="0" fillId="6" borderId="0" xfId="0" applyNumberFormat="1" applyFill="1"/>
    <xf numFmtId="0" fontId="9" fillId="3" borderId="2" xfId="0" applyFont="1" applyFill="1" applyBorder="1" applyAlignment="1">
      <alignment horizontal="center" vertical="center" wrapText="1"/>
    </xf>
    <xf numFmtId="1" fontId="0" fillId="3" borderId="0" xfId="0" applyNumberFormat="1" applyFill="1"/>
    <xf numFmtId="0" fontId="6" fillId="0" borderId="0" xfId="0" applyFont="1" applyFill="1" applyBorder="1"/>
    <xf numFmtId="165" fontId="0" fillId="0" borderId="0" xfId="0" applyNumberFormat="1" applyFill="1" applyBorder="1"/>
    <xf numFmtId="0" fontId="0" fillId="4" borderId="0" xfId="0" applyFill="1" applyBorder="1"/>
    <xf numFmtId="0" fontId="0" fillId="3" borderId="0" xfId="0" applyFill="1" applyBorder="1" applyAlignment="1">
      <alignment wrapText="1"/>
    </xf>
    <xf numFmtId="0" fontId="0" fillId="3" borderId="3" xfId="0" applyFill="1" applyBorder="1"/>
    <xf numFmtId="0" fontId="0" fillId="3" borderId="0" xfId="0" applyFill="1" applyBorder="1"/>
    <xf numFmtId="2" fontId="0" fillId="5" borderId="0" xfId="0" applyNumberFormat="1" applyFill="1" applyBorder="1"/>
    <xf numFmtId="2" fontId="0" fillId="4" borderId="3" xfId="0" applyNumberFormat="1" applyFill="1" applyBorder="1"/>
    <xf numFmtId="2" fontId="0" fillId="4" borderId="0" xfId="0" applyNumberFormat="1" applyFill="1" applyBorder="1"/>
    <xf numFmtId="165" fontId="0" fillId="4" borderId="3" xfId="0" applyNumberFormat="1" applyFill="1" applyBorder="1"/>
    <xf numFmtId="165" fontId="0" fillId="4" borderId="0" xfId="0" applyNumberFormat="1" applyFill="1" applyBorder="1"/>
    <xf numFmtId="0" fontId="0" fillId="3" borderId="3" xfId="0" applyFill="1" applyBorder="1" applyAlignment="1">
      <alignment wrapText="1"/>
    </xf>
    <xf numFmtId="1" fontId="0" fillId="3" borderId="0" xfId="0" applyNumberFormat="1" applyFill="1" applyBorder="1"/>
    <xf numFmtId="0" fontId="9" fillId="8" borderId="0" xfId="0" applyFont="1" applyFill="1"/>
    <xf numFmtId="0" fontId="9" fillId="3" borderId="0" xfId="0" applyFont="1" applyFill="1"/>
    <xf numFmtId="2" fontId="0" fillId="3" borderId="0" xfId="0" applyNumberFormat="1" applyFill="1"/>
    <xf numFmtId="1" fontId="8" fillId="3" borderId="0" xfId="0" applyNumberFormat="1" applyFont="1" applyFill="1"/>
    <xf numFmtId="0" fontId="9" fillId="3" borderId="2" xfId="0" applyFont="1" applyFill="1" applyBorder="1" applyAlignment="1">
      <alignment horizontal="right" vertical="center" wrapText="1"/>
    </xf>
    <xf numFmtId="0" fontId="8" fillId="0" borderId="0" xfId="0" applyFont="1" applyBorder="1"/>
    <xf numFmtId="2" fontId="9" fillId="3" borderId="0" xfId="0" applyNumberFormat="1" applyFont="1" applyFill="1" applyAlignment="1">
      <alignment wrapText="1"/>
    </xf>
    <xf numFmtId="0" fontId="14" fillId="0" borderId="0" xfId="0" applyFont="1"/>
    <xf numFmtId="2" fontId="0" fillId="5" borderId="0" xfId="0" applyNumberFormat="1" applyFill="1" applyAlignment="1">
      <alignment wrapText="1"/>
    </xf>
    <xf numFmtId="2" fontId="8" fillId="4" borderId="4" xfId="0" applyNumberFormat="1" applyFont="1" applyFill="1" applyBorder="1" applyAlignment="1">
      <alignment horizontal="right"/>
    </xf>
    <xf numFmtId="2" fontId="8" fillId="4" borderId="5" xfId="0" applyNumberFormat="1" applyFont="1" applyFill="1" applyBorder="1" applyAlignment="1">
      <alignment horizontal="right"/>
    </xf>
    <xf numFmtId="0" fontId="8" fillId="4" borderId="5" xfId="0" applyFont="1" applyFill="1" applyBorder="1" applyAlignment="1">
      <alignment horizontal="right"/>
    </xf>
    <xf numFmtId="0" fontId="8" fillId="4" borderId="6" xfId="0" applyFont="1" applyFill="1" applyBorder="1" applyAlignment="1">
      <alignment horizontal="right"/>
    </xf>
    <xf numFmtId="2" fontId="8" fillId="4" borderId="6" xfId="0" applyNumberFormat="1" applyFont="1" applyFill="1" applyBorder="1" applyAlignment="1">
      <alignment horizontal="right"/>
    </xf>
    <xf numFmtId="0" fontId="8" fillId="4" borderId="4" xfId="0" applyFont="1" applyFill="1" applyBorder="1" applyAlignment="1">
      <alignment horizontal="right"/>
    </xf>
    <xf numFmtId="0" fontId="1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7" fillId="0" borderId="0" xfId="0" applyNumberFormat="1" applyFont="1" applyFill="1" applyBorder="1" applyAlignment="1"/>
    <xf numFmtId="0" fontId="18" fillId="0" borderId="7" xfId="0" applyNumberFormat="1" applyFont="1" applyFill="1" applyBorder="1" applyAlignment="1"/>
    <xf numFmtId="0" fontId="18" fillId="3" borderId="2" xfId="0" applyNumberFormat="1" applyFont="1" applyFill="1" applyBorder="1" applyAlignment="1">
      <alignment horizontal="right" vertical="center" wrapText="1"/>
    </xf>
    <xf numFmtId="0" fontId="18" fillId="0" borderId="0" xfId="0" applyNumberFormat="1" applyFont="1" applyFill="1" applyBorder="1" applyAlignment="1"/>
    <xf numFmtId="165" fontId="17" fillId="0" borderId="0" xfId="0" applyNumberFormat="1" applyFont="1" applyFill="1" applyBorder="1" applyAlignment="1"/>
    <xf numFmtId="0" fontId="18" fillId="3" borderId="0" xfId="0" applyNumberFormat="1" applyFont="1" applyFill="1" applyBorder="1" applyAlignment="1"/>
    <xf numFmtId="0" fontId="17" fillId="3" borderId="0" xfId="0" applyNumberFormat="1" applyFont="1" applyFill="1" applyBorder="1" applyAlignment="1"/>
    <xf numFmtId="0" fontId="18" fillId="3" borderId="3" xfId="0" applyNumberFormat="1" applyFont="1" applyFill="1" applyBorder="1" applyAlignment="1"/>
    <xf numFmtId="0" fontId="18" fillId="7" borderId="0" xfId="0" applyNumberFormat="1" applyFont="1" applyFill="1" applyBorder="1" applyAlignment="1"/>
    <xf numFmtId="0" fontId="21" fillId="9" borderId="0" xfId="0" applyFont="1" applyFill="1"/>
    <xf numFmtId="0" fontId="21" fillId="9" borderId="0" xfId="0" applyNumberFormat="1" applyFont="1" applyFill="1" applyBorder="1" applyAlignment="1"/>
    <xf numFmtId="0" fontId="13" fillId="9" borderId="0" xfId="0" applyFont="1" applyFill="1"/>
    <xf numFmtId="0" fontId="13" fillId="9" borderId="0" xfId="0" applyNumberFormat="1" applyFont="1" applyFill="1" applyBorder="1" applyAlignment="1"/>
    <xf numFmtId="0" fontId="18" fillId="9" borderId="0" xfId="0" applyNumberFormat="1" applyFont="1" applyFill="1" applyBorder="1" applyAlignment="1"/>
    <xf numFmtId="0" fontId="0" fillId="9" borderId="0" xfId="0" applyFill="1"/>
    <xf numFmtId="166" fontId="0" fillId="5" borderId="0" xfId="0" applyNumberFormat="1" applyFill="1"/>
    <xf numFmtId="1" fontId="0" fillId="0" borderId="0" xfId="0" applyNumberFormat="1"/>
    <xf numFmtId="0" fontId="6" fillId="7" borderId="0" xfId="0" applyFont="1" applyFill="1"/>
    <xf numFmtId="0" fontId="17" fillId="9" borderId="0" xfId="0" applyNumberFormat="1" applyFont="1" applyFill="1" applyBorder="1" applyAlignment="1"/>
    <xf numFmtId="0" fontId="26" fillId="0" borderId="0" xfId="0" applyNumberFormat="1" applyFont="1" applyFill="1" applyBorder="1" applyAlignment="1"/>
    <xf numFmtId="0" fontId="17" fillId="3" borderId="0" xfId="0" applyNumberFormat="1" applyFont="1" applyFill="1" applyBorder="1" applyAlignment="1">
      <alignment horizontal="right"/>
    </xf>
    <xf numFmtId="0" fontId="26" fillId="0" borderId="0" xfId="0" applyNumberFormat="1" applyFont="1" applyFill="1" applyBorder="1" applyAlignment="1">
      <alignment horizontal="left" vertical="center"/>
    </xf>
    <xf numFmtId="0" fontId="17" fillId="7" borderId="0" xfId="0" applyNumberFormat="1" applyFont="1" applyFill="1" applyBorder="1" applyAlignment="1">
      <alignment horizontal="left"/>
    </xf>
    <xf numFmtId="0" fontId="17" fillId="3" borderId="0" xfId="0" applyNumberFormat="1" applyFont="1" applyFill="1" applyBorder="1" applyAlignment="1">
      <alignment horizontal="left"/>
    </xf>
    <xf numFmtId="2" fontId="17" fillId="6" borderId="0" xfId="0" applyNumberFormat="1" applyFont="1" applyFill="1" applyBorder="1" applyAlignment="1">
      <alignment horizontal="right"/>
    </xf>
    <xf numFmtId="2" fontId="17" fillId="8" borderId="0" xfId="0" applyNumberFormat="1" applyFont="1" applyFill="1" applyBorder="1" applyAlignment="1">
      <alignment horizontal="right"/>
    </xf>
    <xf numFmtId="2" fontId="17" fillId="7" borderId="0" xfId="0" applyNumberFormat="1" applyFont="1" applyFill="1" applyBorder="1" applyAlignment="1">
      <alignment horizontal="left"/>
    </xf>
    <xf numFmtId="0" fontId="17" fillId="7" borderId="0" xfId="0" applyNumberFormat="1" applyFont="1" applyFill="1" applyBorder="1" applyAlignment="1"/>
    <xf numFmtId="0" fontId="0" fillId="6" borderId="0" xfId="0" applyFill="1"/>
    <xf numFmtId="0" fontId="13" fillId="9" borderId="0" xfId="0" applyFont="1" applyFill="1" applyBorder="1"/>
    <xf numFmtId="0" fontId="22" fillId="9" borderId="0" xfId="0" applyFont="1" applyFill="1" applyBorder="1"/>
    <xf numFmtId="0" fontId="27" fillId="0" borderId="0" xfId="0" applyFont="1"/>
    <xf numFmtId="0" fontId="8" fillId="7" borderId="0" xfId="0" applyFont="1" applyFill="1" applyAlignment="1">
      <alignment horizontal="left"/>
    </xf>
    <xf numFmtId="0" fontId="8" fillId="3" borderId="0" xfId="0" applyFont="1" applyFill="1" applyAlignment="1">
      <alignment horizontal="left" wrapText="1"/>
    </xf>
    <xf numFmtId="0" fontId="9" fillId="0" borderId="0" xfId="0" applyFont="1" applyFill="1" applyBorder="1" applyAlignment="1">
      <alignment horizontal="right"/>
    </xf>
    <xf numFmtId="0" fontId="21" fillId="9" borderId="0" xfId="0" quotePrefix="1" applyFont="1" applyFill="1" applyAlignment="1">
      <alignment horizontal="left"/>
    </xf>
    <xf numFmtId="0" fontId="0" fillId="0" borderId="0" xfId="0" applyFill="1" applyProtection="1">
      <protection locked="0"/>
    </xf>
    <xf numFmtId="0" fontId="28" fillId="0" borderId="0" xfId="0" applyFont="1"/>
    <xf numFmtId="0" fontId="0" fillId="3" borderId="0" xfId="0" applyFill="1" applyProtection="1">
      <protection locked="0"/>
    </xf>
    <xf numFmtId="0" fontId="0" fillId="3" borderId="7" xfId="0" applyFill="1" applyBorder="1" applyAlignment="1">
      <alignment wrapText="1"/>
    </xf>
    <xf numFmtId="0" fontId="0" fillId="3" borderId="7" xfId="0" applyFill="1" applyBorder="1"/>
    <xf numFmtId="165" fontId="0" fillId="3" borderId="7" xfId="0" applyNumberFormat="1" applyFill="1" applyBorder="1"/>
    <xf numFmtId="2" fontId="0" fillId="3" borderId="7" xfId="0" applyNumberFormat="1" applyFill="1" applyBorder="1"/>
    <xf numFmtId="0" fontId="0" fillId="3" borderId="7" xfId="0" applyFill="1" applyBorder="1" applyProtection="1">
      <protection locked="0"/>
    </xf>
    <xf numFmtId="0" fontId="0" fillId="4" borderId="7" xfId="0" applyFill="1" applyBorder="1"/>
    <xf numFmtId="0" fontId="21" fillId="9" borderId="0" xfId="0" applyFont="1" applyFill="1" applyBorder="1" applyAlignment="1">
      <alignment horizontal="left"/>
    </xf>
    <xf numFmtId="0" fontId="24" fillId="9" borderId="0" xfId="0" applyFont="1" applyFill="1" applyAlignment="1">
      <alignment horizontal="center" vertical="center" wrapText="1"/>
    </xf>
    <xf numFmtId="2" fontId="21" fillId="9" borderId="0" xfId="0" applyNumberFormat="1" applyFont="1" applyFill="1"/>
    <xf numFmtId="2" fontId="13" fillId="9" borderId="0" xfId="0" applyNumberFormat="1" applyFont="1" applyFill="1"/>
    <xf numFmtId="0" fontId="20" fillId="0" borderId="0" xfId="0" applyFont="1"/>
    <xf numFmtId="168" fontId="20" fillId="0" borderId="0" xfId="0" applyNumberFormat="1" applyFont="1"/>
    <xf numFmtId="9" fontId="20" fillId="0" borderId="0" xfId="5" applyFont="1"/>
    <xf numFmtId="2" fontId="8" fillId="4" borderId="0" xfId="0" applyNumberFormat="1" applyFont="1" applyFill="1" applyBorder="1"/>
    <xf numFmtId="0" fontId="2" fillId="0" borderId="0" xfId="4"/>
    <xf numFmtId="2" fontId="29" fillId="6" borderId="0" xfId="0" applyNumberFormat="1" applyFont="1" applyFill="1" applyBorder="1" applyAlignment="1"/>
    <xf numFmtId="2" fontId="30" fillId="6" borderId="0" xfId="0" applyNumberFormat="1" applyFont="1" applyFill="1" applyBorder="1" applyAlignment="1"/>
    <xf numFmtId="0" fontId="8" fillId="3" borderId="0" xfId="0" applyFont="1" applyFill="1" applyBorder="1" applyAlignment="1">
      <alignment horizontal="right"/>
    </xf>
    <xf numFmtId="2" fontId="8" fillId="6" borderId="0" xfId="0" applyNumberFormat="1" applyFont="1" applyFill="1" applyBorder="1" applyAlignment="1"/>
    <xf numFmtId="0" fontId="8" fillId="7" borderId="0" xfId="0" applyFont="1" applyFill="1" applyBorder="1" applyAlignment="1">
      <alignment horizontal="left"/>
    </xf>
    <xf numFmtId="0" fontId="8" fillId="3" borderId="0" xfId="0" applyFont="1" applyFill="1" applyBorder="1" applyAlignment="1">
      <alignment horizontal="left" wrapText="1"/>
    </xf>
    <xf numFmtId="2" fontId="30" fillId="6" borderId="8" xfId="0" applyNumberFormat="1" applyFont="1" applyFill="1" applyBorder="1" applyAlignment="1"/>
    <xf numFmtId="2" fontId="0" fillId="10" borderId="0" xfId="0" applyNumberFormat="1" applyFill="1"/>
    <xf numFmtId="0" fontId="0" fillId="10" borderId="0" xfId="0" applyFill="1"/>
    <xf numFmtId="0" fontId="0" fillId="5" borderId="1" xfId="0" applyFill="1" applyBorder="1"/>
    <xf numFmtId="0" fontId="0" fillId="5" borderId="0" xfId="0" applyFill="1" applyBorder="1"/>
    <xf numFmtId="0" fontId="21" fillId="9" borderId="0" xfId="0" quotePrefix="1" applyNumberFormat="1" applyFont="1" applyFill="1" applyBorder="1" applyAlignment="1">
      <alignment horizontal="left"/>
    </xf>
    <xf numFmtId="0" fontId="0" fillId="3" borderId="0" xfId="0" quotePrefix="1" applyFill="1" applyAlignment="1">
      <alignment horizontal="left" wrapText="1"/>
    </xf>
    <xf numFmtId="0" fontId="0" fillId="3" borderId="0" xfId="0" quotePrefix="1" applyFill="1" applyAlignment="1">
      <alignment horizontal="left"/>
    </xf>
    <xf numFmtId="1" fontId="6" fillId="7" borderId="0" xfId="0" applyNumberFormat="1" applyFont="1" applyFill="1" applyAlignment="1">
      <alignment horizontal="right"/>
    </xf>
    <xf numFmtId="2" fontId="0" fillId="8" borderId="0" xfId="0" applyNumberFormat="1" applyFill="1"/>
    <xf numFmtId="0" fontId="28" fillId="0" borderId="0" xfId="0" applyFont="1" applyAlignment="1">
      <alignment horizontal="center" vertical="center" wrapText="1"/>
    </xf>
    <xf numFmtId="0" fontId="6" fillId="3" borderId="0" xfId="0" applyFont="1" applyFill="1" applyAlignment="1"/>
    <xf numFmtId="0" fontId="18" fillId="3" borderId="2" xfId="0" applyNumberFormat="1" applyFont="1" applyFill="1" applyBorder="1" applyAlignment="1">
      <alignment horizontal="center" vertical="center" wrapText="1"/>
    </xf>
    <xf numFmtId="0" fontId="18" fillId="3" borderId="7" xfId="0" applyNumberFormat="1" applyFont="1" applyFill="1" applyBorder="1" applyAlignment="1"/>
    <xf numFmtId="0" fontId="18" fillId="3" borderId="9" xfId="0" applyNumberFormat="1" applyFont="1" applyFill="1" applyBorder="1" applyAlignment="1"/>
    <xf numFmtId="2" fontId="18" fillId="3" borderId="7" xfId="0" applyNumberFormat="1" applyFont="1" applyFill="1" applyBorder="1" applyAlignment="1"/>
    <xf numFmtId="2" fontId="18" fillId="3" borderId="0" xfId="0" applyNumberFormat="1" applyFont="1" applyFill="1" applyBorder="1" applyAlignment="1"/>
    <xf numFmtId="2" fontId="18" fillId="3" borderId="9" xfId="0" applyNumberFormat="1" applyFont="1" applyFill="1" applyBorder="1" applyAlignment="1"/>
    <xf numFmtId="1" fontId="18" fillId="3" borderId="9" xfId="0" applyNumberFormat="1" applyFont="1" applyFill="1" applyBorder="1" applyAlignment="1"/>
    <xf numFmtId="1" fontId="18" fillId="3" borderId="0" xfId="0" applyNumberFormat="1" applyFont="1" applyFill="1" applyBorder="1" applyAlignment="1"/>
    <xf numFmtId="0" fontId="18" fillId="3" borderId="9" xfId="0" applyNumberFormat="1" applyFont="1" applyFill="1" applyBorder="1" applyAlignment="1" applyProtection="1">
      <protection locked="0"/>
    </xf>
    <xf numFmtId="0" fontId="0" fillId="3" borderId="0" xfId="0" applyFill="1" applyBorder="1" applyProtection="1">
      <protection locked="0"/>
    </xf>
    <xf numFmtId="0" fontId="18" fillId="3" borderId="0" xfId="0" applyNumberFormat="1" applyFont="1" applyFill="1" applyBorder="1" applyAlignment="1" applyProtection="1">
      <protection locked="0"/>
    </xf>
    <xf numFmtId="0" fontId="18" fillId="3" borderId="7" xfId="0" applyNumberFormat="1" applyFont="1" applyFill="1" applyBorder="1" applyAlignment="1" applyProtection="1">
      <protection locked="0"/>
    </xf>
    <xf numFmtId="0" fontId="18" fillId="0" borderId="9" xfId="0" applyNumberFormat="1" applyFont="1" applyFill="1" applyBorder="1" applyAlignment="1"/>
    <xf numFmtId="165" fontId="18" fillId="3" borderId="7" xfId="0" applyNumberFormat="1" applyFont="1" applyFill="1" applyBorder="1" applyAlignment="1"/>
    <xf numFmtId="0" fontId="18" fillId="4" borderId="0" xfId="0" applyNumberFormat="1" applyFont="1" applyFill="1" applyBorder="1" applyAlignment="1"/>
    <xf numFmtId="2" fontId="18" fillId="4" borderId="3" xfId="0" applyNumberFormat="1" applyFont="1" applyFill="1" applyBorder="1" applyAlignment="1"/>
    <xf numFmtId="2" fontId="18" fillId="3" borderId="3" xfId="0" applyNumberFormat="1" applyFont="1" applyFill="1" applyBorder="1" applyAlignment="1"/>
    <xf numFmtId="0" fontId="18" fillId="4" borderId="3" xfId="0" applyNumberFormat="1" applyFont="1" applyFill="1" applyBorder="1" applyAlignment="1"/>
    <xf numFmtId="2" fontId="18" fillId="4" borderId="0" xfId="0" applyNumberFormat="1" applyFont="1" applyFill="1" applyBorder="1" applyAlignment="1"/>
    <xf numFmtId="0" fontId="18" fillId="3" borderId="1" xfId="0" applyNumberFormat="1" applyFont="1" applyFill="1" applyBorder="1" applyAlignment="1"/>
    <xf numFmtId="0" fontId="0" fillId="3" borderId="9" xfId="0" applyFill="1" applyBorder="1"/>
    <xf numFmtId="1" fontId="0" fillId="3" borderId="7" xfId="0" applyNumberFormat="1" applyFill="1" applyBorder="1"/>
    <xf numFmtId="0" fontId="0" fillId="9" borderId="0" xfId="0" applyFill="1" applyAlignment="1">
      <alignment wrapText="1"/>
    </xf>
    <xf numFmtId="0" fontId="8" fillId="3" borderId="0" xfId="0" applyFont="1" applyFill="1"/>
    <xf numFmtId="0" fontId="17" fillId="3" borderId="0" xfId="0" quotePrefix="1" applyNumberFormat="1" applyFont="1" applyFill="1" applyBorder="1" applyAlignment="1">
      <alignment horizontal="left"/>
    </xf>
    <xf numFmtId="166" fontId="9" fillId="5" borderId="0" xfId="0" applyNumberFormat="1" applyFont="1" applyFill="1" applyAlignment="1">
      <alignment wrapText="1"/>
    </xf>
    <xf numFmtId="0" fontId="7" fillId="0" borderId="0" xfId="0" applyFont="1" applyAlignment="1">
      <alignment horizontal="left"/>
    </xf>
    <xf numFmtId="0" fontId="6" fillId="3" borderId="0" xfId="0" applyFont="1" applyFill="1" applyAlignment="1">
      <alignment horizontal="left"/>
    </xf>
    <xf numFmtId="0" fontId="9" fillId="4" borderId="0" xfId="0" applyFont="1" applyFill="1"/>
    <xf numFmtId="166" fontId="0" fillId="4" borderId="0" xfId="0" applyNumberFormat="1" applyFill="1"/>
    <xf numFmtId="166" fontId="8" fillId="4" borderId="0" xfId="0" applyNumberFormat="1" applyFont="1" applyFill="1"/>
    <xf numFmtId="166" fontId="8" fillId="4" borderId="6" xfId="0" applyNumberFormat="1" applyFont="1" applyFill="1" applyBorder="1"/>
    <xf numFmtId="2" fontId="17" fillId="4" borderId="5" xfId="0" applyNumberFormat="1" applyFont="1" applyFill="1" applyBorder="1" applyAlignment="1">
      <alignment horizontal="right"/>
    </xf>
    <xf numFmtId="0" fontId="0" fillId="0" borderId="0" xfId="0" quotePrefix="1" applyAlignment="1">
      <alignment horizontal="left" wrapText="1"/>
    </xf>
    <xf numFmtId="9" fontId="20" fillId="0" borderId="0" xfId="5" applyFont="1" applyBorder="1"/>
    <xf numFmtId="0" fontId="6" fillId="7" borderId="0" xfId="0" applyFont="1" applyFill="1" applyBorder="1" applyAlignment="1">
      <alignment horizontal="left"/>
    </xf>
    <xf numFmtId="0" fontId="21" fillId="9" borderId="0" xfId="0" applyFont="1" applyFill="1" applyAlignment="1">
      <alignment horizontal="left"/>
    </xf>
    <xf numFmtId="2" fontId="9" fillId="5" borderId="0" xfId="0" applyNumberFormat="1" applyFont="1" applyFill="1"/>
    <xf numFmtId="0" fontId="23" fillId="3" borderId="1" xfId="0" applyNumberFormat="1" applyFont="1" applyFill="1" applyBorder="1" applyAlignment="1"/>
    <xf numFmtId="0" fontId="6" fillId="7" borderId="2" xfId="0" applyFont="1" applyFill="1" applyBorder="1" applyAlignment="1">
      <alignment horizontal="right"/>
    </xf>
    <xf numFmtId="0" fontId="32" fillId="11" borderId="0" xfId="0" applyFont="1" applyFill="1" applyAlignment="1">
      <alignment horizontal="left"/>
    </xf>
    <xf numFmtId="0" fontId="0" fillId="11" borderId="0" xfId="0" applyFill="1"/>
    <xf numFmtId="0" fontId="18" fillId="3" borderId="0" xfId="0" applyNumberFormat="1" applyFont="1" applyFill="1" applyBorder="1" applyAlignment="1">
      <alignment horizontal="center" vertical="center" wrapText="1"/>
    </xf>
    <xf numFmtId="0" fontId="8" fillId="12" borderId="10" xfId="0" applyFont="1" applyFill="1" applyBorder="1"/>
    <xf numFmtId="10" fontId="8" fillId="12" borderId="10" xfId="0" applyNumberFormat="1" applyFont="1" applyFill="1" applyBorder="1"/>
    <xf numFmtId="165" fontId="9" fillId="4" borderId="0" xfId="0" applyNumberFormat="1" applyFont="1" applyFill="1"/>
    <xf numFmtId="0" fontId="18" fillId="3" borderId="1" xfId="0" applyNumberFormat="1" applyFont="1" applyFill="1" applyBorder="1" applyAlignment="1">
      <alignment horizontal="center" vertical="center" wrapText="1"/>
    </xf>
    <xf numFmtId="1" fontId="18" fillId="3" borderId="3" xfId="0" quotePrefix="1" applyNumberFormat="1" applyFont="1" applyFill="1" applyBorder="1" applyAlignment="1">
      <alignment horizontal="left"/>
    </xf>
    <xf numFmtId="1" fontId="18" fillId="3" borderId="0" xfId="0" quotePrefix="1" applyNumberFormat="1" applyFont="1" applyFill="1" applyBorder="1" applyAlignment="1">
      <alignment horizontal="left"/>
    </xf>
    <xf numFmtId="0" fontId="0" fillId="12" borderId="10" xfId="0" applyFill="1" applyBorder="1"/>
    <xf numFmtId="2" fontId="0" fillId="12" borderId="10" xfId="0" applyNumberFormat="1" applyFill="1" applyBorder="1"/>
    <xf numFmtId="165" fontId="0" fillId="12" borderId="10" xfId="0" applyNumberFormat="1" applyFill="1" applyBorder="1"/>
    <xf numFmtId="0" fontId="6" fillId="12" borderId="10" xfId="0" applyFont="1" applyFill="1" applyBorder="1"/>
    <xf numFmtId="0" fontId="7" fillId="13" borderId="0" xfId="0" applyFont="1" applyFill="1"/>
    <xf numFmtId="0" fontId="0" fillId="13" borderId="0" xfId="0" applyFill="1"/>
    <xf numFmtId="0" fontId="8" fillId="13" borderId="0" xfId="0" applyFont="1" applyFill="1" applyAlignment="1"/>
    <xf numFmtId="0" fontId="9" fillId="13" borderId="0" xfId="0" applyFont="1" applyFill="1"/>
    <xf numFmtId="0" fontId="9" fillId="14" borderId="0" xfId="0" applyFont="1" applyFill="1"/>
    <xf numFmtId="0" fontId="0" fillId="13" borderId="0" xfId="0" quotePrefix="1" applyFill="1" applyAlignment="1">
      <alignment horizontal="left"/>
    </xf>
    <xf numFmtId="0" fontId="0" fillId="13" borderId="0" xfId="0" applyFill="1" applyAlignment="1">
      <alignment horizontal="right"/>
    </xf>
    <xf numFmtId="0" fontId="0" fillId="13" borderId="0" xfId="0" applyFill="1" applyAlignment="1">
      <alignment horizontal="right" wrapText="1"/>
    </xf>
    <xf numFmtId="0" fontId="0" fillId="13" borderId="0" xfId="0" quotePrefix="1" applyFill="1" applyAlignment="1">
      <alignment horizontal="right" wrapText="1"/>
    </xf>
    <xf numFmtId="0" fontId="0" fillId="13" borderId="0" xfId="0" applyFill="1" applyAlignment="1">
      <alignment horizontal="left" wrapText="1"/>
    </xf>
    <xf numFmtId="0" fontId="0" fillId="13" borderId="0" xfId="0" applyFill="1" applyAlignment="1"/>
    <xf numFmtId="9" fontId="16" fillId="13" borderId="0" xfId="5" applyFont="1" applyFill="1"/>
    <xf numFmtId="0" fontId="33" fillId="13" borderId="0" xfId="0" applyFont="1" applyFill="1"/>
    <xf numFmtId="0" fontId="33" fillId="13" borderId="0" xfId="0" applyNumberFormat="1" applyFont="1" applyFill="1" applyBorder="1" applyAlignment="1">
      <alignment horizontal="left"/>
    </xf>
    <xf numFmtId="0" fontId="33" fillId="0" borderId="0" xfId="0" applyFont="1"/>
    <xf numFmtId="0" fontId="34" fillId="0" borderId="0" xfId="0" applyFont="1" applyBorder="1" applyAlignment="1">
      <alignment horizontal="left"/>
    </xf>
    <xf numFmtId="0" fontId="33" fillId="3" borderId="0" xfId="0" applyNumberFormat="1" applyFont="1" applyFill="1" applyBorder="1" applyAlignment="1"/>
    <xf numFmtId="0" fontId="33" fillId="3" borderId="0" xfId="0" applyFont="1" applyFill="1" applyBorder="1" applyAlignment="1">
      <alignment wrapText="1"/>
    </xf>
    <xf numFmtId="0" fontId="33" fillId="3" borderId="7" xfId="0" applyNumberFormat="1" applyFont="1" applyFill="1" applyBorder="1" applyAlignment="1"/>
    <xf numFmtId="0" fontId="33" fillId="0" borderId="0" xfId="0" applyNumberFormat="1" applyFont="1" applyFill="1" applyBorder="1" applyAlignment="1"/>
    <xf numFmtId="0" fontId="34" fillId="0" borderId="0" xfId="0" applyNumberFormat="1" applyFont="1" applyFill="1" applyBorder="1" applyAlignment="1"/>
    <xf numFmtId="0" fontId="34" fillId="0" borderId="0" xfId="0" applyFont="1" applyFill="1"/>
    <xf numFmtId="0" fontId="34" fillId="0" borderId="0" xfId="0" applyFont="1"/>
    <xf numFmtId="2" fontId="33" fillId="0" borderId="0" xfId="0" applyNumberFormat="1" applyFont="1"/>
    <xf numFmtId="2" fontId="33" fillId="0" borderId="0" xfId="0" applyNumberFormat="1" applyFont="1" applyFill="1"/>
    <xf numFmtId="0" fontId="33" fillId="3" borderId="1" xfId="0" applyNumberFormat="1" applyFont="1" applyFill="1" applyBorder="1" applyAlignment="1"/>
    <xf numFmtId="0" fontId="8" fillId="3" borderId="2" xfId="0" applyFont="1" applyFill="1" applyBorder="1" applyAlignment="1">
      <alignment horizontal="left" vertical="center" wrapText="1"/>
    </xf>
    <xf numFmtId="0" fontId="8" fillId="3" borderId="11" xfId="0" applyFont="1" applyFill="1" applyBorder="1" applyAlignment="1">
      <alignment horizontal="right" vertical="center" wrapText="1"/>
    </xf>
    <xf numFmtId="2" fontId="33" fillId="0" borderId="7" xfId="0" applyNumberFormat="1" applyFont="1" applyFill="1" applyBorder="1" applyAlignment="1"/>
    <xf numFmtId="0" fontId="33" fillId="0" borderId="0" xfId="0" applyFont="1" applyAlignment="1"/>
    <xf numFmtId="0" fontId="6" fillId="13" borderId="2" xfId="0" applyFont="1" applyFill="1" applyBorder="1"/>
    <xf numFmtId="0" fontId="6" fillId="13" borderId="2" xfId="0" applyFont="1" applyFill="1" applyBorder="1" applyAlignment="1"/>
    <xf numFmtId="0" fontId="9" fillId="13" borderId="0" xfId="0" applyFont="1" applyFill="1" applyAlignment="1">
      <alignment wrapText="1"/>
    </xf>
    <xf numFmtId="0" fontId="9" fillId="13" borderId="12" xfId="0" applyFont="1" applyFill="1" applyBorder="1" applyAlignment="1"/>
    <xf numFmtId="0" fontId="9" fillId="13" borderId="0" xfId="0" applyFont="1" applyFill="1" applyAlignment="1"/>
    <xf numFmtId="0" fontId="6" fillId="13" borderId="0" xfId="0" applyFont="1" applyFill="1"/>
    <xf numFmtId="2" fontId="6" fillId="13" borderId="0" xfId="0" applyNumberFormat="1" applyFont="1" applyFill="1"/>
    <xf numFmtId="0" fontId="6" fillId="13" borderId="0" xfId="0" applyFont="1" applyFill="1" applyAlignment="1">
      <alignment horizontal="right"/>
    </xf>
    <xf numFmtId="1" fontId="6" fillId="13" borderId="0" xfId="0" applyNumberFormat="1" applyFont="1" applyFill="1" applyAlignment="1">
      <alignment horizontal="right"/>
    </xf>
    <xf numFmtId="0" fontId="17" fillId="3" borderId="9" xfId="0" applyNumberFormat="1" applyFont="1" applyFill="1" applyBorder="1" applyAlignment="1">
      <alignment horizontal="right"/>
    </xf>
    <xf numFmtId="0" fontId="17" fillId="3" borderId="1" xfId="0" applyNumberFormat="1" applyFont="1" applyFill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right" vertical="center" wrapText="1"/>
    </xf>
    <xf numFmtId="0" fontId="26" fillId="3" borderId="2" xfId="0" applyNumberFormat="1" applyFont="1" applyFill="1" applyBorder="1" applyAlignment="1"/>
    <xf numFmtId="0" fontId="26" fillId="3" borderId="2" xfId="0" applyNumberFormat="1" applyFont="1" applyFill="1" applyBorder="1" applyAlignment="1">
      <alignment horizontal="right"/>
    </xf>
    <xf numFmtId="0" fontId="6" fillId="3" borderId="9" xfId="0" applyFont="1" applyFill="1" applyBorder="1" applyAlignment="1">
      <alignment horizontal="right"/>
    </xf>
    <xf numFmtId="0" fontId="15" fillId="3" borderId="9" xfId="0" applyFont="1" applyFill="1" applyBorder="1"/>
    <xf numFmtId="0" fontId="8" fillId="3" borderId="13" xfId="0" applyFont="1" applyFill="1" applyBorder="1"/>
    <xf numFmtId="0" fontId="8" fillId="3" borderId="9" xfId="0" applyFont="1" applyFill="1" applyBorder="1"/>
    <xf numFmtId="0" fontId="9" fillId="3" borderId="0" xfId="0" applyFont="1" applyFill="1" applyBorder="1" applyAlignment="1">
      <alignment horizontal="right"/>
    </xf>
    <xf numFmtId="0" fontId="17" fillId="3" borderId="8" xfId="0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right" vertical="center" wrapText="1"/>
    </xf>
    <xf numFmtId="0" fontId="8" fillId="3" borderId="14" xfId="0" applyFont="1" applyFill="1" applyBorder="1" applyAlignment="1">
      <alignment horizontal="right" vertical="center" wrapText="1"/>
    </xf>
    <xf numFmtId="0" fontId="26" fillId="3" borderId="2" xfId="0" quotePrefix="1" applyNumberFormat="1" applyFont="1" applyFill="1" applyBorder="1" applyAlignment="1">
      <alignment horizontal="right"/>
    </xf>
    <xf numFmtId="165" fontId="0" fillId="15" borderId="0" xfId="0" applyNumberFormat="1" applyFill="1"/>
    <xf numFmtId="167" fontId="0" fillId="15" borderId="0" xfId="0" applyNumberFormat="1" applyFill="1"/>
    <xf numFmtId="166" fontId="0" fillId="13" borderId="0" xfId="0" applyNumberFormat="1" applyFill="1"/>
    <xf numFmtId="9" fontId="16" fillId="13" borderId="0" xfId="5" applyFont="1" applyFill="1" applyAlignment="1">
      <alignment horizontal="right"/>
    </xf>
    <xf numFmtId="0" fontId="9" fillId="13" borderId="15" xfId="0" applyFont="1" applyFill="1" applyBorder="1" applyAlignment="1"/>
    <xf numFmtId="165" fontId="0" fillId="13" borderId="10" xfId="0" applyNumberFormat="1" applyFill="1" applyBorder="1"/>
    <xf numFmtId="2" fontId="0" fillId="13" borderId="0" xfId="0" applyNumberFormat="1" applyFill="1"/>
    <xf numFmtId="1" fontId="6" fillId="7" borderId="0" xfId="0" applyNumberFormat="1" applyFont="1" applyFill="1"/>
    <xf numFmtId="0" fontId="0" fillId="7" borderId="0" xfId="0" quotePrefix="1" applyFill="1" applyAlignment="1">
      <alignment horizontal="left"/>
    </xf>
    <xf numFmtId="0" fontId="0" fillId="7" borderId="0" xfId="0" applyFill="1" applyBorder="1"/>
    <xf numFmtId="0" fontId="18" fillId="7" borderId="0" xfId="0" applyNumberFormat="1" applyFont="1" applyFill="1" applyBorder="1" applyAlignment="1">
      <alignment horizontal="left" vertical="center" wrapText="1"/>
    </xf>
    <xf numFmtId="0" fontId="0" fillId="7" borderId="3" xfId="0" applyFill="1" applyBorder="1"/>
    <xf numFmtId="0" fontId="0" fillId="7" borderId="0" xfId="0" applyFill="1" applyAlignment="1">
      <alignment horizontal="left"/>
    </xf>
    <xf numFmtId="0" fontId="0" fillId="12" borderId="7" xfId="0" applyFill="1" applyBorder="1"/>
    <xf numFmtId="0" fontId="31" fillId="3" borderId="0" xfId="0" applyNumberFormat="1" applyFont="1" applyFill="1" applyBorder="1" applyAlignment="1">
      <alignment horizontal="right"/>
    </xf>
    <xf numFmtId="0" fontId="31" fillId="3" borderId="0" xfId="0" applyNumberFormat="1" applyFont="1" applyFill="1" applyBorder="1" applyAlignment="1"/>
    <xf numFmtId="0" fontId="9" fillId="16" borderId="0" xfId="0" applyFont="1" applyFill="1"/>
    <xf numFmtId="0" fontId="9" fillId="5" borderId="0" xfId="0" applyFont="1" applyFill="1"/>
    <xf numFmtId="0" fontId="9" fillId="17" borderId="0" xfId="0" applyFont="1" applyFill="1"/>
    <xf numFmtId="0" fontId="34" fillId="0" borderId="0" xfId="0" applyNumberFormat="1" applyFont="1" applyFill="1" applyBorder="1" applyAlignment="1">
      <alignment horizontal="left"/>
    </xf>
    <xf numFmtId="0" fontId="13" fillId="9" borderId="0" xfId="0" applyFont="1" applyFill="1" applyBorder="1" applyAlignment="1">
      <alignment horizontal="left"/>
    </xf>
    <xf numFmtId="0" fontId="37" fillId="9" borderId="0" xfId="0" applyFont="1" applyFill="1" applyBorder="1" applyAlignment="1">
      <alignment horizontal="left"/>
    </xf>
    <xf numFmtId="0" fontId="13" fillId="9" borderId="0" xfId="0" applyFont="1" applyFill="1" applyBorder="1" applyAlignment="1">
      <alignment horizontal="right"/>
    </xf>
    <xf numFmtId="0" fontId="38" fillId="3" borderId="0" xfId="0" applyFont="1" applyFill="1"/>
    <xf numFmtId="165" fontId="0" fillId="6" borderId="0" xfId="0" applyNumberFormat="1" applyFill="1"/>
    <xf numFmtId="1" fontId="26" fillId="3" borderId="2" xfId="0" applyNumberFormat="1" applyFont="1" applyFill="1" applyBorder="1" applyAlignment="1">
      <alignment horizontal="right"/>
    </xf>
    <xf numFmtId="0" fontId="18" fillId="6" borderId="0" xfId="0" applyNumberFormat="1" applyFont="1" applyFill="1" applyBorder="1" applyAlignment="1"/>
    <xf numFmtId="166" fontId="18" fillId="6" borderId="0" xfId="0" applyNumberFormat="1" applyFont="1" applyFill="1" applyBorder="1" applyAlignment="1"/>
    <xf numFmtId="166" fontId="0" fillId="0" borderId="0" xfId="0" applyNumberFormat="1"/>
    <xf numFmtId="0" fontId="26" fillId="3" borderId="2" xfId="0" applyNumberFormat="1" applyFont="1" applyFill="1" applyBorder="1" applyAlignment="1">
      <alignment horizontal="left"/>
    </xf>
    <xf numFmtId="2" fontId="0" fillId="6" borderId="0" xfId="0" applyNumberFormat="1" applyFill="1"/>
    <xf numFmtId="0" fontId="0" fillId="6" borderId="16" xfId="0" applyFill="1" applyBorder="1"/>
    <xf numFmtId="2" fontId="9" fillId="6" borderId="0" xfId="0" applyNumberFormat="1" applyFont="1" applyFill="1"/>
    <xf numFmtId="2" fontId="0" fillId="6" borderId="0" xfId="0" applyNumberFormat="1" applyFill="1" applyBorder="1"/>
    <xf numFmtId="0" fontId="0" fillId="6" borderId="0" xfId="0" applyFill="1" applyBorder="1"/>
    <xf numFmtId="0" fontId="0" fillId="6" borderId="1" xfId="0" applyFill="1" applyBorder="1"/>
    <xf numFmtId="0" fontId="26" fillId="3" borderId="0" xfId="0" applyNumberFormat="1" applyFont="1" applyFill="1" applyBorder="1" applyAlignment="1"/>
    <xf numFmtId="168" fontId="26" fillId="6" borderId="16" xfId="5" applyNumberFormat="1" applyFont="1" applyFill="1" applyBorder="1" applyAlignment="1"/>
    <xf numFmtId="165" fontId="18" fillId="6" borderId="0" xfId="0" applyNumberFormat="1" applyFont="1" applyFill="1" applyBorder="1" applyAlignment="1"/>
    <xf numFmtId="165" fontId="18" fillId="6" borderId="16" xfId="0" applyNumberFormat="1" applyFont="1" applyFill="1" applyBorder="1" applyAlignment="1"/>
    <xf numFmtId="0" fontId="0" fillId="0" borderId="0" xfId="0" applyAlignment="1">
      <alignment horizontal="center"/>
    </xf>
    <xf numFmtId="166" fontId="18" fillId="6" borderId="16" xfId="0" applyNumberFormat="1" applyFont="1" applyFill="1" applyBorder="1" applyAlignment="1"/>
    <xf numFmtId="0" fontId="33" fillId="0" borderId="0" xfId="0" applyFont="1" applyFill="1" applyAlignment="1">
      <alignment horizontal="left"/>
    </xf>
    <xf numFmtId="166" fontId="0" fillId="6" borderId="16" xfId="0" applyNumberFormat="1" applyFill="1" applyBorder="1"/>
    <xf numFmtId="166" fontId="0" fillId="3" borderId="0" xfId="0" applyNumberFormat="1" applyFill="1" applyAlignment="1"/>
    <xf numFmtId="0" fontId="0" fillId="3" borderId="0" xfId="0" applyFill="1" applyAlignment="1"/>
    <xf numFmtId="166" fontId="0" fillId="0" borderId="0" xfId="0" applyNumberFormat="1" applyAlignment="1"/>
    <xf numFmtId="1" fontId="0" fillId="0" borderId="0" xfId="0" applyNumberFormat="1" applyAlignment="1"/>
    <xf numFmtId="0" fontId="9" fillId="3" borderId="0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18" fillId="3" borderId="7" xfId="0" applyNumberFormat="1" applyFont="1" applyFill="1" applyBorder="1" applyAlignment="1">
      <alignment horizontal="center"/>
    </xf>
    <xf numFmtId="0" fontId="18" fillId="4" borderId="2" xfId="0" applyNumberFormat="1" applyFont="1" applyFill="1" applyBorder="1" applyAlignment="1">
      <alignment horizontal="center" vertical="center" wrapText="1"/>
    </xf>
    <xf numFmtId="0" fontId="18" fillId="4" borderId="2" xfId="0" quotePrefix="1" applyNumberFormat="1" applyFont="1" applyFill="1" applyBorder="1" applyAlignment="1">
      <alignment horizontal="center" vertical="center" wrapText="1"/>
    </xf>
    <xf numFmtId="0" fontId="18" fillId="4" borderId="7" xfId="0" applyNumberFormat="1" applyFont="1" applyFill="1" applyBorder="1" applyAlignment="1"/>
    <xf numFmtId="1" fontId="0" fillId="12" borderId="10" xfId="0" applyNumberFormat="1" applyFill="1" applyBorder="1"/>
    <xf numFmtId="10" fontId="15" fillId="3" borderId="9" xfId="5" applyNumberFormat="1" applyFont="1" applyFill="1" applyBorder="1"/>
    <xf numFmtId="0" fontId="0" fillId="0" borderId="16" xfId="0" applyBorder="1"/>
    <xf numFmtId="1" fontId="26" fillId="3" borderId="2" xfId="0" applyNumberFormat="1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1" fontId="0" fillId="13" borderId="0" xfId="0" applyNumberFormat="1" applyFill="1"/>
    <xf numFmtId="0" fontId="0" fillId="6" borderId="0" xfId="0" applyFill="1" applyAlignment="1">
      <alignment horizontal="center"/>
    </xf>
    <xf numFmtId="11" fontId="0" fillId="6" borderId="0" xfId="0" applyNumberFormat="1" applyFill="1"/>
    <xf numFmtId="1" fontId="0" fillId="4" borderId="0" xfId="0" applyNumberFormat="1" applyFill="1"/>
    <xf numFmtId="0" fontId="0" fillId="3" borderId="10" xfId="0" applyFill="1" applyBorder="1"/>
    <xf numFmtId="2" fontId="0" fillId="3" borderId="5" xfId="0" applyNumberFormat="1" applyFill="1" applyBorder="1"/>
    <xf numFmtId="0" fontId="0" fillId="3" borderId="5" xfId="0" applyFill="1" applyBorder="1" applyAlignment="1">
      <alignment horizontal="center"/>
    </xf>
    <xf numFmtId="166" fontId="0" fillId="3" borderId="0" xfId="0" applyNumberFormat="1" applyFill="1" applyAlignment="1">
      <alignment wrapText="1"/>
    </xf>
    <xf numFmtId="0" fontId="18" fillId="7" borderId="17" xfId="0" applyNumberFormat="1" applyFont="1" applyFill="1" applyBorder="1" applyAlignment="1"/>
    <xf numFmtId="2" fontId="18" fillId="5" borderId="0" xfId="0" applyNumberFormat="1" applyFont="1" applyFill="1" applyBorder="1" applyAlignment="1"/>
    <xf numFmtId="0" fontId="0" fillId="3" borderId="9" xfId="0" applyFill="1" applyBorder="1" applyAlignment="1">
      <alignment wrapText="1"/>
    </xf>
    <xf numFmtId="166" fontId="0" fillId="3" borderId="9" xfId="0" applyNumberFormat="1" applyFill="1" applyBorder="1" applyAlignment="1">
      <alignment wrapText="1"/>
    </xf>
    <xf numFmtId="166" fontId="0" fillId="3" borderId="0" xfId="0" applyNumberFormat="1" applyFill="1" applyBorder="1" applyAlignment="1">
      <alignment wrapText="1"/>
    </xf>
    <xf numFmtId="2" fontId="0" fillId="3" borderId="0" xfId="0" applyNumberFormat="1" applyFill="1" applyBorder="1" applyAlignment="1">
      <alignment wrapText="1"/>
    </xf>
    <xf numFmtId="2" fontId="0" fillId="3" borderId="7" xfId="0" applyNumberFormat="1" applyFill="1" applyBorder="1" applyAlignment="1">
      <alignment wrapText="1"/>
    </xf>
    <xf numFmtId="166" fontId="0" fillId="3" borderId="7" xfId="0" applyNumberFormat="1" applyFill="1" applyBorder="1" applyAlignment="1">
      <alignment wrapText="1"/>
    </xf>
    <xf numFmtId="0" fontId="33" fillId="3" borderId="9" xfId="0" applyFont="1" applyFill="1" applyBorder="1" applyAlignment="1">
      <alignment wrapText="1"/>
    </xf>
    <xf numFmtId="2" fontId="0" fillId="3" borderId="0" xfId="0" applyNumberFormat="1" applyFill="1" applyAlignment="1">
      <alignment wrapText="1"/>
    </xf>
    <xf numFmtId="0" fontId="0" fillId="0" borderId="0" xfId="0" applyAlignment="1">
      <alignment horizontal="right"/>
    </xf>
    <xf numFmtId="0" fontId="9" fillId="3" borderId="2" xfId="0" applyFont="1" applyFill="1" applyBorder="1" applyAlignment="1">
      <alignment vertical="center" wrapText="1"/>
    </xf>
    <xf numFmtId="0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2" fontId="9" fillId="5" borderId="0" xfId="0" applyNumberFormat="1" applyFont="1" applyFill="1" applyAlignment="1">
      <alignment wrapText="1"/>
    </xf>
    <xf numFmtId="2" fontId="0" fillId="4" borderId="0" xfId="0" applyNumberFormat="1" applyFill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6" borderId="0" xfId="0" applyNumberFormat="1" applyFill="1"/>
    <xf numFmtId="166" fontId="0" fillId="5" borderId="9" xfId="0" applyNumberFormat="1" applyFill="1" applyBorder="1"/>
    <xf numFmtId="166" fontId="0" fillId="3" borderId="0" xfId="0" applyNumberFormat="1" applyFill="1"/>
    <xf numFmtId="0" fontId="9" fillId="3" borderId="2" xfId="0" applyFont="1" applyFill="1" applyBorder="1" applyAlignment="1">
      <alignment horizontal="center" wrapText="1"/>
    </xf>
    <xf numFmtId="2" fontId="0" fillId="4" borderId="18" xfId="0" applyNumberFormat="1" applyFill="1" applyBorder="1"/>
    <xf numFmtId="2" fontId="0" fillId="4" borderId="12" xfId="0" applyNumberFormat="1" applyFill="1" applyBorder="1"/>
    <xf numFmtId="2" fontId="0" fillId="4" borderId="19" xfId="0" applyNumberFormat="1" applyFill="1" applyBorder="1"/>
    <xf numFmtId="2" fontId="0" fillId="4" borderId="20" xfId="0" applyNumberFormat="1" applyFill="1" applyBorder="1"/>
    <xf numFmtId="2" fontId="0" fillId="4" borderId="21" xfId="0" applyNumberFormat="1" applyFill="1" applyBorder="1"/>
    <xf numFmtId="2" fontId="0" fillId="4" borderId="15" xfId="0" applyNumberFormat="1" applyFill="1" applyBorder="1"/>
    <xf numFmtId="2" fontId="0" fillId="4" borderId="22" xfId="0" applyNumberFormat="1" applyFill="1" applyBorder="1"/>
    <xf numFmtId="0" fontId="9" fillId="3" borderId="23" xfId="0" applyFont="1" applyFill="1" applyBorder="1" applyAlignment="1">
      <alignment horizontal="center" vertical="center" wrapText="1"/>
    </xf>
    <xf numFmtId="0" fontId="9" fillId="3" borderId="24" xfId="0" applyFont="1" applyFill="1" applyBorder="1" applyAlignment="1">
      <alignment horizontal="center" vertical="center" wrapText="1"/>
    </xf>
    <xf numFmtId="0" fontId="9" fillId="3" borderId="11" xfId="0" quotePrefix="1" applyFont="1" applyFill="1" applyBorder="1" applyAlignment="1">
      <alignment horizontal="center" vertical="center" wrapText="1"/>
    </xf>
    <xf numFmtId="1" fontId="17" fillId="0" borderId="0" xfId="0" applyNumberFormat="1" applyFont="1" applyFill="1" applyBorder="1" applyAlignment="1"/>
    <xf numFmtId="166" fontId="0" fillId="3" borderId="0" xfId="0" applyNumberFormat="1" applyFill="1" applyBorder="1"/>
    <xf numFmtId="166" fontId="0" fillId="4" borderId="9" xfId="0" applyNumberFormat="1" applyFill="1" applyBorder="1" applyAlignment="1">
      <alignment wrapText="1"/>
    </xf>
    <xf numFmtId="0" fontId="0" fillId="4" borderId="9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4" borderId="7" xfId="0" applyFill="1" applyBorder="1" applyAlignment="1">
      <alignment wrapText="1"/>
    </xf>
    <xf numFmtId="1" fontId="0" fillId="4" borderId="0" xfId="0" applyNumberFormat="1" applyFill="1" applyBorder="1"/>
    <xf numFmtId="0" fontId="6" fillId="3" borderId="2" xfId="0" applyFont="1" applyFill="1" applyBorder="1" applyAlignment="1">
      <alignment horizontal="left" wrapText="1"/>
    </xf>
    <xf numFmtId="165" fontId="9" fillId="3" borderId="0" xfId="0" applyNumberFormat="1" applyFont="1" applyFill="1" applyBorder="1" applyAlignment="1"/>
    <xf numFmtId="0" fontId="9" fillId="3" borderId="2" xfId="0" applyFont="1" applyFill="1" applyBorder="1" applyAlignment="1">
      <alignment horizontal="left" vertical="center" wrapText="1"/>
    </xf>
    <xf numFmtId="0" fontId="6" fillId="8" borderId="2" xfId="0" applyFont="1" applyFill="1" applyBorder="1" applyAlignment="1">
      <alignment horizontal="center" vertical="center" wrapText="1"/>
    </xf>
    <xf numFmtId="2" fontId="9" fillId="3" borderId="0" xfId="0" applyNumberFormat="1" applyFont="1" applyFill="1" applyBorder="1" applyAlignment="1"/>
    <xf numFmtId="0" fontId="8" fillId="12" borderId="2" xfId="0" applyFont="1" applyFill="1" applyBorder="1"/>
    <xf numFmtId="0" fontId="0" fillId="12" borderId="2" xfId="0" applyFill="1" applyBorder="1"/>
    <xf numFmtId="2" fontId="0" fillId="12" borderId="2" xfId="0" applyNumberFormat="1" applyFill="1" applyBorder="1"/>
    <xf numFmtId="166" fontId="0" fillId="12" borderId="2" xfId="0" applyNumberFormat="1" applyFill="1" applyBorder="1"/>
    <xf numFmtId="1" fontId="0" fillId="4" borderId="25" xfId="0" applyNumberFormat="1" applyFill="1" applyBorder="1" applyAlignment="1">
      <alignment horizontal="center"/>
    </xf>
    <xf numFmtId="1" fontId="0" fillId="4" borderId="5" xfId="0" applyNumberFormat="1" applyFill="1" applyBorder="1" applyAlignment="1">
      <alignment horizontal="center"/>
    </xf>
    <xf numFmtId="0" fontId="6" fillId="3" borderId="26" xfId="0" applyFont="1" applyFill="1" applyBorder="1"/>
    <xf numFmtId="0" fontId="6" fillId="3" borderId="10" xfId="0" applyFont="1" applyFill="1" applyBorder="1"/>
    <xf numFmtId="0" fontId="6" fillId="3" borderId="27" xfId="0" applyFont="1" applyFill="1" applyBorder="1"/>
    <xf numFmtId="0" fontId="0" fillId="8" borderId="0" xfId="0" applyFill="1"/>
    <xf numFmtId="2" fontId="0" fillId="5" borderId="16" xfId="0" applyNumberFormat="1" applyFill="1" applyBorder="1"/>
    <xf numFmtId="1" fontId="0" fillId="5" borderId="4" xfId="0" applyNumberFormat="1" applyFill="1" applyBorder="1"/>
    <xf numFmtId="2" fontId="0" fillId="5" borderId="6" xfId="0" applyNumberFormat="1" applyFill="1" applyBorder="1"/>
    <xf numFmtId="1" fontId="0" fillId="5" borderId="5" xfId="0" applyNumberFormat="1" applyFill="1" applyBorder="1"/>
    <xf numFmtId="1" fontId="0" fillId="6" borderId="4" xfId="0" applyNumberFormat="1" applyFill="1" applyBorder="1"/>
    <xf numFmtId="166" fontId="0" fillId="6" borderId="6" xfId="0" applyNumberFormat="1" applyFill="1" applyBorder="1"/>
    <xf numFmtId="166" fontId="0" fillId="6" borderId="2" xfId="0" applyNumberFormat="1" applyFill="1" applyBorder="1"/>
    <xf numFmtId="0" fontId="0" fillId="3" borderId="0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166" fontId="0" fillId="5" borderId="0" xfId="0" applyNumberFormat="1" applyFill="1" applyBorder="1" applyAlignment="1">
      <alignment horizontal="center"/>
    </xf>
    <xf numFmtId="0" fontId="9" fillId="3" borderId="0" xfId="0" applyFont="1" applyFill="1" applyBorder="1" applyAlignment="1">
      <alignment horizontal="right" vertical="center" wrapText="1"/>
    </xf>
    <xf numFmtId="0" fontId="9" fillId="3" borderId="0" xfId="0" applyFont="1" applyFill="1" applyBorder="1" applyAlignment="1">
      <alignment horizontal="left" vertical="center" wrapText="1"/>
    </xf>
    <xf numFmtId="2" fontId="9" fillId="3" borderId="0" xfId="0" applyNumberFormat="1" applyFont="1" applyFill="1" applyBorder="1" applyAlignment="1">
      <alignment horizontal="right" vertical="center" wrapText="1"/>
    </xf>
    <xf numFmtId="2" fontId="9" fillId="3" borderId="0" xfId="0" applyNumberFormat="1" applyFont="1" applyFill="1" applyBorder="1" applyAlignment="1">
      <alignment vertical="center" wrapText="1"/>
    </xf>
    <xf numFmtId="167" fontId="0" fillId="12" borderId="10" xfId="0" applyNumberFormat="1" applyFill="1" applyBorder="1"/>
    <xf numFmtId="9" fontId="17" fillId="3" borderId="9" xfId="0" applyNumberFormat="1" applyFont="1" applyFill="1" applyBorder="1" applyAlignment="1">
      <alignment horizontal="center"/>
    </xf>
    <xf numFmtId="2" fontId="8" fillId="12" borderId="10" xfId="0" applyNumberFormat="1" applyFont="1" applyFill="1" applyBorder="1"/>
    <xf numFmtId="0" fontId="26" fillId="3" borderId="2" xfId="0" applyNumberFormat="1" applyFont="1" applyFill="1" applyBorder="1" applyAlignment="1">
      <alignment horizontal="right" vertical="center" wrapText="1"/>
    </xf>
    <xf numFmtId="166" fontId="0" fillId="5" borderId="0" xfId="0" applyNumberFormat="1" applyFill="1" applyBorder="1"/>
    <xf numFmtId="0" fontId="9" fillId="3" borderId="11" xfId="0" applyFont="1" applyFill="1" applyBorder="1" applyAlignment="1">
      <alignment horizontal="center" vertical="center" wrapText="1"/>
    </xf>
    <xf numFmtId="2" fontId="0" fillId="12" borderId="16" xfId="0" applyNumberFormat="1" applyFill="1" applyBorder="1"/>
    <xf numFmtId="165" fontId="0" fillId="3" borderId="0" xfId="0" applyNumberFormat="1" applyFill="1" applyAlignment="1">
      <alignment wrapText="1"/>
    </xf>
    <xf numFmtId="0" fontId="18" fillId="3" borderId="0" xfId="0" applyNumberFormat="1" applyFont="1" applyFill="1" applyBorder="1" applyAlignment="1">
      <alignment horizontal="center"/>
    </xf>
    <xf numFmtId="1" fontId="18" fillId="6" borderId="0" xfId="0" applyNumberFormat="1" applyFont="1" applyFill="1" applyBorder="1" applyAlignment="1"/>
    <xf numFmtId="166" fontId="0" fillId="0" borderId="0" xfId="0" applyNumberFormat="1" applyAlignment="1">
      <alignment horizontal="center"/>
    </xf>
    <xf numFmtId="166" fontId="0" fillId="3" borderId="5" xfId="0" applyNumberFormat="1" applyFill="1" applyBorder="1" applyAlignment="1">
      <alignment horizontal="center" wrapText="1"/>
    </xf>
    <xf numFmtId="2" fontId="0" fillId="3" borderId="5" xfId="0" applyNumberFormat="1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166" fontId="0" fillId="3" borderId="4" xfId="0" applyNumberFormat="1" applyFill="1" applyBorder="1" applyAlignment="1">
      <alignment horizontal="center" wrapText="1"/>
    </xf>
    <xf numFmtId="2" fontId="0" fillId="3" borderId="6" xfId="0" applyNumberFormat="1" applyFill="1" applyBorder="1" applyAlignment="1">
      <alignment horizontal="center" wrapText="1"/>
    </xf>
    <xf numFmtId="166" fontId="17" fillId="8" borderId="0" xfId="0" applyNumberFormat="1" applyFont="1" applyFill="1" applyBorder="1" applyAlignment="1">
      <alignment horizontal="right"/>
    </xf>
    <xf numFmtId="0" fontId="0" fillId="4" borderId="0" xfId="0" applyFill="1" applyAlignment="1">
      <alignment horizontal="center"/>
    </xf>
    <xf numFmtId="166" fontId="0" fillId="4" borderId="0" xfId="0" applyNumberFormat="1" applyFill="1" applyBorder="1"/>
    <xf numFmtId="0" fontId="6" fillId="8" borderId="0" xfId="0" applyFont="1" applyFill="1" applyBorder="1" applyAlignment="1">
      <alignment horizontal="center" vertical="center" wrapText="1"/>
    </xf>
    <xf numFmtId="1" fontId="9" fillId="3" borderId="0" xfId="0" applyNumberFormat="1" applyFont="1" applyFill="1" applyBorder="1" applyAlignment="1">
      <alignment horizontal="left"/>
    </xf>
    <xf numFmtId="166" fontId="18" fillId="3" borderId="0" xfId="0" applyNumberFormat="1" applyFont="1" applyFill="1" applyBorder="1" applyAlignment="1"/>
    <xf numFmtId="2" fontId="9" fillId="3" borderId="0" xfId="0" applyNumberFormat="1" applyFont="1" applyFill="1" applyBorder="1" applyAlignment="1">
      <alignment horizontal="center" vertical="center" wrapText="1"/>
    </xf>
    <xf numFmtId="165" fontId="18" fillId="3" borderId="0" xfId="0" applyNumberFormat="1" applyFont="1" applyFill="1" applyBorder="1" applyAlignment="1"/>
    <xf numFmtId="0" fontId="0" fillId="3" borderId="5" xfId="0" applyFill="1" applyBorder="1"/>
    <xf numFmtId="0" fontId="18" fillId="3" borderId="6" xfId="0" applyNumberFormat="1" applyFont="1" applyFill="1" applyBorder="1" applyAlignment="1"/>
    <xf numFmtId="166" fontId="18" fillId="3" borderId="5" xfId="0" applyNumberFormat="1" applyFont="1" applyFill="1" applyBorder="1" applyAlignment="1"/>
    <xf numFmtId="0" fontId="18" fillId="3" borderId="5" xfId="0" applyNumberFormat="1" applyFont="1" applyFill="1" applyBorder="1" applyAlignment="1"/>
    <xf numFmtId="0" fontId="0" fillId="5" borderId="0" xfId="0" applyFill="1" applyBorder="1" applyAlignment="1">
      <alignment horizontal="center"/>
    </xf>
    <xf numFmtId="166" fontId="0" fillId="6" borderId="0" xfId="0" applyNumberFormat="1" applyFill="1" applyAlignment="1">
      <alignment horizontal="center"/>
    </xf>
    <xf numFmtId="0" fontId="3" fillId="2" borderId="10" xfId="2" applyFont="1" applyBorder="1"/>
    <xf numFmtId="166" fontId="6" fillId="18" borderId="10" xfId="0" applyNumberFormat="1" applyFont="1" applyFill="1" applyBorder="1" applyAlignment="1">
      <alignment horizontal="center"/>
    </xf>
    <xf numFmtId="2" fontId="35" fillId="0" borderId="0" xfId="0" applyNumberFormat="1" applyFont="1"/>
    <xf numFmtId="0" fontId="0" fillId="3" borderId="0" xfId="0" applyFill="1" applyAlignment="1">
      <alignment horizontal="center" wrapText="1"/>
    </xf>
    <xf numFmtId="1" fontId="0" fillId="4" borderId="0" xfId="0" applyNumberFormat="1" applyFill="1" applyAlignment="1">
      <alignment horizontal="center"/>
    </xf>
    <xf numFmtId="166" fontId="0" fillId="18" borderId="0" xfId="0" applyNumberFormat="1" applyFill="1"/>
    <xf numFmtId="0" fontId="0" fillId="18" borderId="0" xfId="0" applyFill="1"/>
    <xf numFmtId="1" fontId="8" fillId="4" borderId="4" xfId="0" applyNumberFormat="1" applyFont="1" applyFill="1" applyBorder="1" applyAlignment="1">
      <alignment horizontal="right"/>
    </xf>
    <xf numFmtId="1" fontId="8" fillId="4" borderId="5" xfId="0" applyNumberFormat="1" applyFont="1" applyFill="1" applyBorder="1" applyAlignment="1">
      <alignment horizontal="right"/>
    </xf>
    <xf numFmtId="1" fontId="8" fillId="4" borderId="6" xfId="0" applyNumberFormat="1" applyFont="1" applyFill="1" applyBorder="1" applyAlignment="1">
      <alignment horizontal="right"/>
    </xf>
    <xf numFmtId="165" fontId="0" fillId="7" borderId="0" xfId="0" applyNumberFormat="1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12" borderId="16" xfId="0" applyFill="1" applyBorder="1"/>
    <xf numFmtId="0" fontId="0" fillId="12" borderId="10" xfId="0" applyFill="1" applyBorder="1" applyAlignment="1">
      <alignment horizontal="center"/>
    </xf>
    <xf numFmtId="165" fontId="0" fillId="18" borderId="0" xfId="0" applyNumberFormat="1" applyFill="1"/>
    <xf numFmtId="2" fontId="0" fillId="18" borderId="0" xfId="0" applyNumberFormat="1" applyFill="1"/>
    <xf numFmtId="1" fontId="0" fillId="18" borderId="0" xfId="0" applyNumberFormat="1" applyFill="1"/>
    <xf numFmtId="1" fontId="0" fillId="3" borderId="0" xfId="0" applyNumberFormat="1" applyFill="1" applyBorder="1" applyAlignment="1">
      <alignment horizontal="center"/>
    </xf>
    <xf numFmtId="172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1" fillId="3" borderId="0" xfId="0" applyNumberFormat="1" applyFont="1" applyFill="1" applyBorder="1" applyAlignment="1"/>
    <xf numFmtId="0" fontId="1" fillId="3" borderId="7" xfId="0" applyNumberFormat="1" applyFont="1" applyFill="1" applyBorder="1" applyAlignment="1"/>
    <xf numFmtId="0" fontId="0" fillId="19" borderId="0" xfId="0" applyFill="1"/>
    <xf numFmtId="166" fontId="8" fillId="4" borderId="4" xfId="0" applyNumberFormat="1" applyFont="1" applyFill="1" applyBorder="1" applyAlignment="1">
      <alignment horizontal="right"/>
    </xf>
    <xf numFmtId="166" fontId="8" fillId="4" borderId="5" xfId="0" applyNumberFormat="1" applyFont="1" applyFill="1" applyBorder="1" applyAlignment="1">
      <alignment horizontal="right"/>
    </xf>
    <xf numFmtId="166" fontId="8" fillId="4" borderId="6" xfId="0" applyNumberFormat="1" applyFont="1" applyFill="1" applyBorder="1" applyAlignment="1">
      <alignment horizontal="right"/>
    </xf>
    <xf numFmtId="1" fontId="0" fillId="3" borderId="15" xfId="0" applyNumberFormat="1" applyFill="1" applyBorder="1"/>
    <xf numFmtId="0" fontId="0" fillId="3" borderId="15" xfId="0" applyFill="1" applyBorder="1"/>
    <xf numFmtId="166" fontId="0" fillId="3" borderId="15" xfId="0" applyNumberFormat="1" applyFill="1" applyBorder="1"/>
    <xf numFmtId="0" fontId="18" fillId="3" borderId="15" xfId="0" applyNumberFormat="1" applyFont="1" applyFill="1" applyBorder="1" applyAlignment="1"/>
    <xf numFmtId="2" fontId="26" fillId="8" borderId="0" xfId="0" applyNumberFormat="1" applyFont="1" applyFill="1" applyBorder="1" applyAlignment="1">
      <alignment horizontal="right"/>
    </xf>
    <xf numFmtId="0" fontId="0" fillId="3" borderId="0" xfId="0" applyFill="1" applyAlignment="1">
      <alignment horizontal="right"/>
    </xf>
    <xf numFmtId="166" fontId="1" fillId="3" borderId="7" xfId="0" applyNumberFormat="1" applyFont="1" applyFill="1" applyBorder="1" applyAlignment="1">
      <alignment horizontal="center"/>
    </xf>
    <xf numFmtId="0" fontId="0" fillId="3" borderId="0" xfId="0" applyFill="1" applyAlignment="1">
      <alignment horizontal="left"/>
    </xf>
    <xf numFmtId="0" fontId="27" fillId="3" borderId="0" xfId="0" applyFont="1" applyFill="1"/>
    <xf numFmtId="2" fontId="1" fillId="3" borderId="9" xfId="0" applyNumberFormat="1" applyFont="1" applyFill="1" applyBorder="1" applyAlignment="1"/>
    <xf numFmtId="2" fontId="1" fillId="3" borderId="0" xfId="0" applyNumberFormat="1" applyFont="1" applyFill="1" applyBorder="1" applyAlignment="1"/>
    <xf numFmtId="2" fontId="1" fillId="3" borderId="7" xfId="0" applyNumberFormat="1" applyFont="1" applyFill="1" applyBorder="1" applyAlignment="1"/>
    <xf numFmtId="0" fontId="1" fillId="3" borderId="9" xfId="0" applyNumberFormat="1" applyFont="1" applyFill="1" applyBorder="1" applyAlignment="1" applyProtection="1">
      <protection locked="0"/>
    </xf>
    <xf numFmtId="0" fontId="1" fillId="3" borderId="0" xfId="0" applyNumberFormat="1" applyFont="1" applyFill="1" applyBorder="1" applyAlignment="1" applyProtection="1">
      <protection locked="0"/>
    </xf>
    <xf numFmtId="0" fontId="1" fillId="3" borderId="7" xfId="0" applyNumberFormat="1" applyFont="1" applyFill="1" applyBorder="1" applyAlignment="1" applyProtection="1">
      <protection locked="0"/>
    </xf>
    <xf numFmtId="0" fontId="1" fillId="9" borderId="0" xfId="0" applyNumberFormat="1" applyFont="1" applyFill="1" applyBorder="1" applyAlignment="1"/>
    <xf numFmtId="0" fontId="1" fillId="3" borderId="1" xfId="0" applyNumberFormat="1" applyFont="1" applyFill="1" applyBorder="1" applyAlignment="1"/>
    <xf numFmtId="0" fontId="1" fillId="6" borderId="0" xfId="0" applyNumberFormat="1" applyFont="1" applyFill="1" applyBorder="1" applyAlignment="1"/>
    <xf numFmtId="165" fontId="1" fillId="6" borderId="0" xfId="0" applyNumberFormat="1" applyFont="1" applyFill="1" applyBorder="1" applyAlignment="1"/>
    <xf numFmtId="166" fontId="1" fillId="6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7" borderId="0" xfId="0" applyNumberFormat="1" applyFont="1" applyFill="1" applyBorder="1" applyAlignment="1"/>
    <xf numFmtId="1" fontId="1" fillId="6" borderId="0" xfId="0" applyNumberFormat="1" applyFont="1" applyFill="1" applyBorder="1" applyAlignment="1"/>
    <xf numFmtId="0" fontId="33" fillId="12" borderId="0" xfId="0" applyFont="1" applyFill="1"/>
    <xf numFmtId="0" fontId="0" fillId="12" borderId="0" xfId="0" applyFill="1"/>
    <xf numFmtId="0" fontId="0" fillId="3" borderId="28" xfId="0" applyFill="1" applyBorder="1"/>
    <xf numFmtId="0" fontId="21" fillId="9" borderId="0" xfId="0" applyFont="1" applyFill="1" applyBorder="1" applyAlignment="1">
      <alignment horizontal="right"/>
    </xf>
    <xf numFmtId="0" fontId="18" fillId="4" borderId="7" xfId="0" applyNumberFormat="1" applyFont="1" applyFill="1" applyBorder="1" applyAlignment="1">
      <alignment horizontal="center"/>
    </xf>
    <xf numFmtId="0" fontId="18" fillId="4" borderId="0" xfId="0" applyNumberFormat="1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12" borderId="10" xfId="0" applyFont="1" applyFill="1" applyBorder="1"/>
    <xf numFmtId="2" fontId="6" fillId="3" borderId="0" xfId="0" applyNumberFormat="1" applyFont="1" applyFill="1" applyAlignment="1">
      <alignment wrapText="1"/>
    </xf>
    <xf numFmtId="0" fontId="0" fillId="7" borderId="9" xfId="0" applyFill="1" applyBorder="1"/>
    <xf numFmtId="2" fontId="0" fillId="5" borderId="9" xfId="0" applyNumberFormat="1" applyFill="1" applyBorder="1"/>
    <xf numFmtId="0" fontId="0" fillId="12" borderId="9" xfId="0" applyFill="1" applyBorder="1"/>
    <xf numFmtId="165" fontId="0" fillId="12" borderId="9" xfId="0" applyNumberFormat="1" applyFill="1" applyBorder="1"/>
    <xf numFmtId="0" fontId="0" fillId="12" borderId="1" xfId="0" applyFill="1" applyBorder="1"/>
    <xf numFmtId="165" fontId="0" fillId="12" borderId="1" xfId="0" applyNumberFormat="1" applyFill="1" applyBorder="1"/>
    <xf numFmtId="2" fontId="0" fillId="12" borderId="9" xfId="0" applyNumberFormat="1" applyFill="1" applyBorder="1"/>
    <xf numFmtId="1" fontId="0" fillId="12" borderId="9" xfId="0" applyNumberFormat="1" applyFill="1" applyBorder="1"/>
    <xf numFmtId="0" fontId="0" fillId="3" borderId="10" xfId="0" applyFill="1" applyBorder="1" applyAlignment="1">
      <alignment horizontal="center"/>
    </xf>
    <xf numFmtId="0" fontId="0" fillId="3" borderId="0" xfId="0" quotePrefix="1" applyFill="1" applyBorder="1" applyAlignment="1">
      <alignment horizontal="left"/>
    </xf>
    <xf numFmtId="0" fontId="18" fillId="3" borderId="0" xfId="0" applyNumberFormat="1" applyFont="1" applyFill="1" applyBorder="1" applyAlignment="1">
      <alignment horizontal="left"/>
    </xf>
    <xf numFmtId="0" fontId="45" fillId="5" borderId="10" xfId="0" applyFont="1" applyFill="1" applyBorder="1"/>
    <xf numFmtId="0" fontId="46" fillId="5" borderId="10" xfId="0" applyFont="1" applyFill="1" applyBorder="1"/>
    <xf numFmtId="0" fontId="0" fillId="5" borderId="10" xfId="0" applyFill="1" applyBorder="1"/>
    <xf numFmtId="0" fontId="18" fillId="5" borderId="10" xfId="0" applyNumberFormat="1" applyFont="1" applyFill="1" applyBorder="1" applyAlignment="1"/>
    <xf numFmtId="0" fontId="28" fillId="12" borderId="10" xfId="0" applyFont="1" applyFill="1" applyBorder="1"/>
    <xf numFmtId="166" fontId="0" fillId="12" borderId="10" xfId="0" applyNumberFormat="1" applyFill="1" applyBorder="1"/>
    <xf numFmtId="166" fontId="0" fillId="6" borderId="0" xfId="0" applyNumberFormat="1" applyFill="1" applyAlignment="1">
      <alignment wrapText="1"/>
    </xf>
    <xf numFmtId="166" fontId="0" fillId="5" borderId="15" xfId="0" applyNumberForma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2" fontId="0" fillId="20" borderId="0" xfId="0" applyNumberFormat="1" applyFill="1"/>
    <xf numFmtId="0" fontId="6" fillId="3" borderId="2" xfId="0" applyFont="1" applyFill="1" applyBorder="1" applyAlignment="1">
      <alignment horizontal="center" vertical="center" wrapText="1"/>
    </xf>
    <xf numFmtId="2" fontId="9" fillId="20" borderId="0" xfId="0" applyNumberFormat="1" applyFont="1" applyFill="1" applyBorder="1" applyAlignment="1">
      <alignment horizontal="right" vertical="center" wrapText="1"/>
    </xf>
    <xf numFmtId="2" fontId="6" fillId="3" borderId="2" xfId="0" applyNumberFormat="1" applyFont="1" applyFill="1" applyBorder="1" applyAlignment="1">
      <alignment wrapText="1"/>
    </xf>
    <xf numFmtId="2" fontId="9" fillId="5" borderId="2" xfId="0" applyNumberFormat="1" applyFont="1" applyFill="1" applyBorder="1" applyAlignment="1">
      <alignment wrapText="1"/>
    </xf>
    <xf numFmtId="0" fontId="0" fillId="4" borderId="2" xfId="0" applyFill="1" applyBorder="1"/>
    <xf numFmtId="0" fontId="6" fillId="3" borderId="2" xfId="0" applyFont="1" applyFill="1" applyBorder="1" applyAlignment="1"/>
    <xf numFmtId="166" fontId="0" fillId="5" borderId="7" xfId="0" applyNumberFormat="1" applyFill="1" applyBorder="1"/>
    <xf numFmtId="0" fontId="0" fillId="3" borderId="7" xfId="0" applyFill="1" applyBorder="1" applyAlignment="1">
      <alignment horizontal="center" wrapText="1"/>
    </xf>
    <xf numFmtId="166" fontId="0" fillId="3" borderId="6" xfId="0" applyNumberFormat="1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6" fillId="3" borderId="2" xfId="0" applyFont="1" applyFill="1" applyBorder="1" applyAlignment="1">
      <alignment horizontal="right"/>
    </xf>
    <xf numFmtId="0" fontId="9" fillId="12" borderId="29" xfId="0" applyFont="1" applyFill="1" applyBorder="1"/>
    <xf numFmtId="0" fontId="0" fillId="12" borderId="29" xfId="0" applyFill="1" applyBorder="1"/>
    <xf numFmtId="165" fontId="0" fillId="12" borderId="29" xfId="0" applyNumberFormat="1" applyFill="1" applyBorder="1"/>
    <xf numFmtId="0" fontId="0" fillId="3" borderId="7" xfId="0" applyFill="1" applyBorder="1" applyAlignment="1"/>
    <xf numFmtId="0" fontId="0" fillId="3" borderId="0" xfId="0" applyFill="1" applyBorder="1" applyAlignment="1"/>
    <xf numFmtId="0" fontId="18" fillId="4" borderId="3" xfId="0" applyNumberFormat="1" applyFon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" fontId="18" fillId="3" borderId="3" xfId="0" applyNumberFormat="1" applyFont="1" applyFill="1" applyBorder="1" applyAlignment="1">
      <alignment horizontal="center"/>
    </xf>
    <xf numFmtId="1" fontId="18" fillId="3" borderId="0" xfId="0" applyNumberFormat="1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18" fillId="3" borderId="3" xfId="0" applyNumberFormat="1" applyFont="1" applyFill="1" applyBorder="1" applyAlignment="1">
      <alignment horizontal="center"/>
    </xf>
    <xf numFmtId="0" fontId="18" fillId="3" borderId="0" xfId="0" applyNumberFormat="1" applyFont="1" applyFill="1" applyBorder="1" applyAlignment="1" applyProtection="1">
      <alignment horizontal="center"/>
      <protection locked="0"/>
    </xf>
    <xf numFmtId="1" fontId="0" fillId="3" borderId="0" xfId="0" applyNumberFormat="1" applyFill="1" applyAlignment="1">
      <alignment horizontal="center"/>
    </xf>
    <xf numFmtId="0" fontId="0" fillId="3" borderId="0" xfId="0" applyFill="1" applyAlignment="1" applyProtection="1">
      <alignment horizontal="center"/>
      <protection locked="0"/>
    </xf>
    <xf numFmtId="0" fontId="0" fillId="3" borderId="7" xfId="0" applyFill="1" applyBorder="1" applyAlignment="1" applyProtection="1">
      <alignment horizontal="center"/>
      <protection locked="0"/>
    </xf>
    <xf numFmtId="0" fontId="0" fillId="3" borderId="3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12" borderId="2" xfId="0" applyFill="1" applyBorder="1" applyAlignment="1"/>
    <xf numFmtId="0" fontId="7" fillId="0" borderId="0" xfId="0" applyFont="1" applyAlignment="1"/>
    <xf numFmtId="0" fontId="13" fillId="9" borderId="0" xfId="0" applyFont="1" applyFill="1" applyAlignment="1"/>
    <xf numFmtId="0" fontId="0" fillId="12" borderId="10" xfId="0" applyFill="1" applyBorder="1" applyAlignment="1"/>
    <xf numFmtId="2" fontId="13" fillId="9" borderId="0" xfId="0" applyNumberFormat="1" applyFont="1" applyFill="1" applyAlignment="1"/>
    <xf numFmtId="0" fontId="21" fillId="9" borderId="0" xfId="0" applyFont="1" applyFill="1" applyBorder="1" applyAlignment="1"/>
    <xf numFmtId="0" fontId="44" fillId="18" borderId="0" xfId="0" applyFont="1" applyFill="1"/>
    <xf numFmtId="2" fontId="0" fillId="3" borderId="1" xfId="0" applyNumberFormat="1" applyFill="1" applyBorder="1"/>
    <xf numFmtId="165" fontId="0" fillId="3" borderId="0" xfId="0" applyNumberFormat="1" applyFill="1"/>
    <xf numFmtId="165" fontId="0" fillId="3" borderId="0" xfId="0" applyNumberFormat="1" applyFill="1" applyBorder="1"/>
    <xf numFmtId="2" fontId="0" fillId="3" borderId="0" xfId="0" applyNumberFormat="1" applyFill="1" applyBorder="1"/>
    <xf numFmtId="165" fontId="0" fillId="3" borderId="1" xfId="0" applyNumberFormat="1" applyFill="1" applyBorder="1"/>
    <xf numFmtId="2" fontId="0" fillId="4" borderId="0" xfId="0" applyNumberFormat="1" applyFill="1" applyAlignment="1">
      <alignment horizontal="right"/>
    </xf>
    <xf numFmtId="0" fontId="0" fillId="12" borderId="0" xfId="0" applyFill="1" applyBorder="1"/>
    <xf numFmtId="0" fontId="8" fillId="12" borderId="10" xfId="0" applyFont="1" applyFill="1" applyBorder="1" applyAlignment="1">
      <alignment horizontal="center"/>
    </xf>
    <xf numFmtId="0" fontId="38" fillId="12" borderId="0" xfId="0" applyFont="1" applyFill="1"/>
    <xf numFmtId="0" fontId="6" fillId="12" borderId="0" xfId="0" applyFont="1" applyFill="1" applyAlignment="1">
      <alignment horizontal="center"/>
    </xf>
    <xf numFmtId="0" fontId="6" fillId="7" borderId="10" xfId="0" applyFont="1" applyFill="1" applyBorder="1"/>
    <xf numFmtId="0" fontId="6" fillId="7" borderId="10" xfId="0" applyFont="1" applyFill="1" applyBorder="1" applyAlignment="1">
      <alignment horizontal="center"/>
    </xf>
    <xf numFmtId="0" fontId="27" fillId="3" borderId="11" xfId="0" applyFont="1" applyFill="1" applyBorder="1" applyAlignment="1">
      <alignment horizontal="left" vertical="center" wrapText="1"/>
    </xf>
    <xf numFmtId="1" fontId="27" fillId="3" borderId="4" xfId="0" applyNumberFormat="1" applyFont="1" applyFill="1" applyBorder="1" applyAlignment="1">
      <alignment horizontal="left" vertical="center" wrapText="1"/>
    </xf>
    <xf numFmtId="1" fontId="27" fillId="3" borderId="12" xfId="0" applyNumberFormat="1" applyFont="1" applyFill="1" applyBorder="1" applyAlignment="1">
      <alignment horizontal="left" vertical="center" wrapText="1"/>
    </xf>
    <xf numFmtId="1" fontId="27" fillId="3" borderId="5" xfId="0" applyNumberFormat="1" applyFont="1" applyFill="1" applyBorder="1" applyAlignment="1">
      <alignment horizontal="left" vertical="center" wrapText="1"/>
    </xf>
    <xf numFmtId="1" fontId="27" fillId="3" borderId="6" xfId="0" applyNumberFormat="1" applyFont="1" applyFill="1" applyBorder="1" applyAlignment="1">
      <alignment horizontal="left" vertical="center" wrapText="1"/>
    </xf>
    <xf numFmtId="0" fontId="27" fillId="3" borderId="4" xfId="0" applyFont="1" applyFill="1" applyBorder="1" applyAlignment="1">
      <alignment horizontal="left" vertical="center" wrapText="1"/>
    </xf>
    <xf numFmtId="0" fontId="27" fillId="3" borderId="5" xfId="0" applyFont="1" applyFill="1" applyBorder="1" applyAlignment="1">
      <alignment horizontal="left" vertical="center" wrapText="1"/>
    </xf>
    <xf numFmtId="0" fontId="27" fillId="3" borderId="6" xfId="0" applyFont="1" applyFill="1" applyBorder="1" applyAlignment="1">
      <alignment horizontal="left" vertical="center" wrapText="1"/>
    </xf>
    <xf numFmtId="0" fontId="0" fillId="12" borderId="0" xfId="0" applyFill="1" applyAlignment="1">
      <alignment horizontal="center"/>
    </xf>
    <xf numFmtId="2" fontId="19" fillId="3" borderId="3" xfId="0" applyNumberFormat="1" applyFont="1" applyFill="1" applyBorder="1" applyAlignment="1">
      <alignment wrapText="1"/>
    </xf>
    <xf numFmtId="0" fontId="6" fillId="12" borderId="0" xfId="0" applyFont="1" applyFill="1" applyAlignment="1">
      <alignment horizontal="right"/>
    </xf>
    <xf numFmtId="0" fontId="9" fillId="12" borderId="0" xfId="0" applyFont="1" applyFill="1" applyAlignment="1">
      <alignment horizontal="center"/>
    </xf>
    <xf numFmtId="0" fontId="0" fillId="3" borderId="12" xfId="0" applyFill="1" applyBorder="1" applyAlignment="1">
      <alignment horizontal="center"/>
    </xf>
    <xf numFmtId="0" fontId="6" fillId="3" borderId="23" xfId="0" applyFont="1" applyFill="1" applyBorder="1" applyAlignment="1">
      <alignment horizontal="center" wrapText="1"/>
    </xf>
    <xf numFmtId="2" fontId="33" fillId="0" borderId="0" xfId="0" applyNumberFormat="1" applyFont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12" borderId="0" xfId="0" applyFont="1" applyFill="1" applyAlignment="1">
      <alignment horizontal="centerContinuous" wrapText="1"/>
    </xf>
    <xf numFmtId="2" fontId="33" fillId="0" borderId="0" xfId="0" applyNumberFormat="1" applyFont="1" applyAlignment="1">
      <alignment horizontal="right"/>
    </xf>
    <xf numFmtId="0" fontId="6" fillId="21" borderId="2" xfId="0" applyFont="1" applyFill="1" applyBorder="1" applyAlignment="1">
      <alignment horizontal="center" wrapText="1"/>
    </xf>
    <xf numFmtId="0" fontId="0" fillId="21" borderId="0" xfId="0" applyFill="1"/>
    <xf numFmtId="0" fontId="0" fillId="21" borderId="0" xfId="0" applyFill="1" applyAlignment="1">
      <alignment horizontal="center"/>
    </xf>
    <xf numFmtId="0" fontId="3" fillId="21" borderId="10" xfId="2" applyFont="1" applyFill="1" applyBorder="1"/>
    <xf numFmtId="0" fontId="47" fillId="3" borderId="0" xfId="0" applyFont="1" applyFill="1"/>
    <xf numFmtId="0" fontId="18" fillId="3" borderId="7" xfId="0" applyNumberFormat="1" applyFont="1" applyFill="1" applyBorder="1" applyAlignment="1" applyProtection="1">
      <alignment horizontal="center"/>
      <protection locked="0"/>
    </xf>
    <xf numFmtId="0" fontId="18" fillId="3" borderId="9" xfId="0" applyNumberFormat="1" applyFont="1" applyFill="1" applyBorder="1" applyAlignment="1" applyProtection="1">
      <alignment horizontal="center"/>
      <protection locked="0"/>
    </xf>
    <xf numFmtId="166" fontId="18" fillId="3" borderId="0" xfId="0" applyNumberFormat="1" applyFont="1" applyFill="1" applyBorder="1" applyAlignment="1">
      <alignment horizontal="center"/>
    </xf>
    <xf numFmtId="2" fontId="0" fillId="22" borderId="16" xfId="0" applyNumberFormat="1" applyFill="1" applyBorder="1" applyAlignment="1">
      <alignment horizontal="center"/>
    </xf>
    <xf numFmtId="2" fontId="0" fillId="12" borderId="29" xfId="0" applyNumberFormat="1" applyFill="1" applyBorder="1"/>
    <xf numFmtId="166" fontId="0" fillId="12" borderId="29" xfId="0" applyNumberFormat="1" applyFill="1" applyBorder="1"/>
    <xf numFmtId="165" fontId="0" fillId="3" borderId="30" xfId="0" applyNumberFormat="1" applyFill="1" applyBorder="1"/>
    <xf numFmtId="165" fontId="0" fillId="3" borderId="9" xfId="0" applyNumberFormat="1" applyFill="1" applyBorder="1"/>
    <xf numFmtId="165" fontId="0" fillId="3" borderId="31" xfId="0" applyNumberFormat="1" applyFill="1" applyBorder="1"/>
    <xf numFmtId="165" fontId="0" fillId="3" borderId="15" xfId="0" applyNumberFormat="1" applyFill="1" applyBorder="1"/>
    <xf numFmtId="165" fontId="0" fillId="3" borderId="12" xfId="0" applyNumberFormat="1" applyFill="1" applyBorder="1"/>
    <xf numFmtId="165" fontId="0" fillId="3" borderId="10" xfId="0" applyNumberFormat="1" applyFill="1" applyBorder="1"/>
    <xf numFmtId="1" fontId="0" fillId="3" borderId="10" xfId="0" applyNumberFormat="1" applyFill="1" applyBorder="1" applyAlignment="1">
      <alignment horizontal="center"/>
    </xf>
    <xf numFmtId="0" fontId="8" fillId="3" borderId="24" xfId="0" applyFont="1" applyFill="1" applyBorder="1" applyAlignment="1">
      <alignment horizontal="center" vertical="center" wrapText="1"/>
    </xf>
    <xf numFmtId="0" fontId="8" fillId="12" borderId="26" xfId="0" applyFont="1" applyFill="1" applyBorder="1"/>
    <xf numFmtId="0" fontId="0" fillId="18" borderId="15" xfId="0" applyFill="1" applyBorder="1"/>
    <xf numFmtId="0" fontId="9" fillId="18" borderId="15" xfId="0" applyFont="1" applyFill="1" applyBorder="1"/>
    <xf numFmtId="0" fontId="0" fillId="18" borderId="26" xfId="0" applyFill="1" applyBorder="1"/>
    <xf numFmtId="0" fontId="48" fillId="18" borderId="24" xfId="0" applyNumberFormat="1" applyFont="1" applyFill="1" applyBorder="1" applyAlignment="1"/>
    <xf numFmtId="2" fontId="0" fillId="12" borderId="0" xfId="0" applyNumberFormat="1" applyFill="1"/>
    <xf numFmtId="0" fontId="6" fillId="7" borderId="10" xfId="0" applyFont="1" applyFill="1" applyBorder="1" applyAlignment="1">
      <alignment horizontal="left"/>
    </xf>
    <xf numFmtId="166" fontId="0" fillId="3" borderId="10" xfId="0" applyNumberFormat="1" applyFill="1" applyBorder="1" applyAlignment="1"/>
    <xf numFmtId="1" fontId="0" fillId="3" borderId="10" xfId="0" applyNumberFormat="1" applyFill="1" applyBorder="1" applyAlignment="1"/>
    <xf numFmtId="166" fontId="1" fillId="6" borderId="6" xfId="0" applyNumberFormat="1" applyFont="1" applyFill="1" applyBorder="1" applyAlignment="1"/>
    <xf numFmtId="2" fontId="0" fillId="3" borderId="10" xfId="0" applyNumberFormat="1" applyFill="1" applyBorder="1"/>
    <xf numFmtId="2" fontId="0" fillId="3" borderId="27" xfId="0" applyNumberFormat="1" applyFill="1" applyBorder="1"/>
    <xf numFmtId="165" fontId="1" fillId="3" borderId="16" xfId="0" applyNumberFormat="1" applyFont="1" applyFill="1" applyBorder="1" applyAlignment="1"/>
    <xf numFmtId="172" fontId="0" fillId="4" borderId="0" xfId="0" applyNumberFormat="1" applyFill="1"/>
    <xf numFmtId="166" fontId="0" fillId="3" borderId="10" xfId="0" applyNumberFormat="1" applyFill="1" applyBorder="1" applyAlignment="1">
      <alignment horizontal="center"/>
    </xf>
    <xf numFmtId="166" fontId="0" fillId="3" borderId="26" xfId="0" applyNumberFormat="1" applyFill="1" applyBorder="1" applyAlignment="1">
      <alignment horizontal="center"/>
    </xf>
    <xf numFmtId="166" fontId="0" fillId="3" borderId="0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12" borderId="0" xfId="0" applyNumberFormat="1" applyFill="1" applyAlignment="1">
      <alignment horizontal="center"/>
    </xf>
    <xf numFmtId="0" fontId="0" fillId="3" borderId="1" xfId="0" applyFill="1" applyBorder="1" applyAlignment="1"/>
    <xf numFmtId="165" fontId="0" fillId="3" borderId="28" xfId="0" quotePrefix="1" applyNumberFormat="1" applyFill="1" applyBorder="1"/>
    <xf numFmtId="165" fontId="0" fillId="3" borderId="28" xfId="0" applyNumberFormat="1" applyFill="1" applyBorder="1"/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30" xfId="0" applyBorder="1" applyAlignment="1" applyProtection="1">
      <alignment horizontal="center"/>
      <protection hidden="1"/>
    </xf>
    <xf numFmtId="0" fontId="0" fillId="0" borderId="30" xfId="0" applyBorder="1" applyProtection="1">
      <protection hidden="1"/>
    </xf>
    <xf numFmtId="0" fontId="0" fillId="0" borderId="31" xfId="0" applyBorder="1" applyProtection="1">
      <protection hidden="1"/>
    </xf>
    <xf numFmtId="0" fontId="0" fillId="0" borderId="16" xfId="0" applyBorder="1" applyProtection="1">
      <protection hidden="1"/>
    </xf>
    <xf numFmtId="0" fontId="0" fillId="3" borderId="16" xfId="0" applyFill="1" applyBorder="1" applyProtection="1">
      <protection hidden="1"/>
    </xf>
    <xf numFmtId="0" fontId="6" fillId="7" borderId="0" xfId="0" applyFont="1" applyFill="1" applyProtection="1">
      <protection hidden="1"/>
    </xf>
    <xf numFmtId="0" fontId="6" fillId="7" borderId="0" xfId="0" applyFont="1" applyFill="1" applyAlignment="1" applyProtection="1">
      <alignment horizontal="center"/>
      <protection hidden="1"/>
    </xf>
    <xf numFmtId="0" fontId="0" fillId="0" borderId="15" xfId="0" applyBorder="1" applyAlignment="1" applyProtection="1">
      <alignment horizontal="center"/>
      <protection hidden="1"/>
    </xf>
    <xf numFmtId="0" fontId="0" fillId="0" borderId="15" xfId="0" applyBorder="1" applyProtection="1">
      <protection hidden="1"/>
    </xf>
    <xf numFmtId="0" fontId="0" fillId="0" borderId="12" xfId="0" applyBorder="1" applyProtection="1">
      <protection hidden="1"/>
    </xf>
    <xf numFmtId="0" fontId="0" fillId="0" borderId="28" xfId="0" applyBorder="1" applyAlignment="1" applyProtection="1">
      <alignment horizontal="center"/>
      <protection hidden="1"/>
    </xf>
    <xf numFmtId="0" fontId="0" fillId="0" borderId="28" xfId="0" applyBorder="1" applyProtection="1">
      <protection hidden="1"/>
    </xf>
    <xf numFmtId="0" fontId="0" fillId="0" borderId="32" xfId="0" applyBorder="1" applyProtection="1">
      <protection hidden="1"/>
    </xf>
    <xf numFmtId="0" fontId="21" fillId="9" borderId="0" xfId="0" applyFont="1" applyFill="1" applyAlignment="1" applyProtection="1">
      <alignment horizontal="left"/>
      <protection hidden="1"/>
    </xf>
    <xf numFmtId="0" fontId="41" fillId="9" borderId="0" xfId="0" quotePrefix="1" applyFont="1" applyFill="1" applyAlignment="1" applyProtection="1">
      <alignment horizontal="left"/>
      <protection hidden="1"/>
    </xf>
    <xf numFmtId="0" fontId="0" fillId="0" borderId="0" xfId="0" applyBorder="1" applyProtection="1">
      <protection hidden="1"/>
    </xf>
    <xf numFmtId="0" fontId="0" fillId="0" borderId="4" xfId="0" applyBorder="1" applyProtection="1">
      <protection hidden="1"/>
    </xf>
    <xf numFmtId="166" fontId="0" fillId="0" borderId="0" xfId="0" applyNumberFormat="1" applyBorder="1" applyAlignment="1" applyProtection="1">
      <alignment horizontal="center"/>
      <protection hidden="1"/>
    </xf>
    <xf numFmtId="166" fontId="0" fillId="0" borderId="30" xfId="0" applyNumberFormat="1" applyBorder="1" applyProtection="1">
      <protection hidden="1"/>
    </xf>
    <xf numFmtId="0" fontId="0" fillId="0" borderId="9" xfId="0" applyBorder="1" applyProtection="1">
      <protection hidden="1"/>
    </xf>
    <xf numFmtId="166" fontId="0" fillId="0" borderId="9" xfId="0" applyNumberFormat="1" applyBorder="1" applyProtection="1">
      <protection hidden="1"/>
    </xf>
    <xf numFmtId="2" fontId="0" fillId="0" borderId="9" xfId="0" applyNumberFormat="1" applyBorder="1" applyProtection="1">
      <protection hidden="1"/>
    </xf>
    <xf numFmtId="2" fontId="0" fillId="3" borderId="4" xfId="0" applyNumberFormat="1" applyFill="1" applyBorder="1" applyAlignment="1" applyProtection="1">
      <alignment horizontal="center"/>
      <protection hidden="1"/>
    </xf>
    <xf numFmtId="0" fontId="0" fillId="0" borderId="5" xfId="0" applyBorder="1" applyProtection="1">
      <protection hidden="1"/>
    </xf>
    <xf numFmtId="166" fontId="0" fillId="0" borderId="15" xfId="0" applyNumberFormat="1" applyBorder="1" applyProtection="1">
      <protection hidden="1"/>
    </xf>
    <xf numFmtId="166" fontId="0" fillId="0" borderId="0" xfId="0" applyNumberFormat="1" applyBorder="1" applyProtection="1">
      <protection hidden="1"/>
    </xf>
    <xf numFmtId="2" fontId="0" fillId="0" borderId="0" xfId="0" applyNumberFormat="1" applyBorder="1" applyProtection="1">
      <protection hidden="1"/>
    </xf>
    <xf numFmtId="2" fontId="0" fillId="3" borderId="5" xfId="0" applyNumberFormat="1" applyFill="1" applyBorder="1" applyAlignment="1" applyProtection="1">
      <alignment horizontal="center"/>
      <protection hidden="1"/>
    </xf>
    <xf numFmtId="0" fontId="0" fillId="0" borderId="6" xfId="0" applyBorder="1" applyProtection="1">
      <protection hidden="1"/>
    </xf>
    <xf numFmtId="166" fontId="0" fillId="0" borderId="7" xfId="0" applyNumberFormat="1" applyBorder="1" applyAlignment="1" applyProtection="1">
      <alignment horizontal="center"/>
      <protection hidden="1"/>
    </xf>
    <xf numFmtId="166" fontId="0" fillId="0" borderId="28" xfId="0" applyNumberFormat="1" applyBorder="1" applyProtection="1">
      <protection hidden="1"/>
    </xf>
    <xf numFmtId="0" fontId="0" fillId="0" borderId="7" xfId="0" applyBorder="1" applyProtection="1">
      <protection hidden="1"/>
    </xf>
    <xf numFmtId="166" fontId="0" fillId="0" borderId="7" xfId="0" applyNumberFormat="1" applyBorder="1" applyProtection="1">
      <protection hidden="1"/>
    </xf>
    <xf numFmtId="2" fontId="0" fillId="0" borderId="7" xfId="0" applyNumberFormat="1" applyBorder="1" applyProtection="1">
      <protection hidden="1"/>
    </xf>
    <xf numFmtId="0" fontId="0" fillId="3" borderId="6" xfId="0" applyFill="1" applyBorder="1" applyAlignment="1" applyProtection="1">
      <alignment horizontal="center"/>
      <protection hidden="1"/>
    </xf>
    <xf numFmtId="49" fontId="0" fillId="0" borderId="0" xfId="0" applyNumberFormat="1" applyFill="1" applyBorder="1" applyProtection="1">
      <protection hidden="1"/>
    </xf>
    <xf numFmtId="166" fontId="0" fillId="0" borderId="0" xfId="0" applyNumberFormat="1" applyProtection="1">
      <protection hidden="1"/>
    </xf>
    <xf numFmtId="166" fontId="0" fillId="0" borderId="26" xfId="0" applyNumberFormat="1" applyBorder="1" applyProtection="1">
      <protection hidden="1"/>
    </xf>
    <xf numFmtId="166" fontId="0" fillId="0" borderId="10" xfId="0" applyNumberFormat="1" applyBorder="1" applyProtection="1">
      <protection hidden="1"/>
    </xf>
    <xf numFmtId="166" fontId="0" fillId="0" borderId="27" xfId="0" applyNumberFormat="1" applyBorder="1" applyProtection="1">
      <protection hidden="1"/>
    </xf>
    <xf numFmtId="0" fontId="0" fillId="0" borderId="10" xfId="0" applyBorder="1" applyProtection="1">
      <protection hidden="1"/>
    </xf>
    <xf numFmtId="2" fontId="0" fillId="0" borderId="10" xfId="0" applyNumberFormat="1" applyBorder="1" applyProtection="1">
      <protection hidden="1"/>
    </xf>
    <xf numFmtId="0" fontId="0" fillId="0" borderId="26" xfId="0" applyBorder="1" applyProtection="1">
      <protection hidden="1"/>
    </xf>
    <xf numFmtId="0" fontId="0" fillId="0" borderId="27" xfId="0" applyBorder="1" applyProtection="1">
      <protection hidden="1"/>
    </xf>
    <xf numFmtId="0" fontId="0" fillId="0" borderId="0" xfId="0" applyAlignment="1" applyProtection="1">
      <alignment horizontal="right"/>
      <protection hidden="1"/>
    </xf>
    <xf numFmtId="0" fontId="0" fillId="23" borderId="16" xfId="0" applyFill="1" applyBorder="1" applyAlignment="1" applyProtection="1">
      <alignment horizontal="center"/>
      <protection hidden="1"/>
    </xf>
    <xf numFmtId="0" fontId="0" fillId="0" borderId="30" xfId="0" applyBorder="1" applyAlignment="1" applyProtection="1">
      <alignment horizontal="centerContinuous"/>
      <protection hidden="1"/>
    </xf>
    <xf numFmtId="0" fontId="0" fillId="0" borderId="9" xfId="0" applyBorder="1" applyAlignment="1" applyProtection="1">
      <alignment horizontal="centerContinuous"/>
      <protection hidden="1"/>
    </xf>
    <xf numFmtId="0" fontId="0" fillId="0" borderId="31" xfId="0" applyBorder="1" applyAlignment="1" applyProtection="1">
      <alignment horizontal="centerContinuous"/>
      <protection hidden="1"/>
    </xf>
    <xf numFmtId="0" fontId="0" fillId="0" borderId="15" xfId="0" applyBorder="1" applyAlignment="1" applyProtection="1">
      <alignment horizontal="left"/>
      <protection hidden="1"/>
    </xf>
    <xf numFmtId="0" fontId="0" fillId="0" borderId="0" xfId="0" applyBorder="1" applyAlignment="1" applyProtection="1">
      <alignment horizontal="left"/>
      <protection hidden="1"/>
    </xf>
    <xf numFmtId="49" fontId="0" fillId="0" borderId="0" xfId="0" applyNumberFormat="1" applyBorder="1" applyProtection="1">
      <protection hidden="1"/>
    </xf>
    <xf numFmtId="2" fontId="0" fillId="5" borderId="15" xfId="0" applyNumberFormat="1" applyFill="1" applyBorder="1" applyProtection="1">
      <protection hidden="1"/>
    </xf>
    <xf numFmtId="2" fontId="0" fillId="5" borderId="0" xfId="0" applyNumberFormat="1" applyFill="1" applyBorder="1" applyProtection="1">
      <protection hidden="1"/>
    </xf>
    <xf numFmtId="2" fontId="0" fillId="5" borderId="31" xfId="0" applyNumberFormat="1" applyFill="1" applyBorder="1" applyProtection="1">
      <protection hidden="1"/>
    </xf>
    <xf numFmtId="2" fontId="0" fillId="5" borderId="12" xfId="0" applyNumberFormat="1" applyFill="1" applyBorder="1" applyProtection="1">
      <protection hidden="1"/>
    </xf>
    <xf numFmtId="2" fontId="0" fillId="5" borderId="30" xfId="0" applyNumberFormat="1" applyFill="1" applyBorder="1" applyProtection="1">
      <protection hidden="1"/>
    </xf>
    <xf numFmtId="2" fontId="0" fillId="5" borderId="9" xfId="0" applyNumberFormat="1" applyFill="1" applyBorder="1" applyProtection="1">
      <protection hidden="1"/>
    </xf>
    <xf numFmtId="49" fontId="0" fillId="0" borderId="7" xfId="0" applyNumberFormat="1" applyBorder="1" applyProtection="1">
      <protection hidden="1"/>
    </xf>
    <xf numFmtId="2" fontId="0" fillId="5" borderId="28" xfId="0" applyNumberFormat="1" applyFill="1" applyBorder="1" applyProtection="1">
      <protection hidden="1"/>
    </xf>
    <xf numFmtId="2" fontId="0" fillId="5" borderId="7" xfId="0" applyNumberFormat="1" applyFill="1" applyBorder="1" applyProtection="1">
      <protection hidden="1"/>
    </xf>
    <xf numFmtId="2" fontId="0" fillId="5" borderId="32" xfId="0" applyNumberFormat="1" applyFill="1" applyBorder="1" applyProtection="1">
      <protection hidden="1"/>
    </xf>
    <xf numFmtId="49" fontId="0" fillId="0" borderId="7" xfId="0" applyNumberFormat="1" applyFill="1" applyBorder="1" applyProtection="1">
      <protection hidden="1"/>
    </xf>
    <xf numFmtId="2" fontId="0" fillId="0" borderId="28" xfId="0" applyNumberFormat="1" applyBorder="1" applyProtection="1">
      <protection hidden="1"/>
    </xf>
    <xf numFmtId="2" fontId="0" fillId="0" borderId="32" xfId="0" applyNumberFormat="1" applyBorder="1" applyProtection="1">
      <protection hidden="1"/>
    </xf>
    <xf numFmtId="2" fontId="0" fillId="0" borderId="26" xfId="0" applyNumberFormat="1" applyBorder="1" applyProtection="1">
      <protection hidden="1"/>
    </xf>
    <xf numFmtId="2" fontId="0" fillId="0" borderId="0" xfId="0" applyNumberFormat="1" applyProtection="1">
      <protection hidden="1"/>
    </xf>
    <xf numFmtId="166" fontId="0" fillId="4" borderId="15" xfId="0" applyNumberFormat="1" applyFill="1" applyBorder="1" applyAlignment="1" applyProtection="1">
      <alignment horizontal="center"/>
      <protection hidden="1"/>
    </xf>
    <xf numFmtId="166" fontId="0" fillId="0" borderId="12" xfId="0" applyNumberFormat="1" applyBorder="1" applyAlignment="1" applyProtection="1">
      <alignment horizontal="center"/>
      <protection hidden="1"/>
    </xf>
    <xf numFmtId="2" fontId="0" fillId="0" borderId="5" xfId="0" applyNumberFormat="1" applyBorder="1" applyAlignment="1" applyProtection="1">
      <alignment horizontal="center"/>
      <protection hidden="1"/>
    </xf>
    <xf numFmtId="169" fontId="2" fillId="4" borderId="0" xfId="5" applyNumberFormat="1" applyFont="1" applyFill="1" applyProtection="1">
      <protection hidden="1"/>
    </xf>
    <xf numFmtId="9" fontId="2" fillId="4" borderId="0" xfId="5" applyFont="1" applyFill="1" applyProtection="1">
      <protection hidden="1"/>
    </xf>
    <xf numFmtId="2" fontId="0" fillId="0" borderId="15" xfId="0" applyNumberFormat="1" applyBorder="1" applyProtection="1">
      <protection hidden="1"/>
    </xf>
    <xf numFmtId="2" fontId="0" fillId="0" borderId="12" xfId="0" applyNumberFormat="1" applyBorder="1" applyProtection="1">
      <protection hidden="1"/>
    </xf>
    <xf numFmtId="2" fontId="0" fillId="0" borderId="5" xfId="0" applyNumberFormat="1" applyBorder="1" applyProtection="1">
      <protection hidden="1"/>
    </xf>
    <xf numFmtId="9" fontId="2" fillId="5" borderId="15" xfId="5" applyFont="1" applyFill="1" applyBorder="1" applyProtection="1">
      <protection hidden="1"/>
    </xf>
    <xf numFmtId="9" fontId="2" fillId="5" borderId="12" xfId="5" applyFont="1" applyFill="1" applyBorder="1" applyProtection="1">
      <protection hidden="1"/>
    </xf>
    <xf numFmtId="167" fontId="0" fillId="0" borderId="0" xfId="0" applyNumberFormat="1" applyProtection="1">
      <protection hidden="1"/>
    </xf>
    <xf numFmtId="166" fontId="39" fillId="7" borderId="15" xfId="0" applyNumberFormat="1" applyFont="1" applyFill="1" applyBorder="1" applyAlignment="1" applyProtection="1">
      <alignment horizontal="center"/>
      <protection hidden="1"/>
    </xf>
    <xf numFmtId="166" fontId="39" fillId="7" borderId="12" xfId="0" applyNumberFormat="1" applyFont="1" applyFill="1" applyBorder="1" applyAlignment="1" applyProtection="1">
      <alignment horizontal="center"/>
      <protection hidden="1"/>
    </xf>
    <xf numFmtId="169" fontId="2" fillId="7" borderId="0" xfId="5" applyNumberFormat="1" applyFont="1" applyFill="1" applyProtection="1">
      <protection hidden="1"/>
    </xf>
    <xf numFmtId="9" fontId="2" fillId="7" borderId="0" xfId="5" applyFont="1" applyFill="1" applyProtection="1">
      <protection hidden="1"/>
    </xf>
    <xf numFmtId="2" fontId="0" fillId="0" borderId="12" xfId="0" applyNumberFormat="1" applyBorder="1" applyAlignment="1" applyProtection="1">
      <alignment horizontal="center"/>
      <protection hidden="1"/>
    </xf>
    <xf numFmtId="166" fontId="0" fillId="23" borderId="0" xfId="0" applyNumberFormat="1" applyFill="1" applyProtection="1">
      <protection hidden="1"/>
    </xf>
    <xf numFmtId="0" fontId="0" fillId="23" borderId="0" xfId="0" applyFill="1" applyProtection="1">
      <protection hidden="1"/>
    </xf>
    <xf numFmtId="165" fontId="0" fillId="0" borderId="0" xfId="0" applyNumberFormat="1" applyProtection="1">
      <protection hidden="1"/>
    </xf>
    <xf numFmtId="166" fontId="39" fillId="7" borderId="0" xfId="0" applyNumberFormat="1" applyFont="1" applyFill="1" applyBorder="1" applyAlignment="1" applyProtection="1">
      <alignment horizontal="center"/>
      <protection hidden="1"/>
    </xf>
    <xf numFmtId="2" fontId="0" fillId="8" borderId="0" xfId="0" applyNumberFormat="1" applyFill="1" applyBorder="1" applyAlignment="1" applyProtection="1">
      <alignment horizontal="center"/>
      <protection hidden="1"/>
    </xf>
    <xf numFmtId="0" fontId="0" fillId="0" borderId="0" xfId="0" quotePrefix="1" applyProtection="1">
      <protection hidden="1"/>
    </xf>
    <xf numFmtId="9" fontId="0" fillId="0" borderId="0" xfId="0" applyNumberFormat="1" applyProtection="1">
      <protection hidden="1"/>
    </xf>
    <xf numFmtId="0" fontId="0" fillId="4" borderId="0" xfId="0" applyFill="1" applyProtection="1">
      <protection hidden="1"/>
    </xf>
    <xf numFmtId="166" fontId="0" fillId="4" borderId="0" xfId="0" applyNumberFormat="1" applyFill="1" applyProtection="1">
      <protection hidden="1"/>
    </xf>
    <xf numFmtId="0" fontId="21" fillId="9" borderId="0" xfId="0" quotePrefix="1" applyFont="1" applyFill="1" applyAlignment="1" applyProtection="1">
      <alignment horizontal="left"/>
      <protection hidden="1"/>
    </xf>
    <xf numFmtId="0" fontId="21" fillId="9" borderId="0" xfId="0" applyFont="1" applyFill="1" applyProtection="1">
      <protection hidden="1"/>
    </xf>
    <xf numFmtId="0" fontId="6" fillId="0" borderId="0" xfId="0" applyFont="1" applyAlignment="1" applyProtection="1">
      <alignment horizontal="center"/>
      <protection hidden="1"/>
    </xf>
    <xf numFmtId="0" fontId="0" fillId="0" borderId="16" xfId="0" applyBorder="1" applyAlignment="1" applyProtection="1">
      <alignment horizontal="center"/>
      <protection hidden="1"/>
    </xf>
    <xf numFmtId="0" fontId="0" fillId="3" borderId="4" xfId="0" applyFill="1" applyBorder="1" applyAlignment="1" applyProtection="1">
      <alignment horizontal="center"/>
      <protection hidden="1"/>
    </xf>
    <xf numFmtId="2" fontId="0" fillId="3" borderId="4" xfId="0" applyNumberFormat="1" applyFill="1" applyBorder="1" applyProtection="1">
      <protection hidden="1"/>
    </xf>
    <xf numFmtId="2" fontId="0" fillId="0" borderId="30" xfId="0" applyNumberFormat="1" applyBorder="1" applyProtection="1">
      <protection hidden="1"/>
    </xf>
    <xf numFmtId="2" fontId="0" fillId="0" borderId="31" xfId="0" applyNumberFormat="1" applyBorder="1" applyProtection="1">
      <protection hidden="1"/>
    </xf>
    <xf numFmtId="0" fontId="0" fillId="3" borderId="5" xfId="0" applyFill="1" applyBorder="1" applyAlignment="1" applyProtection="1">
      <alignment horizontal="center"/>
      <protection hidden="1"/>
    </xf>
    <xf numFmtId="2" fontId="0" fillId="3" borderId="5" xfId="0" applyNumberFormat="1" applyFill="1" applyBorder="1" applyProtection="1">
      <protection hidden="1"/>
    </xf>
    <xf numFmtId="166" fontId="0" fillId="0" borderId="32" xfId="0" applyNumberFormat="1" applyBorder="1" applyProtection="1">
      <protection hidden="1"/>
    </xf>
    <xf numFmtId="166" fontId="0" fillId="7" borderId="16" xfId="0" applyNumberFormat="1" applyFill="1" applyBorder="1" applyAlignment="1" applyProtection="1">
      <alignment horizontal="center"/>
      <protection hidden="1"/>
    </xf>
    <xf numFmtId="166" fontId="0" fillId="3" borderId="4" xfId="0" applyNumberFormat="1" applyFill="1" applyBorder="1" applyAlignment="1" applyProtection="1">
      <alignment horizontal="center"/>
      <protection hidden="1"/>
    </xf>
    <xf numFmtId="166" fontId="0" fillId="18" borderId="26" xfId="0" applyNumberFormat="1" applyFill="1" applyBorder="1" applyProtection="1">
      <protection hidden="1"/>
    </xf>
    <xf numFmtId="166" fontId="0" fillId="18" borderId="10" xfId="0" applyNumberFormat="1" applyFill="1" applyBorder="1" applyProtection="1">
      <protection hidden="1"/>
    </xf>
    <xf numFmtId="166" fontId="0" fillId="18" borderId="27" xfId="0" applyNumberFormat="1" applyFill="1" applyBorder="1" applyProtection="1">
      <protection hidden="1"/>
    </xf>
    <xf numFmtId="2" fontId="0" fillId="20" borderId="4" xfId="0" applyNumberFormat="1" applyFill="1" applyBorder="1" applyAlignment="1" applyProtection="1">
      <alignment horizontal="center"/>
      <protection hidden="1"/>
    </xf>
    <xf numFmtId="1" fontId="0" fillId="0" borderId="0" xfId="0" applyNumberFormat="1" applyProtection="1">
      <protection hidden="1"/>
    </xf>
    <xf numFmtId="166" fontId="0" fillId="3" borderId="16" xfId="0" applyNumberFormat="1" applyFill="1" applyBorder="1" applyAlignment="1" applyProtection="1">
      <alignment horizontal="center"/>
      <protection hidden="1"/>
    </xf>
    <xf numFmtId="9" fontId="0" fillId="3" borderId="16" xfId="0" applyNumberFormat="1" applyFill="1" applyBorder="1" applyAlignment="1" applyProtection="1">
      <alignment horizontal="center"/>
      <protection hidden="1"/>
    </xf>
    <xf numFmtId="166" fontId="2" fillId="3" borderId="16" xfId="5" applyNumberFormat="1" applyFont="1" applyFill="1" applyBorder="1" applyAlignment="1" applyProtection="1">
      <alignment horizontal="center"/>
      <protection hidden="1"/>
    </xf>
    <xf numFmtId="0" fontId="22" fillId="9" borderId="0" xfId="0" applyFont="1" applyFill="1" applyProtection="1">
      <protection hidden="1"/>
    </xf>
    <xf numFmtId="0" fontId="13" fillId="9" borderId="0" xfId="0" applyFont="1" applyFill="1" applyProtection="1">
      <protection hidden="1"/>
    </xf>
    <xf numFmtId="9" fontId="2" fillId="0" borderId="0" xfId="5" applyProtection="1">
      <protection hidden="1"/>
    </xf>
    <xf numFmtId="9" fontId="2" fillId="4" borderId="0" xfId="5" applyFill="1" applyProtection="1">
      <protection hidden="1"/>
    </xf>
    <xf numFmtId="168" fontId="39" fillId="0" borderId="0" xfId="5" applyNumberFormat="1" applyFont="1" applyProtection="1">
      <protection hidden="1"/>
    </xf>
    <xf numFmtId="9" fontId="2" fillId="0" borderId="0" xfId="5" applyFont="1" applyFill="1" applyProtection="1">
      <protection hidden="1"/>
    </xf>
    <xf numFmtId="9" fontId="2" fillId="0" borderId="0" xfId="5" applyFont="1" applyProtection="1">
      <protection hidden="1"/>
    </xf>
    <xf numFmtId="9" fontId="2" fillId="0" borderId="0" xfId="5" applyFill="1" applyProtection="1">
      <protection hidden="1"/>
    </xf>
    <xf numFmtId="0" fontId="0" fillId="0" borderId="0" xfId="0" applyFill="1" applyProtection="1">
      <protection hidden="1"/>
    </xf>
    <xf numFmtId="166" fontId="0" fillId="0" borderId="16" xfId="0" applyNumberFormat="1" applyBorder="1" applyProtection="1">
      <protection hidden="1"/>
    </xf>
    <xf numFmtId="171" fontId="0" fillId="0" borderId="0" xfId="0" applyNumberFormat="1" applyProtection="1">
      <protection hidden="1"/>
    </xf>
    <xf numFmtId="9" fontId="2" fillId="0" borderId="0" xfId="5" applyNumberFormat="1" applyFont="1" applyProtection="1">
      <protection hidden="1"/>
    </xf>
    <xf numFmtId="11" fontId="0" fillId="0" borderId="0" xfId="0" applyNumberFormat="1" applyProtection="1">
      <protection hidden="1"/>
    </xf>
    <xf numFmtId="0" fontId="0" fillId="3" borderId="16" xfId="0" applyFill="1" applyBorder="1" applyAlignment="1" applyProtection="1">
      <alignment horizontal="center"/>
      <protection hidden="1"/>
    </xf>
    <xf numFmtId="171" fontId="0" fillId="3" borderId="0" xfId="0" applyNumberFormat="1" applyFill="1" applyProtection="1">
      <protection hidden="1"/>
    </xf>
    <xf numFmtId="0" fontId="0" fillId="3" borderId="0" xfId="0" applyFill="1" applyProtection="1">
      <protection hidden="1"/>
    </xf>
    <xf numFmtId="166" fontId="0" fillId="6" borderId="0" xfId="0" applyNumberFormat="1" applyFill="1" applyProtection="1">
      <protection hidden="1"/>
    </xf>
    <xf numFmtId="0" fontId="0" fillId="6" borderId="0" xfId="0" applyFill="1" applyProtection="1">
      <protection hidden="1"/>
    </xf>
    <xf numFmtId="166" fontId="0" fillId="8" borderId="16" xfId="0" applyNumberFormat="1" applyFill="1" applyBorder="1" applyProtection="1">
      <protection hidden="1"/>
    </xf>
    <xf numFmtId="171" fontId="0" fillId="23" borderId="0" xfId="0" applyNumberFormat="1" applyFill="1" applyProtection="1">
      <protection hidden="1"/>
    </xf>
    <xf numFmtId="172" fontId="0" fillId="0" borderId="0" xfId="0" applyNumberFormat="1" applyProtection="1">
      <protection hidden="1"/>
    </xf>
    <xf numFmtId="171" fontId="0" fillId="0" borderId="16" xfId="0" applyNumberFormat="1" applyBorder="1" applyProtection="1">
      <protection hidden="1"/>
    </xf>
    <xf numFmtId="9" fontId="39" fillId="0" borderId="0" xfId="5" applyFont="1" applyProtection="1">
      <protection hidden="1"/>
    </xf>
    <xf numFmtId="0" fontId="0" fillId="3" borderId="10" xfId="0" applyFill="1" applyBorder="1" applyProtection="1">
      <protection hidden="1"/>
    </xf>
    <xf numFmtId="174" fontId="0" fillId="0" borderId="0" xfId="0" applyNumberFormat="1" applyProtection="1">
      <protection hidden="1"/>
    </xf>
    <xf numFmtId="171" fontId="0" fillId="0" borderId="10" xfId="0" applyNumberFormat="1" applyBorder="1" applyProtection="1">
      <protection hidden="1"/>
    </xf>
    <xf numFmtId="2" fontId="0" fillId="3" borderId="10" xfId="0" applyNumberFormat="1" applyFill="1" applyBorder="1" applyProtection="1">
      <protection hidden="1"/>
    </xf>
    <xf numFmtId="166" fontId="2" fillId="0" borderId="0" xfId="5" applyNumberFormat="1" applyFont="1" applyProtection="1">
      <protection hidden="1"/>
    </xf>
    <xf numFmtId="0" fontId="39" fillId="0" borderId="0" xfId="0" applyFont="1" applyProtection="1">
      <protection hidden="1"/>
    </xf>
    <xf numFmtId="9" fontId="0" fillId="0" borderId="0" xfId="0" applyNumberFormat="1" applyFill="1" applyProtection="1">
      <protection hidden="1"/>
    </xf>
    <xf numFmtId="9" fontId="0" fillId="0" borderId="4" xfId="0" applyNumberFormat="1" applyBorder="1" applyProtection="1">
      <protection hidden="1"/>
    </xf>
    <xf numFmtId="9" fontId="0" fillId="0" borderId="5" xfId="0" applyNumberFormat="1" applyBorder="1" applyProtection="1">
      <protection hidden="1"/>
    </xf>
    <xf numFmtId="9" fontId="2" fillId="0" borderId="5" xfId="5" applyFont="1" applyBorder="1" applyProtection="1">
      <protection hidden="1"/>
    </xf>
    <xf numFmtId="9" fontId="2" fillId="0" borderId="6" xfId="5" applyFont="1" applyBorder="1" applyProtection="1">
      <protection hidden="1"/>
    </xf>
    <xf numFmtId="9" fontId="0" fillId="0" borderId="16" xfId="0" applyNumberFormat="1" applyBorder="1" applyProtection="1">
      <protection hidden="1"/>
    </xf>
    <xf numFmtId="9" fontId="2" fillId="0" borderId="0" xfId="5" applyNumberFormat="1" applyProtection="1">
      <protection hidden="1"/>
    </xf>
    <xf numFmtId="9" fontId="0" fillId="4" borderId="0" xfId="5" applyFont="1" applyFill="1" applyProtection="1">
      <protection hidden="1"/>
    </xf>
    <xf numFmtId="9" fontId="0" fillId="0" borderId="0" xfId="5" applyFont="1" applyFill="1" applyProtection="1">
      <protection hidden="1"/>
    </xf>
    <xf numFmtId="9" fontId="0" fillId="0" borderId="0" xfId="5" applyFont="1" applyProtection="1">
      <protection hidden="1"/>
    </xf>
    <xf numFmtId="9" fontId="0" fillId="0" borderId="0" xfId="5" applyNumberFormat="1" applyFont="1" applyProtection="1">
      <protection hidden="1"/>
    </xf>
    <xf numFmtId="166" fontId="0" fillId="0" borderId="0" xfId="5" applyNumberFormat="1" applyFont="1" applyProtection="1">
      <protection hidden="1"/>
    </xf>
    <xf numFmtId="9" fontId="0" fillId="0" borderId="5" xfId="5" applyFont="1" applyBorder="1" applyProtection="1">
      <protection hidden="1"/>
    </xf>
    <xf numFmtId="9" fontId="0" fillId="0" borderId="6" xfId="5" applyFont="1" applyBorder="1" applyProtection="1">
      <protection hidden="1"/>
    </xf>
    <xf numFmtId="169" fontId="0" fillId="4" borderId="0" xfId="5" applyNumberFormat="1" applyFont="1" applyFill="1" applyProtection="1">
      <protection hidden="1"/>
    </xf>
    <xf numFmtId="9" fontId="0" fillId="5" borderId="15" xfId="5" applyFont="1" applyFill="1" applyBorder="1" applyProtection="1">
      <protection hidden="1"/>
    </xf>
    <xf numFmtId="9" fontId="0" fillId="5" borderId="12" xfId="5" applyFont="1" applyFill="1" applyBorder="1" applyProtection="1">
      <protection hidden="1"/>
    </xf>
    <xf numFmtId="169" fontId="0" fillId="7" borderId="0" xfId="5" applyNumberFormat="1" applyFont="1" applyFill="1" applyProtection="1">
      <protection hidden="1"/>
    </xf>
    <xf numFmtId="9" fontId="0" fillId="7" borderId="0" xfId="5" applyFont="1" applyFill="1" applyProtection="1">
      <protection hidden="1"/>
    </xf>
    <xf numFmtId="166" fontId="0" fillId="3" borderId="16" xfId="5" applyNumberFormat="1" applyFont="1" applyFill="1" applyBorder="1" applyAlignment="1" applyProtection="1">
      <alignment horizontal="center"/>
      <protection hidden="1"/>
    </xf>
    <xf numFmtId="2" fontId="9" fillId="5" borderId="0" xfId="0" applyNumberFormat="1" applyFont="1" applyFill="1" applyBorder="1"/>
    <xf numFmtId="2" fontId="9" fillId="6" borderId="0" xfId="0" applyNumberFormat="1" applyFont="1" applyFill="1" applyBorder="1"/>
    <xf numFmtId="2" fontId="0" fillId="4" borderId="0" xfId="0" applyNumberFormat="1" applyFill="1" applyBorder="1" applyAlignment="1">
      <alignment horizontal="right"/>
    </xf>
    <xf numFmtId="2" fontId="0" fillId="12" borderId="0" xfId="0" applyNumberFormat="1" applyFill="1" applyBorder="1" applyAlignment="1">
      <alignment horizontal="center"/>
    </xf>
    <xf numFmtId="0" fontId="49" fillId="3" borderId="0" xfId="0" applyFont="1" applyFill="1" applyAlignment="1">
      <alignment horizontal="right"/>
    </xf>
    <xf numFmtId="166" fontId="6" fillId="5" borderId="0" xfId="0" applyNumberFormat="1" applyFont="1" applyFill="1" applyAlignment="1">
      <alignment wrapText="1"/>
    </xf>
    <xf numFmtId="165" fontId="1" fillId="6" borderId="16" xfId="0" applyNumberFormat="1" applyFont="1" applyFill="1" applyBorder="1" applyAlignment="1"/>
    <xf numFmtId="166" fontId="1" fillId="6" borderId="16" xfId="0" applyNumberFormat="1" applyFont="1" applyFill="1" applyBorder="1" applyAlignment="1"/>
    <xf numFmtId="0" fontId="1" fillId="3" borderId="9" xfId="0" applyNumberFormat="1" applyFont="1" applyFill="1" applyBorder="1" applyAlignment="1"/>
    <xf numFmtId="1" fontId="1" fillId="3" borderId="9" xfId="0" applyNumberFormat="1" applyFont="1" applyFill="1" applyBorder="1" applyAlignment="1"/>
    <xf numFmtId="1" fontId="1" fillId="3" borderId="0" xfId="0" applyNumberFormat="1" applyFont="1" applyFill="1" applyBorder="1" applyAlignment="1"/>
    <xf numFmtId="0" fontId="1" fillId="4" borderId="0" xfId="0" applyNumberFormat="1" applyFont="1" applyFill="1" applyBorder="1" applyAlignment="1"/>
    <xf numFmtId="0" fontId="1" fillId="3" borderId="15" xfId="0" applyNumberFormat="1" applyFont="1" applyFill="1" applyBorder="1" applyAlignment="1"/>
    <xf numFmtId="0" fontId="1" fillId="0" borderId="9" xfId="0" applyNumberFormat="1" applyFont="1" applyFill="1" applyBorder="1" applyAlignment="1"/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3" xfId="0" applyNumberFormat="1" applyFont="1" applyFill="1" applyBorder="1" applyAlignment="1"/>
    <xf numFmtId="1" fontId="1" fillId="3" borderId="3" xfId="0" quotePrefix="1" applyNumberFormat="1" applyFont="1" applyFill="1" applyBorder="1" applyAlignment="1">
      <alignment horizontal="left"/>
    </xf>
    <xf numFmtId="1" fontId="1" fillId="3" borderId="3" xfId="0" applyNumberFormat="1" applyFont="1" applyFill="1" applyBorder="1" applyAlignment="1">
      <alignment horizontal="center"/>
    </xf>
    <xf numFmtId="2" fontId="1" fillId="4" borderId="3" xfId="0" applyNumberFormat="1" applyFont="1" applyFill="1" applyBorder="1" applyAlignment="1"/>
    <xf numFmtId="0" fontId="1" fillId="4" borderId="3" xfId="0" applyNumberFormat="1" applyFont="1" applyFill="1" applyBorder="1" applyAlignment="1">
      <alignment horizontal="center"/>
    </xf>
    <xf numFmtId="2" fontId="1" fillId="3" borderId="3" xfId="0" applyNumberFormat="1" applyFont="1" applyFill="1" applyBorder="1" applyAlignment="1"/>
    <xf numFmtId="0" fontId="1" fillId="3" borderId="3" xfId="0" applyNumberFormat="1" applyFont="1" applyFill="1" applyBorder="1" applyAlignment="1">
      <alignment horizontal="center"/>
    </xf>
    <xf numFmtId="0" fontId="1" fillId="4" borderId="3" xfId="0" applyNumberFormat="1" applyFont="1" applyFill="1" applyBorder="1" applyAlignment="1"/>
    <xf numFmtId="1" fontId="1" fillId="3" borderId="0" xfId="0" quotePrefix="1" applyNumberFormat="1" applyFont="1" applyFill="1" applyBorder="1" applyAlignment="1">
      <alignment horizontal="left"/>
    </xf>
    <xf numFmtId="1" fontId="1" fillId="3" borderId="0" xfId="0" applyNumberFormat="1" applyFont="1" applyFill="1" applyBorder="1" applyAlignment="1">
      <alignment horizontal="center"/>
    </xf>
    <xf numFmtId="2" fontId="1" fillId="4" borderId="0" xfId="0" applyNumberFormat="1" applyFont="1" applyFill="1" applyBorder="1" applyAlignment="1"/>
    <xf numFmtId="0" fontId="1" fillId="3" borderId="0" xfId="0" applyNumberFormat="1" applyFont="1" applyFill="1" applyBorder="1" applyAlignment="1" applyProtection="1">
      <alignment horizontal="center"/>
      <protection locked="0"/>
    </xf>
    <xf numFmtId="0" fontId="1" fillId="3" borderId="7" xfId="0" applyNumberFormat="1" applyFont="1" applyFill="1" applyBorder="1" applyAlignment="1">
      <alignment horizontal="center"/>
    </xf>
    <xf numFmtId="0" fontId="1" fillId="3" borderId="0" xfId="0" applyNumberFormat="1" applyFont="1" applyFill="1" applyBorder="1" applyAlignment="1">
      <alignment horizontal="center"/>
    </xf>
    <xf numFmtId="166" fontId="1" fillId="3" borderId="0" xfId="0" applyNumberFormat="1" applyFont="1" applyFill="1" applyBorder="1" applyAlignment="1">
      <alignment horizontal="center"/>
    </xf>
    <xf numFmtId="165" fontId="1" fillId="3" borderId="7" xfId="0" applyNumberFormat="1" applyFont="1" applyFill="1" applyBorder="1" applyAlignment="1"/>
    <xf numFmtId="0" fontId="1" fillId="3" borderId="7" xfId="0" applyNumberFormat="1" applyFont="1" applyFill="1" applyBorder="1" applyAlignment="1" applyProtection="1">
      <alignment horizontal="center"/>
      <protection locked="0"/>
    </xf>
    <xf numFmtId="0" fontId="1" fillId="3" borderId="9" xfId="0" applyNumberFormat="1" applyFont="1" applyFill="1" applyBorder="1" applyAlignment="1" applyProtection="1">
      <alignment horizontal="center"/>
      <protection locked="0"/>
    </xf>
    <xf numFmtId="165" fontId="1" fillId="3" borderId="0" xfId="0" applyNumberFormat="1" applyFont="1" applyFill="1" applyBorder="1" applyAlignment="1"/>
    <xf numFmtId="0" fontId="1" fillId="0" borderId="7" xfId="0" applyNumberFormat="1" applyFont="1" applyFill="1" applyBorder="1" applyAlignment="1"/>
    <xf numFmtId="0" fontId="1" fillId="4" borderId="2" xfId="0" applyNumberFormat="1" applyFont="1" applyFill="1" applyBorder="1" applyAlignment="1">
      <alignment horizontal="center" vertical="center" wrapText="1"/>
    </xf>
    <xf numFmtId="0" fontId="1" fillId="4" borderId="2" xfId="0" quotePrefix="1" applyNumberFormat="1" applyFont="1" applyFill="1" applyBorder="1" applyAlignment="1">
      <alignment horizontal="center" vertical="center" wrapText="1"/>
    </xf>
    <xf numFmtId="0" fontId="1" fillId="4" borderId="7" xfId="0" applyNumberFormat="1" applyFont="1" applyFill="1" applyBorder="1" applyAlignment="1"/>
    <xf numFmtId="0" fontId="1" fillId="4" borderId="7" xfId="0" applyNumberFormat="1" applyFont="1" applyFill="1" applyBorder="1" applyAlignment="1">
      <alignment horizontal="center"/>
    </xf>
    <xf numFmtId="0" fontId="1" fillId="3" borderId="6" xfId="0" applyNumberFormat="1" applyFont="1" applyFill="1" applyBorder="1" applyAlignment="1"/>
    <xf numFmtId="0" fontId="1" fillId="4" borderId="0" xfId="0" applyNumberFormat="1" applyFont="1" applyFill="1" applyBorder="1" applyAlignment="1">
      <alignment horizontal="center"/>
    </xf>
    <xf numFmtId="166" fontId="1" fillId="3" borderId="0" xfId="0" applyNumberFormat="1" applyFont="1" applyFill="1" applyBorder="1" applyAlignment="1"/>
    <xf numFmtId="166" fontId="1" fillId="3" borderId="5" xfId="0" applyNumberFormat="1" applyFont="1" applyFill="1" applyBorder="1" applyAlignment="1"/>
    <xf numFmtId="0" fontId="1" fillId="3" borderId="5" xfId="0" applyNumberFormat="1" applyFont="1" applyFill="1" applyBorder="1" applyAlignment="1"/>
    <xf numFmtId="0" fontId="1" fillId="3" borderId="2" xfId="0" applyNumberFormat="1" applyFont="1" applyFill="1" applyBorder="1" applyAlignment="1">
      <alignment horizontal="right" vertical="center" wrapText="1"/>
    </xf>
    <xf numFmtId="0" fontId="1" fillId="5" borderId="10" xfId="0" applyNumberFormat="1" applyFont="1" applyFill="1" applyBorder="1" applyAlignment="1"/>
    <xf numFmtId="0" fontId="1" fillId="7" borderId="17" xfId="0" applyNumberFormat="1" applyFont="1" applyFill="1" applyBorder="1" applyAlignment="1"/>
    <xf numFmtId="0" fontId="1" fillId="3" borderId="0" xfId="0" applyNumberFormat="1" applyFont="1" applyFill="1" applyBorder="1" applyAlignment="1">
      <alignment horizontal="left"/>
    </xf>
    <xf numFmtId="2" fontId="1" fillId="5" borderId="0" xfId="0" applyNumberFormat="1" applyFont="1" applyFill="1" applyBorder="1" applyAlignment="1"/>
    <xf numFmtId="0" fontId="1" fillId="3" borderId="0" xfId="0" applyNumberFormat="1" applyFont="1" applyFill="1" applyBorder="1" applyAlignment="1">
      <alignment horizontal="center" vertical="center" wrapText="1"/>
    </xf>
    <xf numFmtId="0" fontId="1" fillId="7" borderId="0" xfId="0" applyNumberFormat="1" applyFont="1" applyFill="1" applyBorder="1" applyAlignment="1">
      <alignment horizontal="left" vertical="center" wrapText="1"/>
    </xf>
    <xf numFmtId="0" fontId="1" fillId="3" borderId="1" xfId="0" applyNumberFormat="1" applyFont="1" applyFill="1" applyBorder="1" applyAlignment="1">
      <alignment horizontal="center" vertical="center" wrapText="1"/>
    </xf>
  </cellXfs>
  <cellStyles count="6">
    <cellStyle name="Euro" xfId="1"/>
    <cellStyle name="Good" xfId="2" builtinId="26" customBuiltin="1"/>
    <cellStyle name="Normal" xfId="0" builtinId="0"/>
    <cellStyle name="Normal_cooking" xfId="3"/>
    <cellStyle name="Normal_Sheet1" xfId="4"/>
    <cellStyle name="Percent" xfId="5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Calibration!$W$172:$W$206</c:f>
            </c:multiLvlStrRef>
          </c:cat>
          <c:val>
            <c:numRef>
              <c:f>Calibration!$X$172:$X$206</c:f>
            </c:numRef>
          </c:val>
        </c:ser>
        <c:axId val="80902016"/>
        <c:axId val="80903552"/>
      </c:barChart>
      <c:catAx>
        <c:axId val="809020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903552"/>
        <c:crosses val="autoZero"/>
        <c:auto val="1"/>
        <c:lblAlgn val="ctr"/>
        <c:lblOffset val="100"/>
        <c:tickLblSkip val="2"/>
        <c:tickMarkSkip val="1"/>
      </c:catAx>
      <c:valAx>
        <c:axId val="809035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902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Calibrati2!$W$172:$W$206</c:f>
            </c:multiLvlStrRef>
          </c:cat>
          <c:val>
            <c:numRef>
              <c:f>Calibrati2!$X$172:$X$206</c:f>
            </c:numRef>
          </c:val>
        </c:ser>
        <c:axId val="47096192"/>
        <c:axId val="47097728"/>
      </c:barChart>
      <c:catAx>
        <c:axId val="470961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097728"/>
        <c:crosses val="autoZero"/>
        <c:auto val="1"/>
        <c:lblAlgn val="ctr"/>
        <c:lblOffset val="100"/>
        <c:tickLblSkip val="2"/>
        <c:tickMarkSkip val="1"/>
      </c:catAx>
      <c:valAx>
        <c:axId val="470977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096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Calibration2!$W$172:$W$206</c:f>
            </c:multiLvlStrRef>
          </c:cat>
          <c:val>
            <c:numRef>
              <c:f>Calibration2!$X$172:$X$206</c:f>
            </c:numRef>
          </c:val>
        </c:ser>
        <c:axId val="80914688"/>
        <c:axId val="80924672"/>
      </c:barChart>
      <c:catAx>
        <c:axId val="809146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924672"/>
        <c:crosses val="autoZero"/>
        <c:auto val="1"/>
        <c:lblAlgn val="ctr"/>
        <c:lblOffset val="100"/>
        <c:tickLblSkip val="2"/>
        <c:tickMarkSkip val="1"/>
      </c:catAx>
      <c:valAx>
        <c:axId val="8092467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914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Calibrati22!$W$172:$W$206</c:f>
            </c:multiLvlStrRef>
          </c:cat>
          <c:val>
            <c:numRef>
              <c:f>Calibrati22!$X$172:$X$206</c:f>
            </c:numRef>
          </c:val>
        </c:ser>
        <c:axId val="80880768"/>
        <c:axId val="80882304"/>
      </c:barChart>
      <c:catAx>
        <c:axId val="8088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2304"/>
        <c:crosses val="autoZero"/>
        <c:auto val="1"/>
        <c:lblAlgn val="ctr"/>
        <c:lblOffset val="100"/>
        <c:tickLblSkip val="2"/>
        <c:tickMarkSkip val="1"/>
      </c:catAx>
      <c:valAx>
        <c:axId val="8088230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 horizontalDpi="300" verticalDpi="30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169</xdr:row>
      <xdr:rowOff>104775</xdr:rowOff>
    </xdr:from>
    <xdr:to>
      <xdr:col>36</xdr:col>
      <xdr:colOff>0</xdr:colOff>
      <xdr:row>205</xdr:row>
      <xdr:rowOff>142875</xdr:rowOff>
    </xdr:to>
    <xdr:graphicFrame macro="">
      <xdr:nvGraphicFramePr>
        <xdr:cNvPr id="16076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169</xdr:row>
      <xdr:rowOff>104775</xdr:rowOff>
    </xdr:from>
    <xdr:to>
      <xdr:col>36</xdr:col>
      <xdr:colOff>0</xdr:colOff>
      <xdr:row>205</xdr:row>
      <xdr:rowOff>142875</xdr:rowOff>
    </xdr:to>
    <xdr:graphicFrame macro="">
      <xdr:nvGraphicFramePr>
        <xdr:cNvPr id="16486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169</xdr:row>
      <xdr:rowOff>104775</xdr:rowOff>
    </xdr:from>
    <xdr:to>
      <xdr:col>36</xdr:col>
      <xdr:colOff>0</xdr:colOff>
      <xdr:row>205</xdr:row>
      <xdr:rowOff>142875</xdr:rowOff>
    </xdr:to>
    <xdr:graphicFrame macro="">
      <xdr:nvGraphicFramePr>
        <xdr:cNvPr id="13214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169</xdr:row>
      <xdr:rowOff>104775</xdr:rowOff>
    </xdr:from>
    <xdr:to>
      <xdr:col>36</xdr:col>
      <xdr:colOff>0</xdr:colOff>
      <xdr:row>205</xdr:row>
      <xdr:rowOff>142875</xdr:rowOff>
    </xdr:to>
    <xdr:graphicFrame macro="">
      <xdr:nvGraphicFramePr>
        <xdr:cNvPr id="15462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V90"/>
  <sheetViews>
    <sheetView topLeftCell="AC1" zoomScale="75" workbookViewId="0">
      <selection activeCell="J20" sqref="J20"/>
    </sheetView>
  </sheetViews>
  <sheetFormatPr defaultColWidth="8.85546875" defaultRowHeight="12.75"/>
  <cols>
    <col min="1" max="1" width="17.42578125" customWidth="1"/>
    <col min="2" max="2" width="8.85546875" customWidth="1"/>
    <col min="3" max="3" width="21.85546875" bestFit="1" customWidth="1"/>
    <col min="4" max="5" width="12" customWidth="1"/>
    <col min="6" max="6" width="10.85546875" customWidth="1"/>
    <col min="7" max="7" width="12.7109375" customWidth="1"/>
    <col min="8" max="8" width="12" customWidth="1"/>
    <col min="9" max="9" width="11" customWidth="1"/>
    <col min="10" max="10" width="10.85546875" customWidth="1"/>
    <col min="11" max="11" width="9.42578125" customWidth="1"/>
    <col min="12" max="12" width="9.5703125" customWidth="1"/>
    <col min="13" max="14" width="12" customWidth="1"/>
    <col min="15" max="15" width="10.28515625" customWidth="1"/>
    <col min="16" max="16" width="9.28515625" customWidth="1"/>
    <col min="17" max="17" width="10" customWidth="1"/>
    <col min="18" max="18" width="9.5703125" customWidth="1"/>
    <col min="19" max="19" width="12.28515625" customWidth="1"/>
    <col min="20" max="20" width="10.42578125" customWidth="1"/>
    <col min="21" max="21" width="10.7109375" customWidth="1"/>
    <col min="22" max="22" width="9.42578125" customWidth="1"/>
    <col min="23" max="23" width="8.85546875" customWidth="1"/>
    <col min="24" max="25" width="11.5703125" customWidth="1"/>
    <col min="26" max="26" width="10.42578125" customWidth="1"/>
    <col min="27" max="27" width="10" customWidth="1"/>
    <col min="28" max="28" width="9.28515625" customWidth="1"/>
    <col min="29" max="29" width="8.42578125" customWidth="1"/>
    <col min="30" max="31" width="8.5703125" customWidth="1"/>
    <col min="32" max="33" width="9.28515625" customWidth="1"/>
    <col min="34" max="34" width="8.42578125" customWidth="1"/>
    <col min="35" max="35" width="8.85546875" customWidth="1"/>
    <col min="36" max="36" width="9" customWidth="1"/>
    <col min="37" max="37" width="7.7109375" customWidth="1"/>
    <col min="38" max="38" width="8.85546875" customWidth="1"/>
    <col min="39" max="39" width="10.85546875" customWidth="1"/>
    <col min="40" max="40" width="8.85546875" customWidth="1"/>
    <col min="41" max="41" width="11" customWidth="1"/>
    <col min="42" max="47" width="8.85546875" customWidth="1"/>
    <col min="48" max="48" width="9.5703125" customWidth="1"/>
    <col min="49" max="50" width="8.85546875" customWidth="1"/>
    <col min="51" max="51" width="9.7109375" customWidth="1"/>
    <col min="52" max="70" width="8.85546875" customWidth="1"/>
    <col min="71" max="71" width="22.85546875" customWidth="1"/>
    <col min="72" max="72" width="8.85546875" customWidth="1"/>
    <col min="73" max="73" width="26.5703125" customWidth="1"/>
  </cols>
  <sheetData>
    <row r="1" spans="1:256" ht="18">
      <c r="A1" s="202" t="s">
        <v>873</v>
      </c>
      <c r="B1" s="203"/>
      <c r="C1" s="214" t="s">
        <v>808</v>
      </c>
      <c r="D1" s="38" t="str">
        <f>Region</f>
        <v>FIN</v>
      </c>
      <c r="E1" s="203"/>
      <c r="F1" s="203"/>
      <c r="G1" s="203"/>
      <c r="H1" s="20" t="s">
        <v>749</v>
      </c>
      <c r="I1" s="20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X1" s="317" t="s">
        <v>573</v>
      </c>
      <c r="AY1" s="317" t="str">
        <f ca="1">MID(CELL("filename",AX1),FIND("VT_",CELL("filename",AX1))+3,3)</f>
        <v>FI_</v>
      </c>
      <c r="AZ1" s="317" t="s">
        <v>829</v>
      </c>
      <c r="BA1" s="318">
        <v>1.0000000000000001E-9</v>
      </c>
    </row>
    <row r="2" spans="1:256">
      <c r="A2" s="203"/>
      <c r="B2" s="203"/>
      <c r="C2" s="214" t="s">
        <v>809</v>
      </c>
      <c r="D2" s="39">
        <v>2010</v>
      </c>
      <c r="E2" s="203"/>
      <c r="F2" s="203"/>
      <c r="G2" s="203"/>
      <c r="H2" s="60" t="s">
        <v>750</v>
      </c>
      <c r="I2" s="60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</row>
    <row r="3" spans="1:256" ht="18">
      <c r="A3" s="203"/>
      <c r="B3" s="203"/>
      <c r="C3" s="214" t="s">
        <v>810</v>
      </c>
      <c r="D3" s="42">
        <v>4.1868000000000002E-2</v>
      </c>
      <c r="E3" s="208" t="s">
        <v>985</v>
      </c>
      <c r="F3" s="203"/>
      <c r="G3" s="203"/>
      <c r="H3" s="177" t="s">
        <v>751</v>
      </c>
      <c r="I3" s="177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Q3" s="87" t="s">
        <v>732</v>
      </c>
      <c r="AR3" s="89"/>
      <c r="AS3" s="467"/>
      <c r="AT3" s="95"/>
      <c r="AU3" s="91"/>
      <c r="AV3" s="91"/>
      <c r="AX3" s="87" t="s">
        <v>733</v>
      </c>
      <c r="AY3" s="89"/>
      <c r="AZ3" s="467"/>
      <c r="BA3" s="95"/>
      <c r="BB3" s="14"/>
      <c r="BE3" s="86" t="s">
        <v>734</v>
      </c>
      <c r="BF3" s="89"/>
      <c r="BG3" s="467"/>
      <c r="BH3" s="95"/>
      <c r="BI3" s="91"/>
      <c r="BJ3" s="91"/>
      <c r="BK3" s="91"/>
      <c r="BL3" s="91"/>
      <c r="BM3" s="91"/>
    </row>
    <row r="4" spans="1:256">
      <c r="A4" s="203"/>
      <c r="B4" s="203"/>
      <c r="C4" s="203"/>
      <c r="D4" s="203"/>
      <c r="E4" s="203"/>
      <c r="F4" s="203"/>
      <c r="G4" s="203"/>
      <c r="H4" s="271" t="s">
        <v>752</v>
      </c>
      <c r="I4" s="271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Q4" s="169" t="s">
        <v>1296</v>
      </c>
      <c r="AR4" s="394">
        <v>4.9332274601621928E-2</v>
      </c>
      <c r="AS4" s="241" t="s">
        <v>581</v>
      </c>
      <c r="AT4" s="241" t="s">
        <v>582</v>
      </c>
      <c r="AU4" s="241" t="s">
        <v>583</v>
      </c>
      <c r="AX4" s="291" t="s">
        <v>996</v>
      </c>
      <c r="AY4" s="291"/>
      <c r="AZ4" s="292">
        <f>AR4</f>
        <v>4.9332274601621928E-2</v>
      </c>
      <c r="BA4" s="96" t="s">
        <v>1005</v>
      </c>
      <c r="BB4" s="108"/>
    </row>
    <row r="5" spans="1:256" ht="13.5" thickBot="1">
      <c r="A5" s="203"/>
      <c r="B5" s="203"/>
      <c r="C5" s="203"/>
      <c r="D5" s="203"/>
      <c r="E5" s="203"/>
      <c r="F5" s="203"/>
      <c r="G5" s="203"/>
      <c r="H5" s="9" t="s">
        <v>753</v>
      </c>
      <c r="I5" s="9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Q5" s="446"/>
      <c r="AR5" s="100"/>
      <c r="AS5" s="269">
        <v>-4.1868000000000002E-2</v>
      </c>
      <c r="AT5" s="270">
        <v>3.5999999999999999E-3</v>
      </c>
      <c r="AU5" s="270">
        <v>1E-3</v>
      </c>
      <c r="AX5" s="96"/>
      <c r="AY5" s="96"/>
      <c r="AZ5" s="96"/>
      <c r="BA5" s="96"/>
      <c r="BB5" s="108"/>
      <c r="BH5" s="284" t="s">
        <v>1074</v>
      </c>
      <c r="BI5" s="245"/>
      <c r="BJ5" s="245" t="s">
        <v>1163</v>
      </c>
    </row>
    <row r="6" spans="1:256" ht="13.5" thickBot="1">
      <c r="A6" s="203"/>
      <c r="B6" s="203"/>
      <c r="C6" s="203"/>
      <c r="D6" s="203"/>
      <c r="E6" s="203"/>
      <c r="F6" s="203"/>
      <c r="G6" s="203"/>
      <c r="H6" s="272" t="s">
        <v>754</v>
      </c>
      <c r="I6" s="272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Q6" s="468"/>
      <c r="AR6" s="242" t="s">
        <v>585</v>
      </c>
      <c r="AS6" s="243" t="s">
        <v>586</v>
      </c>
      <c r="AT6" s="243" t="s">
        <v>587</v>
      </c>
      <c r="AU6" s="243" t="s">
        <v>588</v>
      </c>
      <c r="AX6" s="244"/>
      <c r="AY6" s="245" t="s">
        <v>581</v>
      </c>
      <c r="AZ6" s="245" t="s">
        <v>582</v>
      </c>
      <c r="BA6" s="245" t="s">
        <v>583</v>
      </c>
      <c r="BB6" s="98" t="s">
        <v>589</v>
      </c>
      <c r="BE6" s="379">
        <v>4.4000000000000004</v>
      </c>
      <c r="BF6" t="s">
        <v>1075</v>
      </c>
      <c r="BG6" t="s">
        <v>1076</v>
      </c>
      <c r="BH6" t="s">
        <v>264</v>
      </c>
      <c r="BI6" s="380">
        <v>5681.2116898800004</v>
      </c>
      <c r="BJ6">
        <v>0.5</v>
      </c>
    </row>
    <row r="7" spans="1:256">
      <c r="A7" s="203"/>
      <c r="B7" s="203"/>
      <c r="C7" s="203"/>
      <c r="D7" s="203"/>
      <c r="E7" s="203"/>
      <c r="F7" s="203"/>
      <c r="G7" s="203"/>
      <c r="H7" s="273" t="s">
        <v>755</v>
      </c>
      <c r="I7" s="27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Q7" s="99" t="s">
        <v>832</v>
      </c>
      <c r="AR7" s="100" t="s">
        <v>591</v>
      </c>
      <c r="AS7" s="101">
        <v>0</v>
      </c>
      <c r="AT7" s="101">
        <v>0</v>
      </c>
      <c r="AU7" s="101">
        <v>0</v>
      </c>
      <c r="AX7" s="184" t="str">
        <f>$C$38</f>
        <v>INDNGA</v>
      </c>
      <c r="AY7" s="456">
        <f>AS7+AS11</f>
        <v>16.317720875736878</v>
      </c>
      <c r="AZ7" s="456">
        <f>AT7+AT11</f>
        <v>8.6486537851288698</v>
      </c>
      <c r="BA7" s="456">
        <f>AU7+AU11</f>
        <v>5.2192352182809367</v>
      </c>
      <c r="BB7" s="2">
        <f t="shared" ref="BB7:BB22" si="0">IF(AY7=0,0,AZ7/AY7)</f>
        <v>0.53001603906515604</v>
      </c>
      <c r="BC7" s="2">
        <f t="shared" ref="BC7:BC22" si="1">IF(BA7=0,0,AZ7/BA7)</f>
        <v>1.6570730046494213</v>
      </c>
      <c r="BE7" s="381">
        <v>1.6</v>
      </c>
      <c r="BF7" t="s">
        <v>1077</v>
      </c>
      <c r="BH7" t="s">
        <v>265</v>
      </c>
      <c r="BI7" s="382">
        <v>1638.0532616400001</v>
      </c>
      <c r="BJ7">
        <v>0.5</v>
      </c>
    </row>
    <row r="8" spans="1:256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Q8" s="99" t="s">
        <v>830</v>
      </c>
      <c r="AR8" s="100" t="s">
        <v>801</v>
      </c>
      <c r="AS8" s="101">
        <v>0.30396168000000007</v>
      </c>
      <c r="AT8" s="101">
        <v>0.15479999999999999</v>
      </c>
      <c r="AU8" s="101">
        <v>9.3993660000000007E-2</v>
      </c>
      <c r="AX8" s="184" t="str">
        <f>$D$38</f>
        <v>INDLPG</v>
      </c>
      <c r="AY8" s="456">
        <f>AS13</f>
        <v>0</v>
      </c>
      <c r="AZ8" s="456">
        <f>AT13</f>
        <v>1.0800000000000001E-2</v>
      </c>
      <c r="BA8" s="456">
        <f>AU13</f>
        <v>1.0048320000000002E-3</v>
      </c>
      <c r="BB8" s="2">
        <f t="shared" si="0"/>
        <v>0</v>
      </c>
      <c r="BC8" s="2">
        <f t="shared" si="1"/>
        <v>10.748065348237315</v>
      </c>
      <c r="BE8" s="383">
        <f>VLOOKUP(Region,$BH$6:$BI$23,2,0)</f>
        <v>508.92982344000001</v>
      </c>
      <c r="BF8" t="s">
        <v>1082</v>
      </c>
      <c r="BH8" t="s">
        <v>266</v>
      </c>
      <c r="BI8" s="382">
        <v>4121.1413463600002</v>
      </c>
      <c r="BJ8">
        <v>0.5</v>
      </c>
    </row>
    <row r="9" spans="1:256">
      <c r="A9" s="203"/>
      <c r="B9" s="203"/>
      <c r="C9" s="214"/>
      <c r="D9" s="214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Q9" s="99" t="s">
        <v>956</v>
      </c>
      <c r="AR9" s="100" t="s">
        <v>800</v>
      </c>
      <c r="AS9" s="101">
        <v>3.2405832000000002E-2</v>
      </c>
      <c r="AT9" s="101">
        <v>1.7999999999999999E-2</v>
      </c>
      <c r="AU9" s="101">
        <v>1.1011284000000001E-2</v>
      </c>
      <c r="AX9" s="184" t="str">
        <f>$E$38</f>
        <v>INDNGL</v>
      </c>
      <c r="AY9" s="456">
        <f>AS20</f>
        <v>0</v>
      </c>
      <c r="AZ9" s="456">
        <f>AT20</f>
        <v>0</v>
      </c>
      <c r="BA9" s="456">
        <f>AU20</f>
        <v>0</v>
      </c>
      <c r="BB9" s="2">
        <f t="shared" si="0"/>
        <v>0</v>
      </c>
      <c r="BC9" s="2">
        <f t="shared" si="1"/>
        <v>0</v>
      </c>
      <c r="BE9" s="384">
        <f>BE8*BE6/1000</f>
        <v>2.239291223136</v>
      </c>
      <c r="BF9" t="s">
        <v>1078</v>
      </c>
      <c r="BH9" t="s">
        <v>267</v>
      </c>
      <c r="BI9" s="382">
        <v>12158.67654</v>
      </c>
      <c r="BJ9">
        <v>0.5</v>
      </c>
    </row>
    <row r="10" spans="1:256" ht="18">
      <c r="A10" s="215" t="s">
        <v>584</v>
      </c>
      <c r="B10" s="86" t="s">
        <v>986</v>
      </c>
      <c r="C10" s="88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Q10" s="99" t="s">
        <v>831</v>
      </c>
      <c r="AR10" s="100" t="s">
        <v>592</v>
      </c>
      <c r="AS10" s="101">
        <v>0</v>
      </c>
      <c r="AT10" s="101">
        <v>0</v>
      </c>
      <c r="AU10" s="101">
        <v>0</v>
      </c>
      <c r="AX10" s="184" t="str">
        <f>$F$38</f>
        <v>INDCOA</v>
      </c>
      <c r="AY10" s="456">
        <f t="shared" ref="AY10:BA11" si="2">AS33</f>
        <v>4.1812816814736946</v>
      </c>
      <c r="AZ10" s="456">
        <f t="shared" si="2"/>
        <v>0.59056236512182958</v>
      </c>
      <c r="BA10" s="456">
        <f t="shared" si="2"/>
        <v>2.906059667873615</v>
      </c>
      <c r="BB10" s="2">
        <f t="shared" si="0"/>
        <v>0.1412395552632765</v>
      </c>
      <c r="BC10" s="2">
        <f t="shared" si="1"/>
        <v>0.20321756351064477</v>
      </c>
      <c r="BE10" s="384">
        <f>BE9/BE7</f>
        <v>1.39955701446</v>
      </c>
      <c r="BF10" t="s">
        <v>1079</v>
      </c>
      <c r="BH10" t="s">
        <v>1094</v>
      </c>
      <c r="BI10" s="382">
        <v>10986.901332840001</v>
      </c>
      <c r="BJ10">
        <v>0.5</v>
      </c>
      <c r="BS10" s="33"/>
      <c r="BT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</row>
    <row r="11" spans="1:256" s="33" customFormat="1" ht="38.25" customHeight="1">
      <c r="A11" s="204" t="s">
        <v>811</v>
      </c>
      <c r="B11" s="209" t="s">
        <v>797</v>
      </c>
      <c r="C11" s="209" t="s">
        <v>798</v>
      </c>
      <c r="D11" s="209" t="s">
        <v>881</v>
      </c>
      <c r="E11" s="209" t="s">
        <v>562</v>
      </c>
      <c r="F11" s="209" t="s">
        <v>598</v>
      </c>
      <c r="G11" s="210" t="s">
        <v>194</v>
      </c>
      <c r="H11" s="209" t="s">
        <v>799</v>
      </c>
      <c r="I11" s="209" t="s">
        <v>812</v>
      </c>
      <c r="J11" s="209" t="s">
        <v>800</v>
      </c>
      <c r="K11" s="209" t="s">
        <v>801</v>
      </c>
      <c r="L11" s="209" t="s">
        <v>592</v>
      </c>
      <c r="M11" s="209" t="s">
        <v>591</v>
      </c>
      <c r="N11" s="209" t="s">
        <v>891</v>
      </c>
      <c r="O11" s="209" t="s">
        <v>892</v>
      </c>
      <c r="P11" s="209" t="s">
        <v>802</v>
      </c>
      <c r="Q11" s="209" t="s">
        <v>803</v>
      </c>
      <c r="R11" s="209" t="s">
        <v>890</v>
      </c>
      <c r="S11" s="209" t="s">
        <v>322</v>
      </c>
      <c r="T11" s="209" t="s">
        <v>594</v>
      </c>
      <c r="U11" s="209" t="s">
        <v>804</v>
      </c>
      <c r="V11" s="209" t="s">
        <v>805</v>
      </c>
      <c r="W11" s="209" t="s">
        <v>806</v>
      </c>
      <c r="X11" s="209" t="s">
        <v>947</v>
      </c>
      <c r="Y11" s="209" t="s">
        <v>323</v>
      </c>
      <c r="Z11" s="209" t="s">
        <v>1374</v>
      </c>
      <c r="AA11" s="211" t="s">
        <v>1375</v>
      </c>
      <c r="AB11" s="209" t="s">
        <v>745</v>
      </c>
      <c r="AC11" s="209" t="s">
        <v>595</v>
      </c>
      <c r="AD11" s="209" t="s">
        <v>807</v>
      </c>
      <c r="AE11" s="209" t="s">
        <v>604</v>
      </c>
      <c r="AF11" s="209" t="s">
        <v>948</v>
      </c>
      <c r="AG11" s="212" t="s">
        <v>748</v>
      </c>
      <c r="AH11" s="212" t="s">
        <v>95</v>
      </c>
      <c r="AI11" s="212" t="s">
        <v>96</v>
      </c>
      <c r="AJ11" s="212" t="s">
        <v>97</v>
      </c>
      <c r="AK11" s="209" t="s">
        <v>888</v>
      </c>
      <c r="AL11" s="212"/>
      <c r="AM11" s="212"/>
      <c r="AN11" s="212"/>
      <c r="AP11"/>
      <c r="AQ11" s="99" t="s">
        <v>951</v>
      </c>
      <c r="AR11" s="100" t="s">
        <v>798</v>
      </c>
      <c r="AS11" s="101">
        <v>16.317720875736878</v>
      </c>
      <c r="AT11" s="101">
        <v>8.6486537851288698</v>
      </c>
      <c r="AU11" s="101">
        <v>5.2192352182809367</v>
      </c>
      <c r="AV11"/>
      <c r="AW11"/>
      <c r="AX11" s="184" t="str">
        <f>$G$38</f>
        <v>INDCOK</v>
      </c>
      <c r="AY11" s="456">
        <f t="shared" si="2"/>
        <v>4.1281514391858648E-3</v>
      </c>
      <c r="AZ11" s="456">
        <f t="shared" si="2"/>
        <v>2.2173698027878712E-4</v>
      </c>
      <c r="BA11" s="456">
        <f t="shared" si="2"/>
        <v>3.5710093737158291E-3</v>
      </c>
      <c r="BB11" s="2">
        <f t="shared" si="0"/>
        <v>5.3713383228624255E-2</v>
      </c>
      <c r="BC11" s="2">
        <f t="shared" si="1"/>
        <v>6.2093642741704078E-2</v>
      </c>
      <c r="BD11"/>
      <c r="BE11"/>
      <c r="BF11"/>
      <c r="BG11"/>
      <c r="BH11" s="33" t="s">
        <v>268</v>
      </c>
      <c r="BI11" s="382">
        <v>3451.4162128799999</v>
      </c>
      <c r="BJ11" s="33">
        <v>0.5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>
      <c r="A12" s="205" t="s">
        <v>791</v>
      </c>
      <c r="B12" s="36">
        <v>11.722855029052054</v>
      </c>
      <c r="C12" s="36">
        <v>2.0708122280000003</v>
      </c>
      <c r="D12" s="36">
        <v>5.1199830039999998</v>
      </c>
      <c r="E12" s="36">
        <v>0</v>
      </c>
      <c r="F12" s="36">
        <v>0</v>
      </c>
      <c r="G12" s="36">
        <v>0</v>
      </c>
      <c r="H12" s="36">
        <v>8.0868042000000013</v>
      </c>
      <c r="I12" s="36">
        <v>0</v>
      </c>
      <c r="J12" s="36">
        <v>3.8544936840000004</v>
      </c>
      <c r="K12" s="36">
        <v>2.1555739800000002</v>
      </c>
      <c r="L12" s="36">
        <v>0</v>
      </c>
      <c r="M12" s="36">
        <v>0</v>
      </c>
      <c r="N12" s="36">
        <v>0</v>
      </c>
      <c r="O12" s="36">
        <v>0</v>
      </c>
      <c r="P12" s="36">
        <v>2.2660056760000002</v>
      </c>
      <c r="Q12" s="36">
        <v>0.16940276000000004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36">
        <v>0</v>
      </c>
      <c r="AD12" s="36">
        <v>1.4910000000000001</v>
      </c>
      <c r="AE12" s="36">
        <v>0</v>
      </c>
      <c r="AF12" s="36">
        <v>0</v>
      </c>
      <c r="AG12" s="105">
        <v>0</v>
      </c>
      <c r="AH12" s="105">
        <v>0</v>
      </c>
      <c r="AI12" s="105">
        <v>0</v>
      </c>
      <c r="AJ12" s="105">
        <v>0</v>
      </c>
      <c r="AK12" s="36">
        <v>36.936930561052066</v>
      </c>
      <c r="AL12" s="213">
        <v>7.7008101694588729E-2</v>
      </c>
      <c r="AM12" s="203" t="s">
        <v>791</v>
      </c>
      <c r="AN12" s="457" t="s">
        <v>443</v>
      </c>
      <c r="AO12" s="345">
        <v>22.915235628000001</v>
      </c>
      <c r="AQ12" s="99" t="s">
        <v>833</v>
      </c>
      <c r="AR12" s="100" t="s">
        <v>891</v>
      </c>
      <c r="AS12" s="101">
        <v>9.901782000000002E-2</v>
      </c>
      <c r="AT12" s="101">
        <v>4.6800000000000001E-2</v>
      </c>
      <c r="AU12" s="101">
        <v>6.3011339999999999E-2</v>
      </c>
      <c r="AX12" s="184" t="str">
        <f>$H$38</f>
        <v>INDCOG</v>
      </c>
      <c r="AY12" s="456">
        <f>AS9</f>
        <v>3.2405832000000002E-2</v>
      </c>
      <c r="AZ12" s="456">
        <f>AT9</f>
        <v>1.7999999999999999E-2</v>
      </c>
      <c r="BA12" s="456">
        <f>AU9</f>
        <v>1.1011284000000001E-2</v>
      </c>
      <c r="BB12" s="2">
        <f t="shared" si="0"/>
        <v>0.55545557355231601</v>
      </c>
      <c r="BC12" s="2">
        <f t="shared" si="1"/>
        <v>1.6346867449790594</v>
      </c>
      <c r="BH12" t="s">
        <v>269</v>
      </c>
      <c r="BI12" s="382">
        <v>5567.2465751999998</v>
      </c>
      <c r="BJ12">
        <v>0.5</v>
      </c>
    </row>
    <row r="13" spans="1:256">
      <c r="A13" s="203" t="s">
        <v>793</v>
      </c>
      <c r="B13" s="36">
        <v>7.4452852050520555</v>
      </c>
      <c r="C13" s="36">
        <v>5.4768176000000009E-2</v>
      </c>
      <c r="D13" s="36">
        <v>0.54698771199999996</v>
      </c>
      <c r="E13" s="37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0.55498449999999999</v>
      </c>
      <c r="Q13" s="36">
        <v>0.33780552000000003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0.39592313600000001</v>
      </c>
      <c r="AC13" s="36">
        <v>0</v>
      </c>
      <c r="AD13" s="36">
        <v>2.476</v>
      </c>
      <c r="AE13" s="36">
        <v>0</v>
      </c>
      <c r="AF13" s="36">
        <v>0</v>
      </c>
      <c r="AG13" s="105">
        <v>0</v>
      </c>
      <c r="AH13" s="105">
        <v>0</v>
      </c>
      <c r="AI13" s="105">
        <v>0</v>
      </c>
      <c r="AJ13" s="105">
        <v>0</v>
      </c>
      <c r="AK13" s="36">
        <v>11.811754249052056</v>
      </c>
      <c r="AL13" s="213">
        <v>2.4625781259735059E-2</v>
      </c>
      <c r="AM13" s="203" t="s">
        <v>793</v>
      </c>
      <c r="AN13" s="203"/>
      <c r="AQ13" s="99" t="s">
        <v>1297</v>
      </c>
      <c r="AR13" s="100" t="s">
        <v>663</v>
      </c>
      <c r="AS13" s="101">
        <v>0</v>
      </c>
      <c r="AT13" s="101">
        <v>1.0800000000000001E-2</v>
      </c>
      <c r="AU13" s="101">
        <v>1.0048320000000002E-3</v>
      </c>
      <c r="AX13" s="184" t="str">
        <f>$I$38</f>
        <v>INDBFG</v>
      </c>
      <c r="AY13" s="456">
        <f>AS8+AS10</f>
        <v>0.30396168000000007</v>
      </c>
      <c r="AZ13" s="456">
        <f>AT8+AT10</f>
        <v>0.15479999999999999</v>
      </c>
      <c r="BA13" s="456">
        <f>AU8+AU10</f>
        <v>9.3993660000000007E-2</v>
      </c>
      <c r="BB13" s="2">
        <f t="shared" si="0"/>
        <v>0.5092747217346606</v>
      </c>
      <c r="BC13" s="2">
        <f t="shared" si="1"/>
        <v>1.6469195901085241</v>
      </c>
      <c r="BH13" t="s">
        <v>1095</v>
      </c>
      <c r="BI13" s="382">
        <v>14002.61192352</v>
      </c>
      <c r="BJ13">
        <v>0.5</v>
      </c>
    </row>
    <row r="14" spans="1:256">
      <c r="A14" s="203" t="s">
        <v>792</v>
      </c>
      <c r="B14" s="36">
        <v>16.563068795327236</v>
      </c>
      <c r="C14" s="36">
        <v>1.8421761920000002</v>
      </c>
      <c r="D14" s="36">
        <v>5.4000027240000001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0</v>
      </c>
      <c r="M14" s="36">
        <v>0</v>
      </c>
      <c r="N14" s="36">
        <v>11.929491108000001</v>
      </c>
      <c r="O14" s="36">
        <v>0</v>
      </c>
      <c r="P14" s="36">
        <v>2.9739936120000001</v>
      </c>
      <c r="Q14" s="36">
        <v>0.16640276000000001</v>
      </c>
      <c r="R14" s="36">
        <v>0</v>
      </c>
      <c r="S14" s="36">
        <v>0</v>
      </c>
      <c r="T14" s="36">
        <v>6.000019344</v>
      </c>
      <c r="U14" s="36">
        <v>0</v>
      </c>
      <c r="V14" s="36">
        <v>13.774999060000003</v>
      </c>
      <c r="W14" s="36">
        <v>0</v>
      </c>
      <c r="X14" s="44">
        <v>0.24595679199999998</v>
      </c>
      <c r="Y14" s="44">
        <v>0</v>
      </c>
      <c r="Z14" s="44">
        <v>0</v>
      </c>
      <c r="AA14" s="44">
        <v>0</v>
      </c>
      <c r="AB14" s="44">
        <v>0</v>
      </c>
      <c r="AC14" s="36">
        <v>7.9977543999999998E-2</v>
      </c>
      <c r="AD14" s="36">
        <v>13.696</v>
      </c>
      <c r="AE14" s="36">
        <v>0</v>
      </c>
      <c r="AF14" s="36">
        <v>0</v>
      </c>
      <c r="AG14" s="105">
        <v>0</v>
      </c>
      <c r="AH14" s="105">
        <v>0</v>
      </c>
      <c r="AI14" s="105">
        <v>0</v>
      </c>
      <c r="AJ14" s="105">
        <v>0</v>
      </c>
      <c r="AK14" s="36">
        <v>72.672087931327241</v>
      </c>
      <c r="AL14" s="213">
        <v>0.15151068193183248</v>
      </c>
      <c r="AM14" s="203" t="s">
        <v>792</v>
      </c>
      <c r="AN14" s="203"/>
      <c r="AQ14" s="109" t="s">
        <v>843</v>
      </c>
      <c r="AR14" s="110" t="s">
        <v>804</v>
      </c>
      <c r="AS14" s="101">
        <v>0</v>
      </c>
      <c r="AT14" s="101">
        <v>0</v>
      </c>
      <c r="AU14" s="101">
        <v>0</v>
      </c>
      <c r="AX14" s="184" t="str">
        <f>$J$38</f>
        <v>INDBCO</v>
      </c>
      <c r="AY14" s="456">
        <f>AS32</f>
        <v>15.212942315600152</v>
      </c>
      <c r="AZ14" s="456">
        <f>AT32</f>
        <v>2.9044987354506109</v>
      </c>
      <c r="BA14" s="456">
        <f>AU32</f>
        <v>9.8416728792855857</v>
      </c>
      <c r="BB14" s="2">
        <f t="shared" si="0"/>
        <v>0.19092287837522298</v>
      </c>
      <c r="BC14" s="2">
        <f t="shared" si="1"/>
        <v>0.29512246251995428</v>
      </c>
      <c r="BH14" t="s">
        <v>1096</v>
      </c>
      <c r="BI14" s="382">
        <v>14105.901116880001</v>
      </c>
      <c r="BJ14">
        <v>0.5</v>
      </c>
    </row>
    <row r="15" spans="1:256">
      <c r="A15" s="203" t="s">
        <v>795</v>
      </c>
      <c r="B15" s="36">
        <v>75.326143673109343</v>
      </c>
      <c r="C15" s="36">
        <v>21.139650812000003</v>
      </c>
      <c r="D15" s="36">
        <v>2.6189835000000001</v>
      </c>
      <c r="E15" s="36">
        <v>0</v>
      </c>
      <c r="F15" s="36">
        <v>0.50095545200000002</v>
      </c>
      <c r="G15" s="36">
        <v>8.4986661680000015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4.6740050399999999</v>
      </c>
      <c r="Q15" s="36">
        <v>0.21298251600000001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44">
        <v>117.75534757600001</v>
      </c>
      <c r="Y15" s="44">
        <v>0</v>
      </c>
      <c r="Z15" s="44">
        <v>0</v>
      </c>
      <c r="AA15" s="44">
        <v>3.0144959999999998E-3</v>
      </c>
      <c r="AB15" s="44">
        <v>1.5367327359999998</v>
      </c>
      <c r="AC15" s="36">
        <v>0.16596475200000002</v>
      </c>
      <c r="AD15" s="36">
        <v>4.9939999999999998</v>
      </c>
      <c r="AE15" s="36">
        <v>0</v>
      </c>
      <c r="AF15" s="36">
        <v>0</v>
      </c>
      <c r="AG15" s="105">
        <v>0</v>
      </c>
      <c r="AH15" s="105">
        <v>0</v>
      </c>
      <c r="AI15" s="105">
        <v>0</v>
      </c>
      <c r="AJ15" s="105">
        <v>0</v>
      </c>
      <c r="AK15" s="36">
        <v>237.42644672110936</v>
      </c>
      <c r="AL15" s="213">
        <v>0.4949994402990065</v>
      </c>
      <c r="AM15" s="203" t="s">
        <v>795</v>
      </c>
      <c r="AN15" s="203"/>
      <c r="AQ15" s="99" t="s">
        <v>902</v>
      </c>
      <c r="AR15" s="100" t="s">
        <v>902</v>
      </c>
      <c r="AS15" s="131">
        <v>16.753106207736877</v>
      </c>
      <c r="AT15" s="131">
        <v>8.8790537851288693</v>
      </c>
      <c r="AU15" s="131">
        <v>5.3882563342809364</v>
      </c>
      <c r="AX15" s="184" t="str">
        <f>$K$38</f>
        <v>INDHFO</v>
      </c>
      <c r="AY15" s="456">
        <f>AS24+AS16+AS21+AS22</f>
        <v>1.4896480936063135</v>
      </c>
      <c r="AZ15" s="456">
        <f>AT24+AT16+AT21+AT22</f>
        <v>0.60263999999999995</v>
      </c>
      <c r="BA15" s="456">
        <f>AU24+AU16+AU21+AU22</f>
        <v>0.71990769959999834</v>
      </c>
      <c r="BB15" s="2">
        <f t="shared" si="0"/>
        <v>0.40455192242152904</v>
      </c>
      <c r="BC15" s="2">
        <f t="shared" si="1"/>
        <v>0.83710731297198826</v>
      </c>
      <c r="BH15" t="s">
        <v>270</v>
      </c>
      <c r="BI15" s="382">
        <v>13859.407035</v>
      </c>
      <c r="BJ15">
        <v>0.5</v>
      </c>
    </row>
    <row r="16" spans="1:256">
      <c r="A16" s="203" t="s">
        <v>794</v>
      </c>
      <c r="B16" s="36">
        <v>3.2241311972483477</v>
      </c>
      <c r="C16" s="36">
        <v>1.554742512</v>
      </c>
      <c r="D16" s="36">
        <v>0.78298156799999996</v>
      </c>
      <c r="E16" s="36">
        <v>0</v>
      </c>
      <c r="F16" s="36">
        <v>3.3940086960000002</v>
      </c>
      <c r="G16" s="36">
        <v>9.173924E-3</v>
      </c>
      <c r="H16" s="36">
        <v>0.41018079600000007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0.37800687199999999</v>
      </c>
      <c r="Q16" s="36">
        <v>0.40300690000000006</v>
      </c>
      <c r="R16" s="36">
        <v>0</v>
      </c>
      <c r="S16" s="36">
        <v>0</v>
      </c>
      <c r="T16" s="36">
        <v>0.68002005600000004</v>
      </c>
      <c r="U16" s="36">
        <v>0</v>
      </c>
      <c r="V16" s="36">
        <v>0</v>
      </c>
      <c r="W16" s="36">
        <v>0.93802039199999998</v>
      </c>
      <c r="X16" s="44">
        <v>0.11898081199999999</v>
      </c>
      <c r="Y16" s="44">
        <v>0</v>
      </c>
      <c r="Z16" s="44">
        <v>0</v>
      </c>
      <c r="AA16" s="44">
        <v>0</v>
      </c>
      <c r="AB16" s="44">
        <v>0</v>
      </c>
      <c r="AC16" s="36">
        <v>5.5992012000000001E-2</v>
      </c>
      <c r="AD16" s="36">
        <v>0.80899999999999994</v>
      </c>
      <c r="AE16" s="36">
        <v>0</v>
      </c>
      <c r="AF16" s="36">
        <v>0</v>
      </c>
      <c r="AG16" s="105">
        <v>0</v>
      </c>
      <c r="AH16" s="105">
        <v>0</v>
      </c>
      <c r="AI16" s="105">
        <v>0</v>
      </c>
      <c r="AJ16" s="105">
        <v>0</v>
      </c>
      <c r="AK16" s="36">
        <v>12.75824573724835</v>
      </c>
      <c r="AL16" s="213">
        <v>2.6599077677952838E-2</v>
      </c>
      <c r="AM16" s="203" t="s">
        <v>794</v>
      </c>
      <c r="AN16" s="203"/>
      <c r="AQ16" s="99" t="s">
        <v>834</v>
      </c>
      <c r="AR16" s="100" t="s">
        <v>892</v>
      </c>
      <c r="AS16" s="101">
        <v>0</v>
      </c>
      <c r="AT16" s="101">
        <v>0</v>
      </c>
      <c r="AU16" s="101">
        <v>0</v>
      </c>
      <c r="AX16" s="184" t="str">
        <f>$L$38</f>
        <v>INDOIL</v>
      </c>
      <c r="AY16" s="456">
        <f>AS17+AS18+AS23</f>
        <v>4.0787516410912716E-2</v>
      </c>
      <c r="AZ16" s="456">
        <f>AT17+AT18+AT23</f>
        <v>1.0800000000000001E-2</v>
      </c>
      <c r="BA16" s="456">
        <f>AU17+AU18+AU23</f>
        <v>6.9919560000000214E-3</v>
      </c>
      <c r="BB16" s="2">
        <f t="shared" si="0"/>
        <v>0.26478689928545041</v>
      </c>
      <c r="BC16" s="2">
        <f t="shared" si="1"/>
        <v>1.5446321458544601</v>
      </c>
      <c r="BH16" t="s">
        <v>271</v>
      </c>
      <c r="BI16" s="382">
        <v>11096.639454240001</v>
      </c>
      <c r="BJ16">
        <v>0.5</v>
      </c>
    </row>
    <row r="17" spans="1:65">
      <c r="A17" s="203" t="s">
        <v>904</v>
      </c>
      <c r="B17" s="63">
        <v>27.551865994940833</v>
      </c>
      <c r="C17" s="63">
        <v>2.1847280135018075</v>
      </c>
      <c r="D17" s="63">
        <v>1.4742477339234175</v>
      </c>
      <c r="E17" s="63">
        <v>0</v>
      </c>
      <c r="F17" s="63">
        <v>0</v>
      </c>
      <c r="G17" s="63">
        <v>1.0076607469881673</v>
      </c>
      <c r="H17" s="63">
        <v>2.9307599999997436E-2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3.2596684670213811</v>
      </c>
      <c r="Q17" s="63">
        <v>18.773313880578993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4.5791155885674675</v>
      </c>
      <c r="Y17" s="63">
        <v>0</v>
      </c>
      <c r="Z17" s="63">
        <v>0.257613804</v>
      </c>
      <c r="AA17" s="63">
        <v>8.5378043186728203E-2</v>
      </c>
      <c r="AB17" s="63">
        <v>0.53279319237746159</v>
      </c>
      <c r="AC17" s="63">
        <v>1.1922484014202832E-2</v>
      </c>
      <c r="AD17" s="63">
        <v>48.29689077901255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108.04450632811303</v>
      </c>
      <c r="AL17" s="213">
        <v>0.22525700442554525</v>
      </c>
      <c r="AM17" s="203" t="s">
        <v>904</v>
      </c>
      <c r="AN17" s="209" t="s">
        <v>888</v>
      </c>
      <c r="AO17" s="209" t="s">
        <v>797</v>
      </c>
      <c r="AQ17" s="99" t="s">
        <v>836</v>
      </c>
      <c r="AR17" s="100" t="s">
        <v>803</v>
      </c>
      <c r="AS17" s="101">
        <v>4.0787516410912716E-2</v>
      </c>
      <c r="AT17" s="101">
        <v>1.0800000000000001E-2</v>
      </c>
      <c r="AU17" s="101">
        <v>6.9919560000000214E-3</v>
      </c>
      <c r="AX17" s="184" t="str">
        <f>$M$38</f>
        <v>INDETH</v>
      </c>
      <c r="AY17" s="456">
        <f>AS12+AS14</f>
        <v>9.901782000000002E-2</v>
      </c>
      <c r="AZ17" s="456">
        <f>AT12+AT14</f>
        <v>4.6800000000000001E-2</v>
      </c>
      <c r="BA17" s="456">
        <f>AU12+AU14</f>
        <v>6.3011339999999999E-2</v>
      </c>
      <c r="BB17" s="2">
        <f t="shared" si="0"/>
        <v>0.4726421971317889</v>
      </c>
      <c r="BC17" s="2">
        <f t="shared" si="1"/>
        <v>0.74272345263566852</v>
      </c>
      <c r="BH17" t="s">
        <v>563</v>
      </c>
      <c r="BI17" s="382">
        <v>34882.570383840008</v>
      </c>
      <c r="BJ17">
        <v>0.5</v>
      </c>
    </row>
    <row r="18" spans="1:65">
      <c r="A18" s="203" t="s">
        <v>796</v>
      </c>
      <c r="B18" s="36">
        <v>141.83334989472985</v>
      </c>
      <c r="C18" s="36">
        <v>28.846877933501812</v>
      </c>
      <c r="D18" s="36">
        <v>15.943186241923419</v>
      </c>
      <c r="E18" s="36">
        <v>0</v>
      </c>
      <c r="F18" s="36">
        <v>3.8949641480000001</v>
      </c>
      <c r="G18" s="36">
        <v>9.515500838988169</v>
      </c>
      <c r="H18" s="36">
        <v>8.5262925959999993</v>
      </c>
      <c r="I18" s="36">
        <v>0</v>
      </c>
      <c r="J18" s="36">
        <v>3.8544936840000004</v>
      </c>
      <c r="K18" s="36">
        <v>2.1555739800000002</v>
      </c>
      <c r="L18" s="36">
        <v>0</v>
      </c>
      <c r="M18" s="36">
        <v>0</v>
      </c>
      <c r="N18" s="36">
        <v>11.929491108000001</v>
      </c>
      <c r="O18" s="36">
        <v>0</v>
      </c>
      <c r="P18" s="36">
        <v>14.106664167021384</v>
      </c>
      <c r="Q18" s="36">
        <v>20.062914336578995</v>
      </c>
      <c r="R18" s="36">
        <v>0</v>
      </c>
      <c r="S18" s="36">
        <v>0</v>
      </c>
      <c r="T18" s="36">
        <v>6.6799975319999998</v>
      </c>
      <c r="U18" s="36">
        <v>0</v>
      </c>
      <c r="V18" s="36">
        <v>13.774999060000003</v>
      </c>
      <c r="W18" s="36">
        <v>0.93802039199999998</v>
      </c>
      <c r="X18" s="44">
        <v>122.69940076856747</v>
      </c>
      <c r="Y18" s="279">
        <v>0</v>
      </c>
      <c r="Z18" s="279">
        <v>0.257613804</v>
      </c>
      <c r="AA18" s="44">
        <v>8.8392539186728208E-2</v>
      </c>
      <c r="AB18" s="44">
        <v>2.4654490643774616</v>
      </c>
      <c r="AC18" s="36">
        <v>0.3138567920142028</v>
      </c>
      <c r="AD18" s="36">
        <v>71.762890779012551</v>
      </c>
      <c r="AE18" s="36">
        <v>0</v>
      </c>
      <c r="AF18" s="36">
        <v>0</v>
      </c>
      <c r="AG18" s="105">
        <v>0</v>
      </c>
      <c r="AH18" s="105">
        <v>0</v>
      </c>
      <c r="AI18" s="105">
        <v>0</v>
      </c>
      <c r="AJ18" s="105">
        <v>0</v>
      </c>
      <c r="AK18" s="36">
        <v>479.64992965990206</v>
      </c>
      <c r="AL18" s="213">
        <v>1</v>
      </c>
      <c r="AM18" s="203" t="s">
        <v>1100</v>
      </c>
      <c r="AN18" s="93">
        <v>3.3404811717976397</v>
      </c>
      <c r="AO18" s="93">
        <v>0.97182938703608102</v>
      </c>
      <c r="AQ18" s="99" t="s">
        <v>838</v>
      </c>
      <c r="AR18" s="100" t="s">
        <v>593</v>
      </c>
      <c r="AS18" s="101">
        <v>0</v>
      </c>
      <c r="AT18" s="101">
        <v>0</v>
      </c>
      <c r="AU18" s="101">
        <v>0</v>
      </c>
      <c r="AX18" s="184" t="str">
        <f>$O$38</f>
        <v>INDPTC</v>
      </c>
      <c r="AY18" s="456">
        <f>AS35</f>
        <v>0</v>
      </c>
      <c r="AZ18" s="456">
        <f>AT35</f>
        <v>0</v>
      </c>
      <c r="BA18" s="456">
        <f>AU35</f>
        <v>0</v>
      </c>
      <c r="BB18" s="2">
        <f t="shared" si="0"/>
        <v>0</v>
      </c>
      <c r="BC18" s="2">
        <f t="shared" si="1"/>
        <v>0</v>
      </c>
      <c r="BH18" t="s">
        <v>705</v>
      </c>
      <c r="BI18" s="382">
        <v>26445.782779560002</v>
      </c>
      <c r="BJ18">
        <v>0.5</v>
      </c>
    </row>
    <row r="19" spans="1:65">
      <c r="A19" s="203" t="s">
        <v>1014</v>
      </c>
      <c r="B19" s="36">
        <v>1.4402592000000001E-2</v>
      </c>
      <c r="C19" s="36">
        <v>0.85833586800000006</v>
      </c>
      <c r="D19" s="36">
        <v>0.18400986</v>
      </c>
      <c r="E19" s="36">
        <v>0</v>
      </c>
      <c r="F19" s="36">
        <v>0</v>
      </c>
      <c r="G19" s="36">
        <v>2.0389716000000002E-2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2.1199861800000002</v>
      </c>
      <c r="Q19" s="36">
        <v>0.34080552000000003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44">
        <v>0</v>
      </c>
      <c r="Y19" s="44">
        <v>0</v>
      </c>
      <c r="Z19" s="44">
        <v>0</v>
      </c>
      <c r="AA19" s="44">
        <v>9.9980784000000003E-2</v>
      </c>
      <c r="AB19" s="44">
        <v>0.58188146400000007</v>
      </c>
      <c r="AC19" s="36">
        <v>0</v>
      </c>
      <c r="AD19" s="36">
        <v>29.609211901609065</v>
      </c>
      <c r="AE19" s="36">
        <v>0</v>
      </c>
      <c r="AF19" s="36">
        <v>0</v>
      </c>
      <c r="AG19" s="105">
        <v>0</v>
      </c>
      <c r="AH19" s="105">
        <v>0</v>
      </c>
      <c r="AI19" s="105">
        <v>0</v>
      </c>
      <c r="AJ19" s="105">
        <v>0</v>
      </c>
      <c r="AK19" s="36">
        <v>33.829003885609069</v>
      </c>
      <c r="AL19" s="213"/>
      <c r="AM19" s="203" t="s">
        <v>1101</v>
      </c>
      <c r="AN19" s="93">
        <v>12.521596367530464</v>
      </c>
      <c r="AO19" s="93">
        <v>8.7778050471567415</v>
      </c>
      <c r="AQ19" s="99" t="s">
        <v>841</v>
      </c>
      <c r="AR19" s="100" t="s">
        <v>805</v>
      </c>
      <c r="AS19" s="101">
        <v>0</v>
      </c>
      <c r="AT19" s="101">
        <v>0</v>
      </c>
      <c r="AU19" s="101">
        <v>0</v>
      </c>
      <c r="AX19" s="184" t="str">
        <f>$P$38</f>
        <v>INDBIO</v>
      </c>
      <c r="AY19" s="456">
        <f>SUM(AS26:AS28)</f>
        <v>1.9699746549099917</v>
      </c>
      <c r="AZ19" s="456">
        <f>SUM(AT26:AT28)</f>
        <v>0.40057510005571662</v>
      </c>
      <c r="BA19" s="456">
        <f>SUM(AU26:AU28)</f>
        <v>1.1069937227936557</v>
      </c>
      <c r="BB19" s="2">
        <f t="shared" si="0"/>
        <v>0.20334023032089157</v>
      </c>
      <c r="BC19" s="2">
        <f t="shared" si="1"/>
        <v>0.36185851085479376</v>
      </c>
      <c r="BH19" t="s">
        <v>1097</v>
      </c>
      <c r="BI19" s="382">
        <v>332.16270875999999</v>
      </c>
      <c r="BJ19" s="2">
        <v>1</v>
      </c>
    </row>
    <row r="20" spans="1:65">
      <c r="A20" s="206" t="s">
        <v>594</v>
      </c>
      <c r="B20" s="36">
        <v>0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5.2824018240000008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44">
        <v>0</v>
      </c>
      <c r="Y20" s="44">
        <v>0</v>
      </c>
      <c r="Z20" s="44">
        <v>0.24790042799999998</v>
      </c>
      <c r="AA20" s="44">
        <v>0.54189752400000002</v>
      </c>
      <c r="AB20" s="44">
        <v>0</v>
      </c>
      <c r="AC20" s="36">
        <v>0</v>
      </c>
      <c r="AD20" s="36">
        <v>0</v>
      </c>
      <c r="AE20" s="36">
        <v>0</v>
      </c>
      <c r="AF20" s="36">
        <v>0</v>
      </c>
      <c r="AG20" s="105">
        <v>0</v>
      </c>
      <c r="AH20" s="105">
        <v>0</v>
      </c>
      <c r="AI20" s="105">
        <v>0</v>
      </c>
      <c r="AJ20" s="105">
        <v>0</v>
      </c>
      <c r="AK20" s="36">
        <v>6.0721997760000015</v>
      </c>
      <c r="AL20" s="213"/>
      <c r="AM20" s="203" t="s">
        <v>1102</v>
      </c>
      <c r="AN20" s="93">
        <v>5.9621924292850936</v>
      </c>
      <c r="AO20" s="93">
        <v>4.0450899017738893</v>
      </c>
      <c r="AQ20" s="99" t="s">
        <v>756</v>
      </c>
      <c r="AR20" s="100" t="s">
        <v>562</v>
      </c>
      <c r="AS20" s="101">
        <v>0</v>
      </c>
      <c r="AT20" s="101">
        <v>0</v>
      </c>
      <c r="AU20" s="101">
        <v>0</v>
      </c>
      <c r="AX20" s="184" t="str">
        <f>$P$38</f>
        <v>INDBIO</v>
      </c>
      <c r="AY20" s="456">
        <f>SUM(AS26:AS30)-AY19</f>
        <v>71.835063974884633</v>
      </c>
      <c r="AZ20" s="456">
        <f>SUM(AT26:AT30)-AZ19</f>
        <v>24.021623073999521</v>
      </c>
      <c r="BA20" s="456">
        <f>SUM(AU26:AU30)-BA19</f>
        <v>36.127353641214896</v>
      </c>
      <c r="BB20" s="2">
        <f t="shared" si="0"/>
        <v>0.33439968929933844</v>
      </c>
      <c r="BC20" s="2">
        <f t="shared" si="1"/>
        <v>0.66491510318085167</v>
      </c>
      <c r="BH20" t="s">
        <v>86</v>
      </c>
      <c r="BI20" s="382">
        <v>508.92982344000001</v>
      </c>
      <c r="BJ20" s="285">
        <f>0.384999605483794*0+0.24</f>
        <v>0.24</v>
      </c>
    </row>
    <row r="21" spans="1:65">
      <c r="A21" s="203" t="s">
        <v>903</v>
      </c>
      <c r="B21" s="36">
        <v>0</v>
      </c>
      <c r="C21" s="36">
        <v>1.3792993920000003</v>
      </c>
      <c r="D21" s="36">
        <v>5.5200027240000002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2.9699903160000001</v>
      </c>
      <c r="O21" s="36">
        <v>0</v>
      </c>
      <c r="P21" s="36">
        <v>1.6799953679999999</v>
      </c>
      <c r="Q21" s="36">
        <v>0</v>
      </c>
      <c r="R21" s="36">
        <v>0</v>
      </c>
      <c r="S21" s="36">
        <v>0</v>
      </c>
      <c r="T21" s="36">
        <v>5.5200027240000002</v>
      </c>
      <c r="U21" s="36">
        <v>0</v>
      </c>
      <c r="V21" s="36">
        <v>13.774999060000003</v>
      </c>
      <c r="W21" s="36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36">
        <v>0</v>
      </c>
      <c r="AD21" s="36">
        <v>0</v>
      </c>
      <c r="AE21" s="36">
        <v>0</v>
      </c>
      <c r="AF21" s="36">
        <v>0</v>
      </c>
      <c r="AG21" s="105">
        <v>0</v>
      </c>
      <c r="AH21" s="105">
        <v>0</v>
      </c>
      <c r="AI21" s="105">
        <v>0</v>
      </c>
      <c r="AJ21" s="105">
        <v>0</v>
      </c>
      <c r="AK21" s="36">
        <v>31.149289584000002</v>
      </c>
      <c r="AL21" s="213"/>
      <c r="AM21" s="203" t="s">
        <v>1103</v>
      </c>
      <c r="AN21" s="93">
        <v>14.602592381414976</v>
      </c>
      <c r="AO21" s="93">
        <v>6.4238236106850417</v>
      </c>
      <c r="AQ21" s="99" t="s">
        <v>840</v>
      </c>
      <c r="AR21" s="100" t="s">
        <v>893</v>
      </c>
      <c r="AS21" s="101">
        <v>0</v>
      </c>
      <c r="AT21" s="101">
        <v>0</v>
      </c>
      <c r="AU21" s="101">
        <v>0</v>
      </c>
      <c r="AX21" s="184" t="str">
        <f>$Q$38</f>
        <v>INDGEO</v>
      </c>
      <c r="AY21" s="456">
        <f>AS39</f>
        <v>0</v>
      </c>
      <c r="AZ21" s="456">
        <f>AT39</f>
        <v>0</v>
      </c>
      <c r="BA21" s="456">
        <f>AU39</f>
        <v>0</v>
      </c>
      <c r="BB21" s="2">
        <f t="shared" si="0"/>
        <v>0</v>
      </c>
      <c r="BC21" s="2">
        <f t="shared" si="1"/>
        <v>0</v>
      </c>
      <c r="BH21" t="s">
        <v>1098</v>
      </c>
      <c r="BI21" s="382">
        <v>672.59016071999997</v>
      </c>
      <c r="BJ21" s="2">
        <v>1</v>
      </c>
    </row>
    <row r="22" spans="1:65">
      <c r="A22" s="207" t="s">
        <v>19</v>
      </c>
      <c r="B22" s="36">
        <v>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1.9999924919999996</v>
      </c>
      <c r="U22" s="36">
        <v>0</v>
      </c>
      <c r="V22" s="36">
        <v>0</v>
      </c>
      <c r="W22" s="36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36">
        <v>0</v>
      </c>
      <c r="AD22" s="36">
        <v>0</v>
      </c>
      <c r="AE22" s="36">
        <v>0</v>
      </c>
      <c r="AF22" s="36">
        <v>0</v>
      </c>
      <c r="AG22" s="44">
        <v>2.7467920079999999</v>
      </c>
      <c r="AH22" s="44">
        <v>3.1499808480000002</v>
      </c>
      <c r="AI22" s="44">
        <v>10.92001176</v>
      </c>
      <c r="AJ22" s="44">
        <v>0.16001949600000001</v>
      </c>
      <c r="AK22" s="36">
        <v>18.976796604</v>
      </c>
      <c r="AL22" s="213"/>
      <c r="AM22" s="203" t="s">
        <v>1104</v>
      </c>
      <c r="AN22" s="93">
        <v>24.235396012598812</v>
      </c>
      <c r="AO22" s="93">
        <v>6.2306722772483489</v>
      </c>
      <c r="AQ22" s="99" t="s">
        <v>839</v>
      </c>
      <c r="AR22" s="100" t="s">
        <v>594</v>
      </c>
      <c r="AS22" s="101">
        <v>0</v>
      </c>
      <c r="AT22" s="101">
        <v>0</v>
      </c>
      <c r="AU22" s="101">
        <v>7.9967880000000012E-3</v>
      </c>
      <c r="AX22" s="111" t="s">
        <v>590</v>
      </c>
      <c r="AY22" s="2">
        <f>SUM(AY7:AY21)</f>
        <v>111.48693259606176</v>
      </c>
      <c r="AZ22" s="2">
        <f>SUM(AZ7:AZ21)</f>
        <v>37.409974796736826</v>
      </c>
      <c r="BA22" s="2">
        <f>SUM(BA7:BA21)</f>
        <v>56.100806910422406</v>
      </c>
      <c r="BB22" s="2">
        <f t="shared" si="0"/>
        <v>0.33555479485905526</v>
      </c>
      <c r="BC22" s="2">
        <f t="shared" si="1"/>
        <v>0.66683487915726936</v>
      </c>
      <c r="BH22" t="s">
        <v>1099</v>
      </c>
      <c r="BI22" s="382">
        <v>872.9683153200001</v>
      </c>
      <c r="BJ22" s="2">
        <v>0.9</v>
      </c>
    </row>
    <row r="23" spans="1:65">
      <c r="A23" s="203" t="s">
        <v>20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36">
        <v>0</v>
      </c>
      <c r="AD23" s="36">
        <v>0</v>
      </c>
      <c r="AE23" s="36">
        <v>0</v>
      </c>
      <c r="AF23" s="36">
        <v>0</v>
      </c>
      <c r="AG23" s="44">
        <v>0</v>
      </c>
      <c r="AH23" s="44">
        <v>0</v>
      </c>
      <c r="AI23" s="44">
        <v>0</v>
      </c>
      <c r="AJ23" s="44">
        <v>0</v>
      </c>
      <c r="AK23" s="36">
        <v>0</v>
      </c>
      <c r="AL23" s="213"/>
      <c r="AM23" s="203" t="s">
        <v>1105</v>
      </c>
      <c r="AN23" s="93">
        <v>13.954629332155307</v>
      </c>
      <c r="AO23" s="93">
        <v>0.950931792</v>
      </c>
      <c r="AQ23" s="99" t="s">
        <v>837</v>
      </c>
      <c r="AR23" s="100" t="s">
        <v>890</v>
      </c>
      <c r="AS23" s="101">
        <v>0</v>
      </c>
      <c r="AT23" s="101">
        <v>0</v>
      </c>
      <c r="AU23" s="101">
        <v>0</v>
      </c>
      <c r="AZ23" s="2">
        <f t="array" ref="AZ23">MAX(0.01,SUM(IF($AY7:$AY21&gt;0,AZ7:AZ21,0)))</f>
        <v>37.39917479673683</v>
      </c>
      <c r="BA23" s="2">
        <f t="array" ref="BA23">MAX(0.01,SUM(IF($AY7:$AY21&gt;0,BA7:BA21,0)))</f>
        <v>56.0998020784224</v>
      </c>
      <c r="BH23" t="s">
        <v>1341</v>
      </c>
      <c r="BI23" s="382">
        <v>10</v>
      </c>
      <c r="BJ23" s="105">
        <v>0.6</v>
      </c>
    </row>
    <row r="24" spans="1:65" ht="13.5" thickBot="1">
      <c r="A24" s="203"/>
      <c r="B24" s="43" t="s">
        <v>557</v>
      </c>
      <c r="C24" s="43" t="s">
        <v>951</v>
      </c>
      <c r="D24" s="43" t="s">
        <v>1084</v>
      </c>
      <c r="E24" s="43" t="s">
        <v>756</v>
      </c>
      <c r="F24" s="43" t="s">
        <v>952</v>
      </c>
      <c r="G24" s="43" t="s">
        <v>953</v>
      </c>
      <c r="H24" s="43" t="s">
        <v>954</v>
      </c>
      <c r="I24" s="43" t="s">
        <v>955</v>
      </c>
      <c r="J24" s="43" t="s">
        <v>956</v>
      </c>
      <c r="K24" s="43" t="s">
        <v>830</v>
      </c>
      <c r="L24" s="43" t="s">
        <v>831</v>
      </c>
      <c r="M24" s="43" t="s">
        <v>832</v>
      </c>
      <c r="N24" s="43" t="s">
        <v>833</v>
      </c>
      <c r="O24" s="43" t="s">
        <v>834</v>
      </c>
      <c r="P24" s="43" t="s">
        <v>835</v>
      </c>
      <c r="Q24" s="43" t="s">
        <v>836</v>
      </c>
      <c r="R24" s="43" t="s">
        <v>837</v>
      </c>
      <c r="S24" s="43" t="s">
        <v>838</v>
      </c>
      <c r="T24" s="43" t="s">
        <v>839</v>
      </c>
      <c r="U24" s="43" t="s">
        <v>843</v>
      </c>
      <c r="V24" s="43" t="s">
        <v>841</v>
      </c>
      <c r="W24" s="43" t="s">
        <v>842</v>
      </c>
      <c r="X24" s="43" t="s">
        <v>606</v>
      </c>
      <c r="Y24" s="43" t="s">
        <v>846</v>
      </c>
      <c r="Z24" s="43" t="s">
        <v>1289</v>
      </c>
      <c r="AA24" s="145" t="s">
        <v>847</v>
      </c>
      <c r="AB24" s="43" t="s">
        <v>608</v>
      </c>
      <c r="AC24" s="43" t="s">
        <v>609</v>
      </c>
      <c r="AD24" s="43" t="s">
        <v>844</v>
      </c>
      <c r="AE24" s="43" t="s">
        <v>845</v>
      </c>
      <c r="AF24" s="43" t="s">
        <v>757</v>
      </c>
      <c r="AG24" s="94" t="s">
        <v>310</v>
      </c>
      <c r="AH24" s="94" t="s">
        <v>311</v>
      </c>
      <c r="AI24" s="94" t="s">
        <v>312</v>
      </c>
      <c r="AJ24" s="94" t="s">
        <v>313</v>
      </c>
      <c r="AK24" s="43"/>
      <c r="AL24" s="203"/>
      <c r="AM24" s="203"/>
      <c r="AN24" s="203"/>
      <c r="AQ24" s="99" t="s">
        <v>835</v>
      </c>
      <c r="AR24" s="100" t="s">
        <v>802</v>
      </c>
      <c r="AS24" s="101">
        <v>1.4896480936063135</v>
      </c>
      <c r="AT24" s="101">
        <v>0.60263999999999995</v>
      </c>
      <c r="AU24" s="101">
        <v>0.71191091159999831</v>
      </c>
      <c r="AX24" s="245"/>
      <c r="AY24" s="284" t="s">
        <v>997</v>
      </c>
      <c r="AZ24" s="284" t="s">
        <v>999</v>
      </c>
      <c r="BA24" s="284" t="s">
        <v>1000</v>
      </c>
      <c r="BB24" s="284" t="s">
        <v>998</v>
      </c>
      <c r="BC24" s="284" t="s">
        <v>739</v>
      </c>
      <c r="BD24" s="385">
        <f>SUMPRODUCT(AY7:AY21,AZ25:AZ39,BC25:BC39)</f>
        <v>0.92259894191730951</v>
      </c>
    </row>
    <row r="25" spans="1:65">
      <c r="A25" s="203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40"/>
      <c r="AB25" s="239"/>
      <c r="AC25" s="239"/>
      <c r="AD25" s="239"/>
      <c r="AE25" s="239"/>
      <c r="AF25" s="239"/>
      <c r="AG25" s="237"/>
      <c r="AH25" s="237"/>
      <c r="AI25" s="237"/>
      <c r="AJ25" s="237"/>
      <c r="AK25" s="239"/>
      <c r="AL25" s="203"/>
      <c r="AM25" s="203"/>
      <c r="AN25" s="203"/>
      <c r="AQ25" s="99" t="s">
        <v>902</v>
      </c>
      <c r="AR25" s="100" t="s">
        <v>902</v>
      </c>
      <c r="AS25" s="131">
        <v>1.5304356100172261</v>
      </c>
      <c r="AT25" s="131">
        <v>0.61343999999999999</v>
      </c>
      <c r="AU25" s="131">
        <v>0.72689965559999836</v>
      </c>
      <c r="AX25" s="184" t="str">
        <f>$C$38</f>
        <v>INDNGA</v>
      </c>
      <c r="AY25" s="469">
        <v>0.84</v>
      </c>
      <c r="AZ25" s="470">
        <f t="shared" ref="AZ25:AZ39" si="3">MAX(0.15,BB7*AZ$22/AZ$23*(1-AZ$4))</f>
        <v>0.50401464781236316</v>
      </c>
      <c r="BA25" s="285">
        <f t="shared" ref="BA25:BA39" ca="1" si="4">MAX(0.01,(MAX(AY25,MIN(1,AZ25+BA7/(AY7+Tiny)*BA$22/BA$23))-AZ25)/AZ25)</f>
        <v>0.66661822954145367</v>
      </c>
      <c r="BB25" s="471">
        <f t="shared" ref="BB25:BB39" si="5">AZ25*BA25*AY7</f>
        <v>5.4825151953340088</v>
      </c>
      <c r="BC25" s="129">
        <v>0.1</v>
      </c>
      <c r="BD25" s="471">
        <f t="shared" ref="BD25:BD39" si="6">IF(BD$24&gt;0,AZ25*AY7*BC25*$BE$10/$BD$24*BA25)</f>
        <v>0.83168235404295232</v>
      </c>
    </row>
    <row r="26" spans="1:65" ht="18">
      <c r="A26" s="86" t="s">
        <v>957</v>
      </c>
      <c r="B26" s="88"/>
      <c r="C26" s="88"/>
      <c r="D26" s="88"/>
      <c r="E26" s="88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Q26" s="99" t="s">
        <v>607</v>
      </c>
      <c r="AR26" s="100" t="s">
        <v>652</v>
      </c>
      <c r="AS26" s="101">
        <v>0.10243708299019938</v>
      </c>
      <c r="AT26" s="101">
        <v>2.8592438663919487E-2</v>
      </c>
      <c r="AU26" s="101">
        <v>1.7790206241714734E-2</v>
      </c>
      <c r="AX26" s="184" t="str">
        <f>$D$38</f>
        <v>INDLPG</v>
      </c>
      <c r="AY26" s="469">
        <v>0.84</v>
      </c>
      <c r="AZ26" s="470">
        <f t="shared" si="3"/>
        <v>0.15</v>
      </c>
      <c r="BA26" s="285">
        <f t="shared" ca="1" si="4"/>
        <v>5.666666666666667</v>
      </c>
      <c r="BB26" s="471">
        <f t="shared" si="5"/>
        <v>0</v>
      </c>
      <c r="BC26" s="129">
        <v>0.1</v>
      </c>
      <c r="BD26" s="471">
        <f t="shared" si="6"/>
        <v>0</v>
      </c>
    </row>
    <row r="27" spans="1:65">
      <c r="A27" s="203"/>
      <c r="B27" s="41" t="s">
        <v>781</v>
      </c>
      <c r="C27" s="41" t="s">
        <v>894</v>
      </c>
      <c r="D27" s="41" t="s">
        <v>663</v>
      </c>
      <c r="E27" s="41" t="s">
        <v>562</v>
      </c>
      <c r="F27" s="41" t="s">
        <v>545</v>
      </c>
      <c r="G27" s="41" t="s">
        <v>561</v>
      </c>
      <c r="H27" s="41" t="s">
        <v>898</v>
      </c>
      <c r="I27" s="41" t="s">
        <v>897</v>
      </c>
      <c r="J27" s="41" t="s">
        <v>1149</v>
      </c>
      <c r="K27" s="41" t="s">
        <v>895</v>
      </c>
      <c r="L27" s="41" t="s">
        <v>544</v>
      </c>
      <c r="M27" s="41" t="s">
        <v>779</v>
      </c>
      <c r="N27" s="41" t="s">
        <v>780</v>
      </c>
      <c r="O27" s="41" t="s">
        <v>899</v>
      </c>
      <c r="P27" s="41" t="s">
        <v>900</v>
      </c>
      <c r="Q27" s="41" t="s">
        <v>949</v>
      </c>
      <c r="R27" s="41" t="s">
        <v>901</v>
      </c>
      <c r="S27" s="41" t="s">
        <v>782</v>
      </c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Q27" s="99" t="s">
        <v>609</v>
      </c>
      <c r="AR27" s="100" t="s">
        <v>595</v>
      </c>
      <c r="AS27" s="101">
        <v>0.34495045200000019</v>
      </c>
      <c r="AT27" s="101">
        <v>5.4000000000000006E-2</v>
      </c>
      <c r="AU27" s="101">
        <v>0.19899860399999997</v>
      </c>
      <c r="AX27" s="184" t="str">
        <f>$E$38</f>
        <v>INDNGL</v>
      </c>
      <c r="AY27" s="469">
        <v>0.82</v>
      </c>
      <c r="AZ27" s="470">
        <f t="shared" si="3"/>
        <v>0.15</v>
      </c>
      <c r="BA27" s="285">
        <f t="shared" ca="1" si="4"/>
        <v>4.4666666666666668</v>
      </c>
      <c r="BB27" s="471">
        <f t="shared" si="5"/>
        <v>0</v>
      </c>
      <c r="BC27" s="129">
        <v>0.1</v>
      </c>
      <c r="BD27" s="471">
        <f t="shared" si="6"/>
        <v>0</v>
      </c>
    </row>
    <row r="28" spans="1:65">
      <c r="A28" s="237" t="s">
        <v>568</v>
      </c>
      <c r="B28" s="40">
        <f t="shared" ref="B28:B37" si="7">$B12</f>
        <v>11.722855029052054</v>
      </c>
      <c r="C28" s="40">
        <f t="shared" ref="C28:C37" si="8">$C12+$M12</f>
        <v>2.0708122280000003</v>
      </c>
      <c r="D28" s="40">
        <f t="shared" ref="D28:D37" si="9">$D12</f>
        <v>5.1199830039999998</v>
      </c>
      <c r="E28" s="40">
        <f t="shared" ref="E28:E37" si="10">MAX(0,$E12)</f>
        <v>0</v>
      </c>
      <c r="F28" s="40">
        <f t="shared" ref="F28:F37" si="11">$F12</f>
        <v>0</v>
      </c>
      <c r="G28" s="40">
        <f t="shared" ref="G28:G37" si="12">$H12</f>
        <v>8.0868042000000013</v>
      </c>
      <c r="H28" s="40">
        <f t="shared" ref="H28:H37" si="13">$J12</f>
        <v>3.8544936840000004</v>
      </c>
      <c r="I28" s="40">
        <f t="shared" ref="I28:I37" si="14">MAX(0,$K12+$I12+$L12)</f>
        <v>2.1555739800000002</v>
      </c>
      <c r="J28" s="40">
        <f t="shared" ref="J28:J37" si="15">MAX(0,$G12)</f>
        <v>0</v>
      </c>
      <c r="K28" s="40">
        <f t="shared" ref="K28:K37" si="16">$P12+$O12+$T12</f>
        <v>2.2660056760000002</v>
      </c>
      <c r="L28" s="40">
        <f t="shared" ref="L28:L37" si="17">$Q12+$R12+$S12+$AF12</f>
        <v>0.16940276000000004</v>
      </c>
      <c r="M28" s="40">
        <f t="shared" ref="M28:M37" si="18">$U12+$N12</f>
        <v>0</v>
      </c>
      <c r="N28" s="40">
        <f t="shared" ref="N28:N37" si="19">$V12</f>
        <v>0</v>
      </c>
      <c r="O28" s="40">
        <f t="shared" ref="O28:O37" si="20">$W12</f>
        <v>0</v>
      </c>
      <c r="P28" s="40">
        <f t="shared" ref="P28:P37" si="21">SUM(X12:AC12)</f>
        <v>0</v>
      </c>
      <c r="Q28" s="40">
        <f t="shared" ref="Q28:Q37" si="22">$AE12</f>
        <v>0</v>
      </c>
      <c r="R28" s="40">
        <f t="shared" ref="R28:R37" si="23">$AD12</f>
        <v>1.4910000000000001</v>
      </c>
      <c r="S28" s="40">
        <f t="shared" ref="S28:S37" si="24">SUM(B28:R28)</f>
        <v>36.936930561052058</v>
      </c>
      <c r="T28" s="203" t="str">
        <f t="shared" ref="T28:T34" si="25">A28</f>
        <v>IIS</v>
      </c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Q28" s="99" t="s">
        <v>608</v>
      </c>
      <c r="AR28" s="100" t="s">
        <v>178</v>
      </c>
      <c r="AS28" s="101">
        <v>1.522587119919792</v>
      </c>
      <c r="AT28" s="101">
        <v>0.31798266139179709</v>
      </c>
      <c r="AU28" s="101">
        <v>0.89020491255194112</v>
      </c>
      <c r="AX28" s="184" t="str">
        <f>$F$38</f>
        <v>INDCOA</v>
      </c>
      <c r="AY28" s="105">
        <v>0.81</v>
      </c>
      <c r="AZ28" s="470">
        <f t="shared" si="3"/>
        <v>0.15</v>
      </c>
      <c r="BA28" s="285">
        <f t="shared" ca="1" si="4"/>
        <v>4.6335261776520369</v>
      </c>
      <c r="BB28" s="471">
        <f t="shared" si="5"/>
        <v>2.9061117190867933</v>
      </c>
      <c r="BC28" s="129">
        <v>0</v>
      </c>
      <c r="BD28" s="471">
        <f t="shared" si="6"/>
        <v>0</v>
      </c>
    </row>
    <row r="29" spans="1:65">
      <c r="A29" s="237" t="s">
        <v>880</v>
      </c>
      <c r="B29" s="40">
        <f t="shared" si="7"/>
        <v>7.4452852050520555</v>
      </c>
      <c r="C29" s="40">
        <f t="shared" si="8"/>
        <v>5.4768176000000009E-2</v>
      </c>
      <c r="D29" s="40">
        <f t="shared" si="9"/>
        <v>0.54698771199999996</v>
      </c>
      <c r="E29" s="40">
        <f t="shared" si="10"/>
        <v>0</v>
      </c>
      <c r="F29" s="40">
        <f t="shared" si="11"/>
        <v>0</v>
      </c>
      <c r="G29" s="40">
        <f t="shared" si="12"/>
        <v>0</v>
      </c>
      <c r="H29" s="40">
        <f t="shared" si="13"/>
        <v>0</v>
      </c>
      <c r="I29" s="40">
        <f t="shared" si="14"/>
        <v>0</v>
      </c>
      <c r="J29" s="40">
        <f t="shared" si="15"/>
        <v>0</v>
      </c>
      <c r="K29" s="40">
        <f t="shared" si="16"/>
        <v>0.55498449999999999</v>
      </c>
      <c r="L29" s="40">
        <f t="shared" si="17"/>
        <v>0.33780552000000003</v>
      </c>
      <c r="M29" s="40">
        <f t="shared" si="18"/>
        <v>0</v>
      </c>
      <c r="N29" s="40">
        <f t="shared" si="19"/>
        <v>0</v>
      </c>
      <c r="O29" s="40">
        <f t="shared" si="20"/>
        <v>0</v>
      </c>
      <c r="P29" s="40">
        <f t="shared" si="21"/>
        <v>0.39592313600000001</v>
      </c>
      <c r="Q29" s="40">
        <f t="shared" si="22"/>
        <v>0</v>
      </c>
      <c r="R29" s="40">
        <f t="shared" si="23"/>
        <v>2.476</v>
      </c>
      <c r="S29" s="40">
        <f t="shared" si="24"/>
        <v>11.811754249052054</v>
      </c>
      <c r="T29" s="203" t="str">
        <f t="shared" si="25"/>
        <v>INF</v>
      </c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Q29" s="99" t="s">
        <v>606</v>
      </c>
      <c r="AR29" s="100" t="s">
        <v>947</v>
      </c>
      <c r="AS29" s="101">
        <v>71.835063974884633</v>
      </c>
      <c r="AT29" s="101">
        <v>24.021623073999521</v>
      </c>
      <c r="AU29" s="101">
        <v>36.127353641214896</v>
      </c>
      <c r="AX29" s="184" t="str">
        <f>$G$38</f>
        <v>INDCOK</v>
      </c>
      <c r="AY29" s="105">
        <v>0.8</v>
      </c>
      <c r="AZ29" s="470">
        <f t="shared" si="3"/>
        <v>0.15</v>
      </c>
      <c r="BA29" s="285">
        <f t="shared" ca="1" si="4"/>
        <v>5.666666666666667</v>
      </c>
      <c r="BB29" s="471">
        <f t="shared" si="5"/>
        <v>3.5089287233079848E-3</v>
      </c>
      <c r="BC29" s="129">
        <v>0.1</v>
      </c>
      <c r="BD29" s="471">
        <f t="shared" si="6"/>
        <v>5.3229475829878194E-4</v>
      </c>
    </row>
    <row r="30" spans="1:65">
      <c r="A30" s="237" t="s">
        <v>787</v>
      </c>
      <c r="B30" s="40">
        <f t="shared" si="7"/>
        <v>16.563068795327236</v>
      </c>
      <c r="C30" s="40">
        <f t="shared" si="8"/>
        <v>1.8421761920000002</v>
      </c>
      <c r="D30" s="40">
        <f t="shared" si="9"/>
        <v>5.4000027240000001</v>
      </c>
      <c r="E30" s="40">
        <f t="shared" si="10"/>
        <v>0</v>
      </c>
      <c r="F30" s="40">
        <f t="shared" si="11"/>
        <v>0</v>
      </c>
      <c r="G30" s="40">
        <f t="shared" si="12"/>
        <v>0</v>
      </c>
      <c r="H30" s="40">
        <f t="shared" si="13"/>
        <v>0</v>
      </c>
      <c r="I30" s="40">
        <f t="shared" si="14"/>
        <v>0</v>
      </c>
      <c r="J30" s="40">
        <f t="shared" si="15"/>
        <v>0</v>
      </c>
      <c r="K30" s="40">
        <f t="shared" si="16"/>
        <v>8.9740129559999993</v>
      </c>
      <c r="L30" s="40">
        <f t="shared" si="17"/>
        <v>0.16640276000000001</v>
      </c>
      <c r="M30" s="40">
        <f t="shared" si="18"/>
        <v>11.929491108000001</v>
      </c>
      <c r="N30" s="40">
        <f t="shared" si="19"/>
        <v>13.774999060000003</v>
      </c>
      <c r="O30" s="40">
        <f t="shared" si="20"/>
        <v>0</v>
      </c>
      <c r="P30" s="40">
        <f t="shared" si="21"/>
        <v>0.32593433599999999</v>
      </c>
      <c r="Q30" s="40">
        <f t="shared" si="22"/>
        <v>0</v>
      </c>
      <c r="R30" s="40">
        <f t="shared" si="23"/>
        <v>13.696</v>
      </c>
      <c r="S30" s="40">
        <f t="shared" si="24"/>
        <v>72.672087931327241</v>
      </c>
      <c r="T30" s="203" t="str">
        <f t="shared" si="25"/>
        <v>ICH</v>
      </c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Q30" s="99" t="s">
        <v>596</v>
      </c>
      <c r="AR30" s="100" t="s">
        <v>597</v>
      </c>
      <c r="AS30" s="101">
        <v>0</v>
      </c>
      <c r="AT30" s="101">
        <v>0</v>
      </c>
      <c r="AU30" s="101">
        <v>0</v>
      </c>
      <c r="AX30" s="184" t="str">
        <f>$H$38</f>
        <v>INDCOG</v>
      </c>
      <c r="AY30" s="105">
        <v>0.8</v>
      </c>
      <c r="AZ30" s="470">
        <f t="shared" si="3"/>
        <v>0.52820617612473597</v>
      </c>
      <c r="BA30" s="285">
        <f t="shared" ca="1" si="4"/>
        <v>0.64330818672122714</v>
      </c>
      <c r="BB30" s="471">
        <f t="shared" si="5"/>
        <v>1.1011480888891555E-2</v>
      </c>
      <c r="BC30" s="129">
        <v>0.1</v>
      </c>
      <c r="BD30" s="471">
        <f t="shared" si="6"/>
        <v>1.670411119875497E-3</v>
      </c>
      <c r="BM30" s="472"/>
    </row>
    <row r="31" spans="1:65">
      <c r="A31" s="237" t="s">
        <v>978</v>
      </c>
      <c r="B31" s="40">
        <f t="shared" si="7"/>
        <v>75.326143673109343</v>
      </c>
      <c r="C31" s="40">
        <f t="shared" si="8"/>
        <v>21.139650812000003</v>
      </c>
      <c r="D31" s="40">
        <f t="shared" si="9"/>
        <v>2.6189835000000001</v>
      </c>
      <c r="E31" s="40">
        <f t="shared" si="10"/>
        <v>0</v>
      </c>
      <c r="F31" s="40">
        <f t="shared" si="11"/>
        <v>0.50095545200000002</v>
      </c>
      <c r="G31" s="40">
        <f t="shared" si="12"/>
        <v>0</v>
      </c>
      <c r="H31" s="40">
        <f t="shared" si="13"/>
        <v>0</v>
      </c>
      <c r="I31" s="40">
        <f t="shared" si="14"/>
        <v>0</v>
      </c>
      <c r="J31" s="40">
        <f t="shared" si="15"/>
        <v>8.4986661680000015</v>
      </c>
      <c r="K31" s="40">
        <f t="shared" si="16"/>
        <v>4.6740050399999999</v>
      </c>
      <c r="L31" s="40">
        <f t="shared" si="17"/>
        <v>0.21298251600000001</v>
      </c>
      <c r="M31" s="40">
        <f t="shared" si="18"/>
        <v>0</v>
      </c>
      <c r="N31" s="40">
        <f t="shared" si="19"/>
        <v>0</v>
      </c>
      <c r="O31" s="40">
        <f t="shared" si="20"/>
        <v>0</v>
      </c>
      <c r="P31" s="40">
        <f t="shared" si="21"/>
        <v>119.46105956000001</v>
      </c>
      <c r="Q31" s="40">
        <f t="shared" si="22"/>
        <v>0</v>
      </c>
      <c r="R31" s="40">
        <f t="shared" si="23"/>
        <v>4.9939999999999998</v>
      </c>
      <c r="S31" s="40">
        <f t="shared" si="24"/>
        <v>237.42644672110933</v>
      </c>
      <c r="T31" s="203" t="str">
        <f t="shared" si="25"/>
        <v>ILP</v>
      </c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Q31" s="99" t="s">
        <v>902</v>
      </c>
      <c r="AR31" s="100" t="s">
        <v>902</v>
      </c>
      <c r="AS31" s="131">
        <v>73.805038629794623</v>
      </c>
      <c r="AT31" s="131">
        <v>24.422198174055236</v>
      </c>
      <c r="AU31" s="131">
        <v>37.234347364008549</v>
      </c>
      <c r="AX31" s="184" t="str">
        <f>$I$38</f>
        <v>INDBFG</v>
      </c>
      <c r="AY31" s="105">
        <v>0.8</v>
      </c>
      <c r="AZ31" s="470">
        <f t="shared" si="3"/>
        <v>0.48429085272130751</v>
      </c>
      <c r="BA31" s="285">
        <f t="shared" ca="1" si="4"/>
        <v>0.65189987691213347</v>
      </c>
      <c r="BB31" s="471">
        <f t="shared" si="5"/>
        <v>9.5963482798198829E-2</v>
      </c>
      <c r="BC31" s="129">
        <v>0</v>
      </c>
      <c r="BD31" s="471">
        <f t="shared" si="6"/>
        <v>0</v>
      </c>
      <c r="BM31" s="472"/>
    </row>
    <row r="32" spans="1:65">
      <c r="A32" s="237" t="s">
        <v>879</v>
      </c>
      <c r="B32" s="40">
        <f t="shared" si="7"/>
        <v>3.2241311972483477</v>
      </c>
      <c r="C32" s="40">
        <f t="shared" si="8"/>
        <v>1.554742512</v>
      </c>
      <c r="D32" s="40">
        <f t="shared" si="9"/>
        <v>0.78298156799999996</v>
      </c>
      <c r="E32" s="40">
        <f t="shared" si="10"/>
        <v>0</v>
      </c>
      <c r="F32" s="40">
        <f t="shared" si="11"/>
        <v>3.3940086960000002</v>
      </c>
      <c r="G32" s="40">
        <f t="shared" si="12"/>
        <v>0.41018079600000007</v>
      </c>
      <c r="H32" s="40">
        <f t="shared" si="13"/>
        <v>0</v>
      </c>
      <c r="I32" s="40">
        <f t="shared" si="14"/>
        <v>0</v>
      </c>
      <c r="J32" s="40">
        <f t="shared" si="15"/>
        <v>9.173924E-3</v>
      </c>
      <c r="K32" s="40">
        <f t="shared" si="16"/>
        <v>1.0580269280000001</v>
      </c>
      <c r="L32" s="40">
        <f t="shared" si="17"/>
        <v>0.40300690000000006</v>
      </c>
      <c r="M32" s="40">
        <f t="shared" si="18"/>
        <v>0</v>
      </c>
      <c r="N32" s="40">
        <f t="shared" si="19"/>
        <v>0</v>
      </c>
      <c r="O32" s="40">
        <f t="shared" si="20"/>
        <v>0.93802039199999998</v>
      </c>
      <c r="P32" s="40">
        <f t="shared" si="21"/>
        <v>0.174972824</v>
      </c>
      <c r="Q32" s="40">
        <f t="shared" si="22"/>
        <v>0</v>
      </c>
      <c r="R32" s="40">
        <f t="shared" si="23"/>
        <v>0.80899999999999994</v>
      </c>
      <c r="S32" s="40">
        <f t="shared" si="24"/>
        <v>12.758245737248348</v>
      </c>
      <c r="T32" s="203" t="str">
        <f t="shared" si="25"/>
        <v>INM</v>
      </c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Q32" s="103" t="s">
        <v>953</v>
      </c>
      <c r="AR32" s="100" t="s">
        <v>193</v>
      </c>
      <c r="AS32" s="101">
        <v>15.212942315600152</v>
      </c>
      <c r="AT32" s="101">
        <v>2.9044987354506109</v>
      </c>
      <c r="AU32" s="101">
        <v>9.8416728792855857</v>
      </c>
      <c r="AX32" s="184" t="str">
        <f>$J$38</f>
        <v>INDBCO</v>
      </c>
      <c r="AY32" s="105">
        <v>0.81</v>
      </c>
      <c r="AZ32" s="470">
        <f t="shared" si="3"/>
        <v>0.18155663265084918</v>
      </c>
      <c r="BA32" s="285">
        <f t="shared" ca="1" si="4"/>
        <v>3.5632916219674438</v>
      </c>
      <c r="BB32" s="471">
        <f t="shared" si="5"/>
        <v>9.8418491578317315</v>
      </c>
      <c r="BC32" s="129">
        <v>0</v>
      </c>
      <c r="BD32" s="471">
        <f t="shared" si="6"/>
        <v>0</v>
      </c>
      <c r="BM32" s="472"/>
    </row>
    <row r="33" spans="1:65" ht="13.5" thickBot="1">
      <c r="A33" s="237" t="s">
        <v>722</v>
      </c>
      <c r="B33" s="40">
        <f t="shared" si="7"/>
        <v>27.551865994940833</v>
      </c>
      <c r="C33" s="40">
        <f t="shared" si="8"/>
        <v>2.1847280135018075</v>
      </c>
      <c r="D33" s="40">
        <f t="shared" si="9"/>
        <v>1.4742477339234175</v>
      </c>
      <c r="E33" s="40">
        <f t="shared" si="10"/>
        <v>0</v>
      </c>
      <c r="F33" s="40">
        <f t="shared" si="11"/>
        <v>0</v>
      </c>
      <c r="G33" s="40">
        <f t="shared" si="12"/>
        <v>2.9307599999997436E-2</v>
      </c>
      <c r="H33" s="40">
        <f t="shared" si="13"/>
        <v>0</v>
      </c>
      <c r="I33" s="40">
        <f t="shared" si="14"/>
        <v>0</v>
      </c>
      <c r="J33" s="40">
        <f t="shared" si="15"/>
        <v>1.0076607469881673</v>
      </c>
      <c r="K33" s="40">
        <f t="shared" si="16"/>
        <v>3.2596684670213811</v>
      </c>
      <c r="L33" s="40">
        <f t="shared" si="17"/>
        <v>18.773313880578993</v>
      </c>
      <c r="M33" s="40">
        <f t="shared" si="18"/>
        <v>0</v>
      </c>
      <c r="N33" s="40">
        <f t="shared" si="19"/>
        <v>0</v>
      </c>
      <c r="O33" s="40">
        <f t="shared" si="20"/>
        <v>0</v>
      </c>
      <c r="P33" s="40">
        <f t="shared" si="21"/>
        <v>5.4668231121458604</v>
      </c>
      <c r="Q33" s="40">
        <f t="shared" si="22"/>
        <v>0</v>
      </c>
      <c r="R33" s="40">
        <f t="shared" si="23"/>
        <v>48.29689077901255</v>
      </c>
      <c r="S33" s="40">
        <f t="shared" si="24"/>
        <v>108.04450632811302</v>
      </c>
      <c r="T33" s="203" t="str">
        <f t="shared" si="25"/>
        <v>IOI</v>
      </c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Q33" s="103" t="s">
        <v>952</v>
      </c>
      <c r="AR33" s="100" t="s">
        <v>598</v>
      </c>
      <c r="AS33" s="101">
        <v>4.1812816814736946</v>
      </c>
      <c r="AT33" s="101">
        <v>0.59056236512182958</v>
      </c>
      <c r="AU33" s="101">
        <v>2.906059667873615</v>
      </c>
      <c r="AX33" s="184" t="str">
        <f>$K$38</f>
        <v>INDHFO</v>
      </c>
      <c r="AY33" s="105">
        <v>0.82</v>
      </c>
      <c r="AZ33" s="470">
        <f t="shared" si="3"/>
        <v>0.38470551770610761</v>
      </c>
      <c r="BA33" s="285">
        <f t="shared" ca="1" si="4"/>
        <v>1.2562396495873471</v>
      </c>
      <c r="BB33" s="471">
        <f t="shared" si="5"/>
        <v>0.71992059374854711</v>
      </c>
      <c r="BC33" s="129">
        <v>0.1</v>
      </c>
      <c r="BD33" s="471">
        <f t="shared" si="6"/>
        <v>0.10920995798467904</v>
      </c>
      <c r="BF33" s="284"/>
      <c r="BG33" s="284" t="s">
        <v>946</v>
      </c>
      <c r="BH33" s="284" t="s">
        <v>888</v>
      </c>
      <c r="BI33" s="284" t="s">
        <v>736</v>
      </c>
      <c r="BJ33" s="284" t="s">
        <v>737</v>
      </c>
      <c r="BM33" s="472"/>
    </row>
    <row r="34" spans="1:65">
      <c r="A34" s="237" t="str">
        <f>A18</f>
        <v>TOTIND</v>
      </c>
      <c r="B34" s="40">
        <f t="shared" si="7"/>
        <v>141.83334989472985</v>
      </c>
      <c r="C34" s="40">
        <f t="shared" si="8"/>
        <v>28.846877933501812</v>
      </c>
      <c r="D34" s="40">
        <f t="shared" si="9"/>
        <v>15.943186241923419</v>
      </c>
      <c r="E34" s="40">
        <f t="shared" si="10"/>
        <v>0</v>
      </c>
      <c r="F34" s="40">
        <f t="shared" si="11"/>
        <v>3.8949641480000001</v>
      </c>
      <c r="G34" s="40">
        <f t="shared" si="12"/>
        <v>8.5262925959999993</v>
      </c>
      <c r="H34" s="40">
        <f t="shared" si="13"/>
        <v>3.8544936840000004</v>
      </c>
      <c r="I34" s="40">
        <f t="shared" si="14"/>
        <v>2.1555739800000002</v>
      </c>
      <c r="J34" s="40">
        <f t="shared" si="15"/>
        <v>9.515500838988169</v>
      </c>
      <c r="K34" s="40">
        <f t="shared" si="16"/>
        <v>20.786661699021383</v>
      </c>
      <c r="L34" s="40">
        <f t="shared" si="17"/>
        <v>20.062914336578995</v>
      </c>
      <c r="M34" s="40">
        <f t="shared" si="18"/>
        <v>11.929491108000001</v>
      </c>
      <c r="N34" s="40">
        <f t="shared" si="19"/>
        <v>13.774999060000003</v>
      </c>
      <c r="O34" s="40">
        <f t="shared" si="20"/>
        <v>0.93802039199999998</v>
      </c>
      <c r="P34" s="40">
        <f t="shared" si="21"/>
        <v>125.82471296814587</v>
      </c>
      <c r="Q34" s="40">
        <f t="shared" si="22"/>
        <v>0</v>
      </c>
      <c r="R34" s="40">
        <f t="shared" si="23"/>
        <v>71.762890779012551</v>
      </c>
      <c r="S34" s="40">
        <f t="shared" si="24"/>
        <v>479.64992965990211</v>
      </c>
      <c r="T34" s="203" t="str">
        <f t="shared" si="25"/>
        <v>TOTIND</v>
      </c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Q34" s="103" t="s">
        <v>954</v>
      </c>
      <c r="AR34" s="100" t="s">
        <v>799</v>
      </c>
      <c r="AS34" s="101">
        <v>4.1281514391858648E-3</v>
      </c>
      <c r="AT34" s="101">
        <v>2.2173698027878712E-4</v>
      </c>
      <c r="AU34" s="101">
        <v>3.5710093737158291E-3</v>
      </c>
      <c r="AX34" s="184" t="str">
        <f>$L$38</f>
        <v>INDOIL</v>
      </c>
      <c r="AY34" s="105">
        <v>0.82</v>
      </c>
      <c r="AZ34" s="470">
        <f t="shared" si="3"/>
        <v>0.25179705131956936</v>
      </c>
      <c r="BA34" s="285">
        <f t="shared" ca="1" si="4"/>
        <v>2.2565909557030244</v>
      </c>
      <c r="BB34" s="471">
        <f t="shared" si="5"/>
        <v>2.3175587094032057E-2</v>
      </c>
      <c r="BC34" s="129">
        <v>0.1</v>
      </c>
      <c r="BD34" s="471">
        <f t="shared" si="6"/>
        <v>3.5156723044007508E-3</v>
      </c>
      <c r="BF34" s="184" t="s">
        <v>577</v>
      </c>
      <c r="BG34" s="299">
        <f t="shared" ref="BG34:BH39" si="26">T59</f>
        <v>1.4910000000000001</v>
      </c>
      <c r="BH34" s="299">
        <f t="shared" si="26"/>
        <v>2.1669330996000005</v>
      </c>
      <c r="BI34" s="300">
        <v>5</v>
      </c>
      <c r="BJ34" s="299">
        <f t="shared" ref="BJ34:BJ39" si="27">IF(BI$40&gt;0,MAX(0,BG34+BI34*BH34/BI$40*BB$42))</f>
        <v>1.4910285902261811</v>
      </c>
    </row>
    <row r="35" spans="1:65">
      <c r="A35" s="237" t="s">
        <v>285</v>
      </c>
      <c r="B35" s="40">
        <f t="shared" si="7"/>
        <v>1.4402592000000001E-2</v>
      </c>
      <c r="C35" s="40">
        <f t="shared" si="8"/>
        <v>0.85833586800000006</v>
      </c>
      <c r="D35" s="40">
        <f t="shared" si="9"/>
        <v>0.18400986</v>
      </c>
      <c r="E35" s="40">
        <f t="shared" si="10"/>
        <v>0</v>
      </c>
      <c r="F35" s="40">
        <f t="shared" si="11"/>
        <v>0</v>
      </c>
      <c r="G35" s="40">
        <f t="shared" si="12"/>
        <v>0</v>
      </c>
      <c r="H35" s="40">
        <f t="shared" si="13"/>
        <v>0</v>
      </c>
      <c r="I35" s="40">
        <f t="shared" si="14"/>
        <v>0</v>
      </c>
      <c r="J35" s="40">
        <f t="shared" si="15"/>
        <v>2.0389716000000002E-2</v>
      </c>
      <c r="K35" s="40">
        <f t="shared" si="16"/>
        <v>2.1199861800000002</v>
      </c>
      <c r="L35" s="40">
        <f t="shared" si="17"/>
        <v>0.34080552000000003</v>
      </c>
      <c r="M35" s="40">
        <f t="shared" si="18"/>
        <v>0</v>
      </c>
      <c r="N35" s="40">
        <f t="shared" si="19"/>
        <v>0</v>
      </c>
      <c r="O35" s="40">
        <f t="shared" si="20"/>
        <v>0</v>
      </c>
      <c r="P35" s="40">
        <f t="shared" si="21"/>
        <v>0.68186224800000006</v>
      </c>
      <c r="Q35" s="40">
        <f t="shared" si="22"/>
        <v>0</v>
      </c>
      <c r="R35" s="40">
        <f t="shared" si="23"/>
        <v>29.609211901609065</v>
      </c>
      <c r="S35" s="40">
        <f t="shared" si="24"/>
        <v>33.829003885609069</v>
      </c>
      <c r="T35" s="203" t="s">
        <v>285</v>
      </c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Q35" s="99" t="s">
        <v>842</v>
      </c>
      <c r="AR35" s="100" t="s">
        <v>806</v>
      </c>
      <c r="AS35" s="101">
        <v>0</v>
      </c>
      <c r="AT35" s="101">
        <v>0</v>
      </c>
      <c r="AU35" s="101">
        <v>0</v>
      </c>
      <c r="AX35" s="184" t="str">
        <f>$M$38</f>
        <v>INDETH</v>
      </c>
      <c r="AY35" s="105">
        <v>0.8</v>
      </c>
      <c r="AZ35" s="470">
        <f t="shared" si="3"/>
        <v>0.44945543713886627</v>
      </c>
      <c r="BA35" s="285">
        <f t="shared" ca="1" si="4"/>
        <v>1.2249146797862285</v>
      </c>
      <c r="BB35" s="471">
        <f t="shared" si="5"/>
        <v>5.4513722427362438E-2</v>
      </c>
      <c r="BC35" s="129">
        <v>0.9</v>
      </c>
      <c r="BD35" s="471">
        <f t="shared" si="6"/>
        <v>7.4426224903410748E-2</v>
      </c>
      <c r="BF35" s="184" t="s">
        <v>859</v>
      </c>
      <c r="BG35" s="299">
        <f t="shared" si="26"/>
        <v>2.476</v>
      </c>
      <c r="BH35" s="299">
        <f t="shared" si="26"/>
        <v>2.7046743225999998</v>
      </c>
      <c r="BI35" s="300">
        <v>5</v>
      </c>
      <c r="BJ35" s="299">
        <f t="shared" si="27"/>
        <v>2.4760356851121261</v>
      </c>
    </row>
    <row r="36" spans="1:65">
      <c r="A36" s="237" t="s">
        <v>151</v>
      </c>
      <c r="B36" s="40">
        <f t="shared" si="7"/>
        <v>0</v>
      </c>
      <c r="C36" s="40">
        <f t="shared" si="8"/>
        <v>0</v>
      </c>
      <c r="D36" s="40">
        <f t="shared" si="9"/>
        <v>0</v>
      </c>
      <c r="E36" s="40">
        <f t="shared" si="10"/>
        <v>0</v>
      </c>
      <c r="F36" s="40">
        <f t="shared" si="11"/>
        <v>0</v>
      </c>
      <c r="G36" s="146">
        <f t="shared" si="12"/>
        <v>0</v>
      </c>
      <c r="H36" s="146">
        <f t="shared" si="13"/>
        <v>0</v>
      </c>
      <c r="I36" s="40">
        <f t="shared" si="14"/>
        <v>0</v>
      </c>
      <c r="J36" s="40">
        <f t="shared" si="15"/>
        <v>0</v>
      </c>
      <c r="K36" s="40">
        <f t="shared" si="16"/>
        <v>0</v>
      </c>
      <c r="L36" s="40">
        <f t="shared" si="17"/>
        <v>5.2824018240000008</v>
      </c>
      <c r="M36" s="40">
        <f t="shared" si="18"/>
        <v>0</v>
      </c>
      <c r="N36" s="40">
        <f t="shared" si="19"/>
        <v>0</v>
      </c>
      <c r="O36" s="40">
        <f t="shared" si="20"/>
        <v>0</v>
      </c>
      <c r="P36" s="40">
        <f t="shared" si="21"/>
        <v>0.78979795200000003</v>
      </c>
      <c r="Q36" s="40">
        <f t="shared" si="22"/>
        <v>0</v>
      </c>
      <c r="R36" s="40">
        <f t="shared" si="23"/>
        <v>0</v>
      </c>
      <c r="S36" s="40">
        <f t="shared" si="24"/>
        <v>6.0721997760000006</v>
      </c>
      <c r="T36" s="203" t="str">
        <f>A36</f>
        <v>ONO</v>
      </c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Q36" s="99" t="s">
        <v>902</v>
      </c>
      <c r="AR36" s="100" t="s">
        <v>902</v>
      </c>
      <c r="AS36" s="132">
        <v>19.398352148513034</v>
      </c>
      <c r="AT36" s="132">
        <v>3.4952828375527192</v>
      </c>
      <c r="AU36" s="132">
        <v>12.751303556532916</v>
      </c>
      <c r="AX36" s="184" t="str">
        <f>$O$38</f>
        <v>INDPTC</v>
      </c>
      <c r="AY36" s="105">
        <v>0.8</v>
      </c>
      <c r="AZ36" s="470">
        <f t="shared" si="3"/>
        <v>0.15</v>
      </c>
      <c r="BA36" s="285">
        <f t="shared" ca="1" si="4"/>
        <v>4.3333333333333339</v>
      </c>
      <c r="BB36" s="471">
        <f t="shared" si="5"/>
        <v>0</v>
      </c>
      <c r="BC36" s="129">
        <v>0.1</v>
      </c>
      <c r="BD36" s="471">
        <f t="shared" si="6"/>
        <v>0</v>
      </c>
      <c r="BF36" s="184" t="s">
        <v>570</v>
      </c>
      <c r="BG36" s="299">
        <f t="shared" si="26"/>
        <v>13.696</v>
      </c>
      <c r="BH36" s="299">
        <f t="shared" si="26"/>
        <v>14.924194012074111</v>
      </c>
      <c r="BI36" s="300">
        <v>10</v>
      </c>
      <c r="BJ36" s="299">
        <f t="shared" si="27"/>
        <v>13.696393815648902</v>
      </c>
    </row>
    <row r="37" spans="1:65">
      <c r="A37" s="237" t="s">
        <v>903</v>
      </c>
      <c r="B37" s="40">
        <f t="shared" si="7"/>
        <v>0</v>
      </c>
      <c r="C37" s="40">
        <f t="shared" si="8"/>
        <v>1.3792993920000003</v>
      </c>
      <c r="D37" s="40">
        <f t="shared" si="9"/>
        <v>5.5200027240000002</v>
      </c>
      <c r="E37" s="40">
        <f t="shared" si="10"/>
        <v>0</v>
      </c>
      <c r="F37" s="40">
        <f t="shared" si="11"/>
        <v>0</v>
      </c>
      <c r="G37" s="40">
        <f t="shared" si="12"/>
        <v>0</v>
      </c>
      <c r="H37" s="40">
        <f t="shared" si="13"/>
        <v>0</v>
      </c>
      <c r="I37" s="40">
        <f t="shared" si="14"/>
        <v>0</v>
      </c>
      <c r="J37" s="40">
        <f t="shared" si="15"/>
        <v>0</v>
      </c>
      <c r="K37" s="40">
        <f t="shared" si="16"/>
        <v>7.1999980920000004</v>
      </c>
      <c r="L37" s="40">
        <f t="shared" si="17"/>
        <v>0</v>
      </c>
      <c r="M37" s="40">
        <f t="shared" si="18"/>
        <v>2.9699903160000001</v>
      </c>
      <c r="N37" s="40">
        <f t="shared" si="19"/>
        <v>13.774999060000003</v>
      </c>
      <c r="O37" s="40">
        <f t="shared" si="20"/>
        <v>0</v>
      </c>
      <c r="P37" s="40">
        <f t="shared" si="21"/>
        <v>0</v>
      </c>
      <c r="Q37" s="40">
        <f t="shared" si="22"/>
        <v>0</v>
      </c>
      <c r="R37" s="40">
        <f t="shared" si="23"/>
        <v>0</v>
      </c>
      <c r="S37" s="40">
        <f t="shared" si="24"/>
        <v>30.844289584000002</v>
      </c>
      <c r="T37" s="203" t="str">
        <f>A37</f>
        <v>NECHEM</v>
      </c>
      <c r="U37" s="316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Q37" s="104" t="s">
        <v>599</v>
      </c>
      <c r="AR37" s="100" t="s">
        <v>600</v>
      </c>
      <c r="AS37" s="101">
        <v>0</v>
      </c>
      <c r="AT37" s="101">
        <v>0</v>
      </c>
      <c r="AU37" s="101">
        <v>0</v>
      </c>
      <c r="AX37" s="184" t="str">
        <f>$P$38</f>
        <v>INDBIO</v>
      </c>
      <c r="AY37" s="105">
        <v>0.8</v>
      </c>
      <c r="AZ37" s="470">
        <f t="shared" si="3"/>
        <v>0.19336481732144356</v>
      </c>
      <c r="BA37" s="285">
        <f t="shared" ca="1" si="4"/>
        <v>3.1372572895207993</v>
      </c>
      <c r="BB37" s="471">
        <f t="shared" si="5"/>
        <v>1.1950559346534493</v>
      </c>
      <c r="BC37" s="129">
        <v>0</v>
      </c>
      <c r="BD37" s="471">
        <f t="shared" si="6"/>
        <v>0</v>
      </c>
      <c r="BF37" s="184" t="s">
        <v>979</v>
      </c>
      <c r="BG37" s="299">
        <f t="shared" si="26"/>
        <v>4.9939999999999998</v>
      </c>
      <c r="BH37" s="299">
        <f t="shared" si="26"/>
        <v>151.25829884620001</v>
      </c>
      <c r="BI37" s="300">
        <v>10</v>
      </c>
      <c r="BJ37" s="299">
        <f t="shared" si="27"/>
        <v>4.9979913636249744</v>
      </c>
    </row>
    <row r="38" spans="1:65">
      <c r="A38" s="203"/>
      <c r="B38" s="43" t="s">
        <v>905</v>
      </c>
      <c r="C38" s="43" t="s">
        <v>906</v>
      </c>
      <c r="D38" s="43" t="s">
        <v>907</v>
      </c>
      <c r="E38" s="43" t="s">
        <v>908</v>
      </c>
      <c r="F38" s="43" t="s">
        <v>909</v>
      </c>
      <c r="G38" s="43" t="s">
        <v>910</v>
      </c>
      <c r="H38" s="43" t="s">
        <v>911</v>
      </c>
      <c r="I38" s="43" t="s">
        <v>912</v>
      </c>
      <c r="J38" s="43" t="s">
        <v>1150</v>
      </c>
      <c r="K38" s="43" t="s">
        <v>913</v>
      </c>
      <c r="L38" s="43" t="s">
        <v>826</v>
      </c>
      <c r="M38" s="43" t="s">
        <v>914</v>
      </c>
      <c r="N38" s="43" t="s">
        <v>915</v>
      </c>
      <c r="O38" s="43" t="s">
        <v>916</v>
      </c>
      <c r="P38" s="43" t="s">
        <v>917</v>
      </c>
      <c r="Q38" s="43" t="s">
        <v>950</v>
      </c>
      <c r="R38" s="43" t="s">
        <v>946</v>
      </c>
      <c r="S38" s="43" t="s">
        <v>888</v>
      </c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Q38" s="104" t="s">
        <v>601</v>
      </c>
      <c r="AR38" s="100" t="s">
        <v>602</v>
      </c>
      <c r="AS38" s="101">
        <v>0</v>
      </c>
      <c r="AT38" s="101">
        <v>0</v>
      </c>
      <c r="AU38" s="101">
        <v>0</v>
      </c>
      <c r="AX38" s="184" t="s">
        <v>655</v>
      </c>
      <c r="AY38" s="105">
        <v>0.8</v>
      </c>
      <c r="AZ38" s="470">
        <f t="shared" si="3"/>
        <v>0.31799479488968913</v>
      </c>
      <c r="BA38" s="285">
        <f t="shared" ca="1" si="4"/>
        <v>1.5815664182923688</v>
      </c>
      <c r="BB38" s="471">
        <f t="shared" si="5"/>
        <v>36.128000736061132</v>
      </c>
      <c r="BC38" s="129">
        <v>0</v>
      </c>
      <c r="BD38" s="471">
        <f t="shared" si="6"/>
        <v>0</v>
      </c>
      <c r="BF38" s="184" t="s">
        <v>92</v>
      </c>
      <c r="BG38" s="299">
        <f t="shared" si="26"/>
        <v>0.80899999999999994</v>
      </c>
      <c r="BH38" s="299">
        <f t="shared" si="26"/>
        <v>1.2284185052000001</v>
      </c>
      <c r="BI38" s="300">
        <v>1</v>
      </c>
      <c r="BJ38" s="299">
        <f t="shared" si="27"/>
        <v>0.80900324151796976</v>
      </c>
    </row>
    <row r="39" spans="1:65">
      <c r="A39" s="203"/>
      <c r="B39" s="203"/>
      <c r="C39" s="316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Q39" s="104" t="s">
        <v>603</v>
      </c>
      <c r="AR39" s="100" t="s">
        <v>604</v>
      </c>
      <c r="AS39" s="101">
        <v>0</v>
      </c>
      <c r="AT39" s="101">
        <v>0</v>
      </c>
      <c r="AU39" s="101">
        <v>0</v>
      </c>
      <c r="AX39" s="184" t="str">
        <f>$Q$38</f>
        <v>INDGEO</v>
      </c>
      <c r="AY39" s="105">
        <v>0.8</v>
      </c>
      <c r="AZ39" s="470">
        <f t="shared" si="3"/>
        <v>0.15</v>
      </c>
      <c r="BA39" s="285">
        <f t="shared" ca="1" si="4"/>
        <v>4.3333333333333339</v>
      </c>
      <c r="BB39" s="471">
        <f t="shared" si="5"/>
        <v>0</v>
      </c>
      <c r="BC39" s="129">
        <v>0.1</v>
      </c>
      <c r="BD39" s="471">
        <f t="shared" si="6"/>
        <v>0</v>
      </c>
      <c r="BF39" s="184" t="s">
        <v>48</v>
      </c>
      <c r="BG39" s="299">
        <f t="shared" si="26"/>
        <v>36.705636992049541</v>
      </c>
      <c r="BH39" s="299">
        <f t="shared" si="26"/>
        <v>42.436284441632544</v>
      </c>
      <c r="BI39" s="300">
        <v>2</v>
      </c>
      <c r="BJ39" s="299">
        <f t="shared" si="27"/>
        <v>36.705860951519391</v>
      </c>
      <c r="BL39" s="2">
        <f>SUM(BJ39,T69,R36)</f>
        <v>48.297114738482406</v>
      </c>
    </row>
    <row r="40" spans="1:65" ht="18">
      <c r="A40" s="86" t="s">
        <v>940</v>
      </c>
      <c r="B40" s="88"/>
      <c r="C40" s="88"/>
      <c r="D40" s="88"/>
      <c r="E40" s="88"/>
      <c r="F40" s="88"/>
      <c r="G40" s="189" t="s">
        <v>16</v>
      </c>
      <c r="H40" s="190"/>
      <c r="I40" s="190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AQ40" s="104" t="s">
        <v>605</v>
      </c>
      <c r="AR40" s="100" t="s">
        <v>610</v>
      </c>
      <c r="AS40" s="101">
        <v>0</v>
      </c>
      <c r="AT40" s="101">
        <v>0</v>
      </c>
      <c r="AU40" s="101">
        <v>0</v>
      </c>
      <c r="AX40" t="s">
        <v>1001</v>
      </c>
      <c r="AZ40" s="298">
        <f>SUMPRODUCT(AZ25:AZ39,AY7:AY21)</f>
        <v>35.630465555402502</v>
      </c>
      <c r="BB40" s="298">
        <f>SUM(BB25:BB39)</f>
        <v>56.461626538647451</v>
      </c>
      <c r="BC40" s="334" t="s">
        <v>1080</v>
      </c>
      <c r="BD40" s="298">
        <f>MIN(MAX(0,BB40-BA22),SUM(BD25:BD39))</f>
        <v>0.36081962822504465</v>
      </c>
      <c r="BG40" s="301">
        <f>SUM(BG34:BG39)</f>
        <v>60.171636992049542</v>
      </c>
      <c r="BH40" s="301">
        <f>SUM(BH34:BH39)</f>
        <v>214.71880322730669</v>
      </c>
      <c r="BI40" s="302">
        <f>SUMPRODUCT(BH34:BH39,BI34:BI39)</f>
        <v>1772.2839530822062</v>
      </c>
      <c r="BJ40" s="301">
        <f>SUM(BJ34:BJ39)</f>
        <v>60.176313647649543</v>
      </c>
    </row>
    <row r="41" spans="1:65" ht="13.5" thickBot="1">
      <c r="A41" s="232" t="s">
        <v>873</v>
      </c>
      <c r="B41" s="233" t="s">
        <v>874</v>
      </c>
      <c r="C41" s="232" t="s">
        <v>555</v>
      </c>
      <c r="D41" s="43" t="str">
        <f t="shared" ref="D41:T41" si="28">B38</f>
        <v>INDELC</v>
      </c>
      <c r="E41" s="43" t="str">
        <f t="shared" si="28"/>
        <v>INDNGA</v>
      </c>
      <c r="F41" s="43" t="str">
        <f t="shared" si="28"/>
        <v>INDLPG</v>
      </c>
      <c r="G41" s="43" t="str">
        <f t="shared" si="28"/>
        <v>INDNGL</v>
      </c>
      <c r="H41" s="43" t="str">
        <f t="shared" si="28"/>
        <v>INDCOA</v>
      </c>
      <c r="I41" s="43" t="str">
        <f t="shared" si="28"/>
        <v>INDCOK</v>
      </c>
      <c r="J41" s="43" t="str">
        <f t="shared" si="28"/>
        <v>INDCOG</v>
      </c>
      <c r="K41" s="43" t="str">
        <f t="shared" si="28"/>
        <v>INDBFG</v>
      </c>
      <c r="L41" s="43" t="str">
        <f t="shared" si="28"/>
        <v>INDBCO</v>
      </c>
      <c r="M41" s="43" t="str">
        <f t="shared" si="28"/>
        <v>INDHFO</v>
      </c>
      <c r="N41" s="43" t="str">
        <f t="shared" si="28"/>
        <v>INDOIL</v>
      </c>
      <c r="O41" s="43" t="str">
        <f t="shared" si="28"/>
        <v>INDETH</v>
      </c>
      <c r="P41" s="43" t="str">
        <f t="shared" si="28"/>
        <v>INDNAP</v>
      </c>
      <c r="Q41" s="43" t="str">
        <f t="shared" si="28"/>
        <v>INDPTC</v>
      </c>
      <c r="R41" s="43" t="str">
        <f t="shared" si="28"/>
        <v>INDBIO</v>
      </c>
      <c r="S41" s="43" t="str">
        <f t="shared" si="28"/>
        <v>INDGEO</v>
      </c>
      <c r="T41" s="43" t="str">
        <f t="shared" si="28"/>
        <v>INDHET</v>
      </c>
      <c r="U41" s="203"/>
      <c r="V41" s="203"/>
      <c r="W41" s="203"/>
      <c r="AQ41" s="104" t="s">
        <v>611</v>
      </c>
      <c r="AR41" s="100" t="s">
        <v>612</v>
      </c>
      <c r="AS41" s="101">
        <v>0</v>
      </c>
      <c r="AT41" s="101">
        <v>0</v>
      </c>
      <c r="AU41" s="101">
        <v>0</v>
      </c>
      <c r="AZ41" t="s">
        <v>738</v>
      </c>
      <c r="BB41" s="298">
        <f>SUM(BA7:BA21)</f>
        <v>56.100806910422406</v>
      </c>
      <c r="BF41" s="283"/>
    </row>
    <row r="42" spans="1:65">
      <c r="A42" s="234" t="s">
        <v>559</v>
      </c>
      <c r="B42" s="205" t="s">
        <v>577</v>
      </c>
      <c r="C42" s="235" t="s">
        <v>93</v>
      </c>
      <c r="D42" s="255">
        <v>0</v>
      </c>
      <c r="E42" s="17">
        <v>0.15</v>
      </c>
      <c r="F42" s="255">
        <v>0</v>
      </c>
      <c r="G42" s="255"/>
      <c r="H42" s="17">
        <v>0</v>
      </c>
      <c r="I42" s="255"/>
      <c r="J42" s="17">
        <v>0</v>
      </c>
      <c r="K42" s="17">
        <v>0</v>
      </c>
      <c r="L42" s="255"/>
      <c r="M42" s="17">
        <v>0.15</v>
      </c>
      <c r="N42" s="17">
        <v>0.15</v>
      </c>
      <c r="O42" s="255"/>
      <c r="P42" s="255"/>
      <c r="Q42" s="255"/>
      <c r="R42" s="255"/>
      <c r="S42" s="255">
        <v>1</v>
      </c>
      <c r="T42" s="194">
        <v>1</v>
      </c>
      <c r="U42" s="203"/>
      <c r="V42" s="203"/>
      <c r="W42" s="203"/>
      <c r="AQ42" s="104" t="s">
        <v>613</v>
      </c>
      <c r="AR42" s="100" t="s">
        <v>614</v>
      </c>
      <c r="AS42" s="101">
        <v>0</v>
      </c>
      <c r="AT42" s="101">
        <v>0</v>
      </c>
      <c r="AU42" s="101">
        <v>0</v>
      </c>
      <c r="AW42" t="s">
        <v>106</v>
      </c>
      <c r="AZ42" t="s">
        <v>1081</v>
      </c>
      <c r="BB42" s="298">
        <f>(BB40+BG69-BB41-BB69)*BC42-BD$40</f>
        <v>4.6766556000021886E-3</v>
      </c>
      <c r="BC42">
        <v>1</v>
      </c>
    </row>
    <row r="43" spans="1:65">
      <c r="A43" s="234" t="s">
        <v>878</v>
      </c>
      <c r="B43" s="205" t="s">
        <v>859</v>
      </c>
      <c r="C43" s="235" t="s">
        <v>93</v>
      </c>
      <c r="D43" s="255">
        <v>0</v>
      </c>
      <c r="E43" s="17">
        <v>0.1</v>
      </c>
      <c r="F43" s="255">
        <v>0</v>
      </c>
      <c r="G43" s="255"/>
      <c r="H43" s="17">
        <v>0.25</v>
      </c>
      <c r="I43" s="255"/>
      <c r="J43" s="255">
        <v>0</v>
      </c>
      <c r="K43" s="255">
        <v>1</v>
      </c>
      <c r="L43" s="255">
        <v>1</v>
      </c>
      <c r="M43" s="17">
        <v>0.25</v>
      </c>
      <c r="N43" s="17">
        <v>0.25</v>
      </c>
      <c r="O43" s="255"/>
      <c r="P43" s="255"/>
      <c r="Q43" s="255"/>
      <c r="R43" s="255">
        <v>0</v>
      </c>
      <c r="S43" s="255">
        <v>1</v>
      </c>
      <c r="T43" s="194">
        <v>1</v>
      </c>
      <c r="U43" s="203"/>
      <c r="V43" s="203"/>
      <c r="W43" s="203"/>
      <c r="AQ43" s="473" t="s">
        <v>902</v>
      </c>
      <c r="AR43" s="100" t="s">
        <v>615</v>
      </c>
      <c r="AS43" s="131">
        <v>111.48693259606176</v>
      </c>
      <c r="AT43" s="131">
        <v>37.409974796736826</v>
      </c>
      <c r="AU43" s="131">
        <v>56.100806910422406</v>
      </c>
      <c r="AW43" s="286">
        <f>(AZ40+BE70)/B18</f>
        <v>0.27878049973025537</v>
      </c>
    </row>
    <row r="44" spans="1:65">
      <c r="A44" s="236" t="s">
        <v>883</v>
      </c>
      <c r="B44" s="205" t="s">
        <v>570</v>
      </c>
      <c r="C44" s="235" t="s">
        <v>93</v>
      </c>
      <c r="D44" s="17">
        <v>0</v>
      </c>
      <c r="E44" s="17">
        <v>0.23019500117896718</v>
      </c>
      <c r="F44" s="255"/>
      <c r="G44" s="255"/>
      <c r="H44" s="17">
        <v>1</v>
      </c>
      <c r="I44" s="256"/>
      <c r="J44" s="17">
        <v>1</v>
      </c>
      <c r="K44" s="255">
        <v>1</v>
      </c>
      <c r="L44" s="255">
        <v>1</v>
      </c>
      <c r="M44" s="17">
        <v>8.9606986899563465E-2</v>
      </c>
      <c r="N44" s="17">
        <v>0</v>
      </c>
      <c r="O44" s="255"/>
      <c r="P44" s="255"/>
      <c r="Q44" s="255"/>
      <c r="R44" s="255"/>
      <c r="S44" s="255">
        <v>1</v>
      </c>
      <c r="T44" s="194">
        <v>1</v>
      </c>
      <c r="U44" s="203"/>
      <c r="V44" s="203"/>
      <c r="W44" s="203"/>
    </row>
    <row r="45" spans="1:65">
      <c r="A45" s="236" t="s">
        <v>558</v>
      </c>
      <c r="B45" s="205" t="s">
        <v>979</v>
      </c>
      <c r="C45" s="235" t="s">
        <v>93</v>
      </c>
      <c r="D45" s="17">
        <v>0</v>
      </c>
      <c r="E45" s="17">
        <v>0.75</v>
      </c>
      <c r="F45" s="255">
        <v>0</v>
      </c>
      <c r="G45" s="255"/>
      <c r="H45" s="17">
        <v>1</v>
      </c>
      <c r="I45" s="255"/>
      <c r="J45" s="255">
        <v>1</v>
      </c>
      <c r="K45" s="255">
        <v>1</v>
      </c>
      <c r="L45" s="255">
        <v>1</v>
      </c>
      <c r="M45" s="17">
        <v>0.75</v>
      </c>
      <c r="N45" s="17">
        <v>0.7</v>
      </c>
      <c r="O45" s="255"/>
      <c r="P45" s="255"/>
      <c r="Q45" s="255"/>
      <c r="R45" s="17">
        <f>IF(P31&gt;0,X15/P31,0)</f>
        <v>0.98572160677058707</v>
      </c>
      <c r="S45" s="255">
        <v>1</v>
      </c>
      <c r="T45" s="194">
        <v>1</v>
      </c>
      <c r="U45" s="203"/>
      <c r="V45" s="203"/>
      <c r="W45" s="203"/>
    </row>
    <row r="46" spans="1:65" ht="15" customHeight="1">
      <c r="A46" s="236" t="s">
        <v>884</v>
      </c>
      <c r="B46" s="205" t="s">
        <v>92</v>
      </c>
      <c r="C46" s="235" t="s">
        <v>93</v>
      </c>
      <c r="D46" s="17">
        <v>0</v>
      </c>
      <c r="E46" s="17">
        <v>0.05</v>
      </c>
      <c r="F46" s="255">
        <v>0</v>
      </c>
      <c r="G46" s="255"/>
      <c r="H46" s="17"/>
      <c r="I46" s="255"/>
      <c r="J46" s="255"/>
      <c r="K46" s="255">
        <v>1</v>
      </c>
      <c r="L46" s="255">
        <v>1</v>
      </c>
      <c r="M46" s="17">
        <v>0.2</v>
      </c>
      <c r="N46" s="17">
        <v>0.3</v>
      </c>
      <c r="O46" s="255"/>
      <c r="P46" s="255"/>
      <c r="Q46" s="255"/>
      <c r="R46" s="255">
        <v>0</v>
      </c>
      <c r="S46" s="255">
        <v>1</v>
      </c>
      <c r="T46" s="194">
        <v>1</v>
      </c>
      <c r="U46" s="203"/>
      <c r="V46" s="203"/>
      <c r="W46" s="203"/>
      <c r="AE46" s="142" t="s">
        <v>138</v>
      </c>
      <c r="AF46" s="95"/>
      <c r="AG46" s="95"/>
      <c r="AH46" s="95"/>
      <c r="AQ46" s="87" t="s">
        <v>735</v>
      </c>
      <c r="AR46" s="89"/>
      <c r="AS46" s="467"/>
      <c r="AT46" s="95"/>
      <c r="AU46" s="91"/>
      <c r="AV46" s="91"/>
      <c r="AW46" s="14"/>
      <c r="AX46" s="142" t="s">
        <v>744</v>
      </c>
      <c r="AY46" s="89"/>
      <c r="AZ46" s="467"/>
      <c r="BA46" s="95"/>
      <c r="BB46" s="91"/>
      <c r="BF46" s="295" t="s">
        <v>1003</v>
      </c>
      <c r="BG46">
        <v>0.78</v>
      </c>
    </row>
    <row r="47" spans="1:65" ht="13.5" thickBot="1">
      <c r="A47" s="234" t="s">
        <v>885</v>
      </c>
      <c r="B47" s="205" t="s">
        <v>48</v>
      </c>
      <c r="C47" s="235" t="s">
        <v>93</v>
      </c>
      <c r="D47" s="17">
        <v>0</v>
      </c>
      <c r="E47" s="17">
        <v>0.1</v>
      </c>
      <c r="F47" s="17">
        <v>0.1</v>
      </c>
      <c r="G47" s="255"/>
      <c r="H47" s="17">
        <v>0.35</v>
      </c>
      <c r="I47" s="255"/>
      <c r="J47" s="17">
        <f>1-J51</f>
        <v>1</v>
      </c>
      <c r="K47" s="255"/>
      <c r="L47" s="255"/>
      <c r="M47" s="17">
        <v>0.1</v>
      </c>
      <c r="N47" s="17">
        <v>0.05</v>
      </c>
      <c r="O47" s="255"/>
      <c r="P47" s="255"/>
      <c r="Q47" s="255"/>
      <c r="R47" s="255">
        <v>0.75</v>
      </c>
      <c r="S47" s="255">
        <v>0</v>
      </c>
      <c r="T47" s="194">
        <f>1-INDEX($BJ$6:$BJ$23,RegIndex)</f>
        <v>0.76</v>
      </c>
      <c r="U47" s="203"/>
      <c r="V47" s="203"/>
      <c r="W47" s="203"/>
      <c r="AE47" s="111"/>
      <c r="AF47" s="284" t="s">
        <v>2</v>
      </c>
      <c r="AG47" s="284" t="s">
        <v>2</v>
      </c>
      <c r="AH47" s="284" t="s">
        <v>66</v>
      </c>
      <c r="AI47" s="284" t="s">
        <v>67</v>
      </c>
      <c r="AJ47" s="284" t="s">
        <v>903</v>
      </c>
      <c r="AK47" s="284" t="s">
        <v>65</v>
      </c>
      <c r="AL47" s="284" t="s">
        <v>68</v>
      </c>
      <c r="AM47" s="284" t="s">
        <v>69</v>
      </c>
      <c r="AN47" s="284"/>
      <c r="AO47" s="284" t="s">
        <v>70</v>
      </c>
      <c r="AQ47" s="246" t="s">
        <v>28</v>
      </c>
      <c r="AR47" s="169"/>
      <c r="AS47" s="247" t="s">
        <v>29</v>
      </c>
      <c r="AT47" s="248"/>
      <c r="AU47" s="247" t="s">
        <v>30</v>
      </c>
      <c r="AV47" s="249"/>
      <c r="AX47" s="96"/>
      <c r="AY47" s="96"/>
      <c r="AZ47" s="96"/>
      <c r="BA47" s="96"/>
      <c r="BB47" s="108"/>
      <c r="BF47" s="295" t="s">
        <v>1004</v>
      </c>
      <c r="BG47">
        <v>0.88</v>
      </c>
    </row>
    <row r="48" spans="1:65" ht="13.5" thickBot="1">
      <c r="A48" s="234" t="s">
        <v>885</v>
      </c>
      <c r="B48" s="205" t="s">
        <v>57</v>
      </c>
      <c r="C48" s="234" t="s">
        <v>875</v>
      </c>
      <c r="D48" s="17">
        <v>0.1</v>
      </c>
      <c r="E48" s="17">
        <v>0.5</v>
      </c>
      <c r="F48" s="17">
        <v>0.8</v>
      </c>
      <c r="G48" s="255"/>
      <c r="H48" s="17">
        <v>0.65</v>
      </c>
      <c r="I48" s="17">
        <v>0.7</v>
      </c>
      <c r="J48" s="255">
        <v>0</v>
      </c>
      <c r="K48" s="255">
        <v>1</v>
      </c>
      <c r="L48" s="255">
        <v>1</v>
      </c>
      <c r="M48" s="17">
        <v>0.2</v>
      </c>
      <c r="N48" s="17">
        <v>0.7</v>
      </c>
      <c r="O48" s="255"/>
      <c r="P48" s="255"/>
      <c r="Q48" s="255"/>
      <c r="R48" s="255"/>
      <c r="S48" s="255"/>
      <c r="T48" s="255"/>
      <c r="U48" s="203"/>
      <c r="V48" s="203"/>
      <c r="W48" s="203"/>
      <c r="AE48" s="184" t="s">
        <v>951</v>
      </c>
      <c r="AF48" s="9">
        <f>MATCH($AE48,$B$24:$AJ$24,0)</f>
        <v>2</v>
      </c>
      <c r="AG48" s="9">
        <f t="shared" ref="AG48:AG72" si="29">MATCH($AE48,AQ$51:AQ$83,0)</f>
        <v>5</v>
      </c>
      <c r="AH48" s="46">
        <f t="shared" ref="AH48:AH76" si="30">INDEX($B$18:$AK$18,$AF48)</f>
        <v>28.846877933501812</v>
      </c>
      <c r="AI48" s="46">
        <f t="shared" ref="AI48:AI76" si="31">INDEX($B$20:$AK$20,$AF48)</f>
        <v>0</v>
      </c>
      <c r="AJ48" s="46">
        <f t="shared" ref="AJ48:AJ76" si="32">INDEX($B$21:$AK$21,$AF48)</f>
        <v>1.3792993920000003</v>
      </c>
      <c r="AK48" s="9">
        <f t="shared" ref="AK48:AK75" si="33">IF(ISNA($AG48),0,INDEX(AS$7:AS$36,$AG48)+INDEX(AS$51:AS$80,$AG48)+INDEX(AU$51:AU$80,$AG48))</f>
        <v>16.715232414936878</v>
      </c>
      <c r="AL48" s="46">
        <f t="shared" ref="AL48:AL67" si="34">AH48+AI48-AJ48+AK48</f>
        <v>44.182810956438686</v>
      </c>
      <c r="AM48" s="184" t="s">
        <v>906</v>
      </c>
      <c r="AN48" s="9">
        <f t="shared" ref="AN48:AN76" si="35">MATCH(AM48,BI$49:BI$63,0)</f>
        <v>1</v>
      </c>
      <c r="AO48" s="542">
        <f t="shared" ref="AO48:AO69" ca="1" si="36">AL48/MAX(Tiny,INDEX(BK$49:BK$63,AN48))</f>
        <v>0.99999999999999989</v>
      </c>
      <c r="AQ48" s="250">
        <f>IF(AT59+AT69+AT75+AT80=0,3,(AS59+AS69+AS75+AS80)/(AT59+AT69+AT75+AT80))</f>
        <v>3.1041887047200878</v>
      </c>
      <c r="AR48" s="83"/>
      <c r="AS48" s="97" t="s">
        <v>581</v>
      </c>
      <c r="AT48" s="251" t="s">
        <v>582</v>
      </c>
      <c r="AU48" s="133" t="s">
        <v>581</v>
      </c>
      <c r="AV48" s="133" t="s">
        <v>583</v>
      </c>
      <c r="AX48" s="244"/>
      <c r="AY48" s="254" t="s">
        <v>746</v>
      </c>
      <c r="AZ48" s="254" t="s">
        <v>747</v>
      </c>
      <c r="BA48" s="245" t="s">
        <v>582</v>
      </c>
      <c r="BB48" s="245" t="s">
        <v>583</v>
      </c>
      <c r="BC48" s="98" t="s">
        <v>589</v>
      </c>
      <c r="BD48" s="98" t="s">
        <v>645</v>
      </c>
      <c r="BE48" s="284" t="s">
        <v>7</v>
      </c>
      <c r="BF48" s="284" t="s">
        <v>1002</v>
      </c>
      <c r="BG48" s="284" t="s">
        <v>998</v>
      </c>
      <c r="BI48" s="284"/>
      <c r="BJ48" s="284" t="s">
        <v>63</v>
      </c>
      <c r="BK48" s="284" t="s">
        <v>64</v>
      </c>
      <c r="BL48" s="284" t="s">
        <v>1244</v>
      </c>
    </row>
    <row r="49" spans="1:64">
      <c r="A49" s="234" t="s">
        <v>885</v>
      </c>
      <c r="B49" s="205" t="s">
        <v>60</v>
      </c>
      <c r="C49" s="234" t="s">
        <v>876</v>
      </c>
      <c r="D49" s="17">
        <v>0.37</v>
      </c>
      <c r="E49" s="17">
        <v>0</v>
      </c>
      <c r="F49" s="17">
        <v>0</v>
      </c>
      <c r="G49" s="255"/>
      <c r="H49" s="17"/>
      <c r="I49" s="255"/>
      <c r="J49" s="255"/>
      <c r="K49" s="255"/>
      <c r="L49" s="255"/>
      <c r="M49" s="17">
        <v>0</v>
      </c>
      <c r="N49" s="17">
        <v>0</v>
      </c>
      <c r="O49" s="255"/>
      <c r="P49" s="255"/>
      <c r="Q49" s="255"/>
      <c r="R49" s="255"/>
      <c r="S49" s="255"/>
      <c r="T49" s="255"/>
      <c r="U49" s="203"/>
      <c r="V49" s="203"/>
      <c r="W49" s="203"/>
      <c r="AE49" s="184" t="s">
        <v>832</v>
      </c>
      <c r="AF49" s="9">
        <f t="shared" ref="AF49:AF76" si="37">MATCH(AE49,$B$24:$AJ$24,0)</f>
        <v>12</v>
      </c>
      <c r="AG49" s="9">
        <f t="shared" si="29"/>
        <v>1</v>
      </c>
      <c r="AH49" s="46">
        <f t="shared" si="30"/>
        <v>0</v>
      </c>
      <c r="AI49" s="46">
        <f t="shared" si="31"/>
        <v>0</v>
      </c>
      <c r="AJ49" s="46">
        <f t="shared" si="32"/>
        <v>0</v>
      </c>
      <c r="AK49" s="9">
        <f t="shared" si="33"/>
        <v>0</v>
      </c>
      <c r="AL49" s="46">
        <f t="shared" si="34"/>
        <v>0</v>
      </c>
      <c r="AM49" s="184" t="s">
        <v>906</v>
      </c>
      <c r="AN49" s="9">
        <f t="shared" si="35"/>
        <v>1</v>
      </c>
      <c r="AO49" s="542">
        <f t="shared" ca="1" si="36"/>
        <v>0</v>
      </c>
      <c r="AQ49" s="446"/>
      <c r="AR49" s="173"/>
      <c r="AS49" s="269">
        <v>-4.1868000000000002E-2</v>
      </c>
      <c r="AT49" s="270">
        <v>3.5999999999999999E-3</v>
      </c>
      <c r="AU49" s="269">
        <v>-4.1868000000000002E-2</v>
      </c>
      <c r="AV49" s="270">
        <v>1E-3</v>
      </c>
      <c r="AX49" s="184" t="str">
        <f>$C$38</f>
        <v>INDNGA</v>
      </c>
      <c r="AY49" s="102">
        <f>AS51+AS55</f>
        <v>0.12325939200000001</v>
      </c>
      <c r="AZ49" s="102">
        <f>AU51+AU55</f>
        <v>0.27425214720000002</v>
      </c>
      <c r="BA49" s="102">
        <f>AT51+AT55</f>
        <v>4.3200000000000002E-2</v>
      </c>
      <c r="BB49" s="102">
        <f>AV51+AV55</f>
        <v>0.25998353280000003</v>
      </c>
      <c r="BC49" s="2">
        <f t="shared" ref="BC49:BC63" si="38">IF(AY49=0,0,MAX(0.15,BA49/AY49*(1-AZ$4)))</f>
        <v>0.33319039686006185</v>
      </c>
      <c r="BD49" s="2">
        <f t="shared" ref="BD49:BD63" si="39">IF(AZ49=0,0,BB49/AZ49)</f>
        <v>0.9479726428920372</v>
      </c>
      <c r="BE49" s="470">
        <f t="shared" ref="BE49:BE67" si="40">BC49*AY49*BA$69/BA$70</f>
        <v>4.1063829610692534E-2</v>
      </c>
      <c r="BF49" s="470">
        <f t="shared" ref="BF49:BF63" si="41">MAX(BG$46,MIN(BG$47,BD49))</f>
        <v>0.88</v>
      </c>
      <c r="BG49" s="470">
        <f t="shared" ref="BG49:BG63" si="42">BF49*AZ49</f>
        <v>0.24134188953600003</v>
      </c>
      <c r="BH49">
        <f t="shared" ref="BH49:BH63" si="43">MATCH(AX49,$B$38:$R$38,0)</f>
        <v>2</v>
      </c>
      <c r="BI49" s="184" t="s">
        <v>906</v>
      </c>
      <c r="BJ49" s="102">
        <f t="shared" ref="BJ49:BJ59" si="44">SUM(AY7,AY49,AZ49)</f>
        <v>16.715232414936878</v>
      </c>
      <c r="BK49" s="102">
        <f t="shared" ref="BK49:BK59" ca="1" si="45">BJ49+OFFSET($A$34,0,$BH49)+OFFSET($A$36,0,$BH49)-INDEX($B$37:$S$37,$BH49)</f>
        <v>44.182810956438693</v>
      </c>
      <c r="BL49" s="102">
        <f t="shared" ref="BL49:BL61" ca="1" si="46">BK49</f>
        <v>44.182810956438693</v>
      </c>
    </row>
    <row r="50" spans="1:64" ht="13.5" thickBot="1">
      <c r="A50" s="234" t="s">
        <v>885</v>
      </c>
      <c r="B50" s="205" t="s">
        <v>61</v>
      </c>
      <c r="C50" s="234" t="s">
        <v>0</v>
      </c>
      <c r="D50" s="17">
        <v>0.23</v>
      </c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03"/>
      <c r="V50" s="203"/>
      <c r="W50" s="203"/>
      <c r="AE50" s="184" t="s">
        <v>1084</v>
      </c>
      <c r="AF50" s="9">
        <f t="shared" si="37"/>
        <v>3</v>
      </c>
      <c r="AG50" s="9" t="e">
        <f t="shared" si="29"/>
        <v>#N/A</v>
      </c>
      <c r="AH50" s="46">
        <f t="shared" si="30"/>
        <v>15.943186241923419</v>
      </c>
      <c r="AI50" s="46">
        <f t="shared" si="31"/>
        <v>0</v>
      </c>
      <c r="AJ50" s="46">
        <f t="shared" si="32"/>
        <v>5.5200027240000002</v>
      </c>
      <c r="AK50" s="9">
        <f t="shared" si="33"/>
        <v>0</v>
      </c>
      <c r="AL50" s="46">
        <f t="shared" si="34"/>
        <v>10.42318351792342</v>
      </c>
      <c r="AM50" s="184" t="s">
        <v>907</v>
      </c>
      <c r="AN50" s="9">
        <f t="shared" si="35"/>
        <v>2</v>
      </c>
      <c r="AO50" s="542">
        <f t="shared" ca="1" si="36"/>
        <v>1</v>
      </c>
      <c r="AQ50" s="468"/>
      <c r="AR50" s="242" t="s">
        <v>585</v>
      </c>
      <c r="AS50" s="252" t="s">
        <v>31</v>
      </c>
      <c r="AT50" s="253" t="s">
        <v>32</v>
      </c>
      <c r="AU50" s="252" t="s">
        <v>33</v>
      </c>
      <c r="AV50" s="252" t="s">
        <v>34</v>
      </c>
      <c r="AX50" s="184" t="str">
        <f>$D$38</f>
        <v>INDLPG</v>
      </c>
      <c r="AY50" s="102">
        <f>AS57</f>
        <v>0</v>
      </c>
      <c r="AZ50" s="102">
        <f>AU57</f>
        <v>0</v>
      </c>
      <c r="BA50" s="102">
        <f>AT57</f>
        <v>0</v>
      </c>
      <c r="BB50" s="102">
        <f>AV57</f>
        <v>2.0096640000000004E-3</v>
      </c>
      <c r="BC50" s="2">
        <f t="shared" si="38"/>
        <v>0</v>
      </c>
      <c r="BD50" s="2">
        <f t="shared" si="39"/>
        <v>0</v>
      </c>
      <c r="BE50" s="470">
        <f t="shared" si="40"/>
        <v>0</v>
      </c>
      <c r="BF50" s="470">
        <f t="shared" si="41"/>
        <v>0.78</v>
      </c>
      <c r="BG50" s="470">
        <f t="shared" si="42"/>
        <v>0</v>
      </c>
      <c r="BH50">
        <f t="shared" si="43"/>
        <v>3</v>
      </c>
      <c r="BI50" s="184" t="s">
        <v>907</v>
      </c>
      <c r="BJ50" s="102">
        <f t="shared" si="44"/>
        <v>0</v>
      </c>
      <c r="BK50" s="102">
        <f t="shared" ca="1" si="45"/>
        <v>10.42318351792342</v>
      </c>
      <c r="BL50" s="102">
        <f t="shared" ca="1" si="46"/>
        <v>10.42318351792342</v>
      </c>
    </row>
    <row r="51" spans="1:64">
      <c r="A51" s="234" t="s">
        <v>885</v>
      </c>
      <c r="B51" s="205" t="s">
        <v>94</v>
      </c>
      <c r="C51" s="234" t="s">
        <v>877</v>
      </c>
      <c r="D51" s="255"/>
      <c r="E51" s="255"/>
      <c r="F51" s="255"/>
      <c r="G51" s="255">
        <v>1</v>
      </c>
      <c r="H51" s="255"/>
      <c r="I51" s="255"/>
      <c r="J51" s="255"/>
      <c r="K51" s="255"/>
      <c r="L51" s="255"/>
      <c r="M51" s="255"/>
      <c r="N51" s="255"/>
      <c r="O51" s="255">
        <v>1</v>
      </c>
      <c r="P51" s="255">
        <v>1</v>
      </c>
      <c r="Q51" s="255">
        <v>0.5</v>
      </c>
      <c r="R51" s="255">
        <v>0</v>
      </c>
      <c r="S51" s="255"/>
      <c r="T51" s="255"/>
      <c r="U51" s="203"/>
      <c r="V51" s="203"/>
      <c r="W51" s="203"/>
      <c r="AE51" s="184" t="s">
        <v>756</v>
      </c>
      <c r="AF51" s="9">
        <f t="shared" si="37"/>
        <v>4</v>
      </c>
      <c r="AG51" s="9">
        <f t="shared" si="29"/>
        <v>14</v>
      </c>
      <c r="AH51" s="46">
        <f t="shared" si="30"/>
        <v>0</v>
      </c>
      <c r="AI51" s="46">
        <f t="shared" si="31"/>
        <v>0</v>
      </c>
      <c r="AJ51" s="46">
        <f t="shared" si="32"/>
        <v>0</v>
      </c>
      <c r="AK51" s="9">
        <f t="shared" si="33"/>
        <v>0</v>
      </c>
      <c r="AL51" s="46">
        <f t="shared" si="34"/>
        <v>0</v>
      </c>
      <c r="AM51" s="184" t="s">
        <v>908</v>
      </c>
      <c r="AN51" s="9">
        <f t="shared" si="35"/>
        <v>3</v>
      </c>
      <c r="AO51" s="542">
        <f t="shared" ca="1" si="36"/>
        <v>0</v>
      </c>
      <c r="AQ51" s="99" t="s">
        <v>832</v>
      </c>
      <c r="AR51" s="100" t="s">
        <v>591</v>
      </c>
      <c r="AS51" s="134">
        <v>0</v>
      </c>
      <c r="AT51" s="134">
        <v>0</v>
      </c>
      <c r="AU51" s="134">
        <v>0</v>
      </c>
      <c r="AV51" s="134">
        <v>0</v>
      </c>
      <c r="AX51" s="184" t="str">
        <f>$E$38</f>
        <v>INDNGL</v>
      </c>
      <c r="AY51" s="102">
        <f>AS64</f>
        <v>0</v>
      </c>
      <c r="AZ51" s="102">
        <f>AU64</f>
        <v>0</v>
      </c>
      <c r="BA51" s="102">
        <f>AT64</f>
        <v>0</v>
      </c>
      <c r="BB51" s="102">
        <f>AV64</f>
        <v>0</v>
      </c>
      <c r="BC51" s="2">
        <f t="shared" si="38"/>
        <v>0</v>
      </c>
      <c r="BD51" s="2">
        <f t="shared" si="39"/>
        <v>0</v>
      </c>
      <c r="BE51" s="470">
        <f t="shared" si="40"/>
        <v>0</v>
      </c>
      <c r="BF51" s="470">
        <f t="shared" si="41"/>
        <v>0.78</v>
      </c>
      <c r="BG51" s="470">
        <f t="shared" si="42"/>
        <v>0</v>
      </c>
      <c r="BH51">
        <f t="shared" si="43"/>
        <v>4</v>
      </c>
      <c r="BI51" s="184" t="s">
        <v>908</v>
      </c>
      <c r="BJ51" s="102">
        <f t="shared" si="44"/>
        <v>0</v>
      </c>
      <c r="BK51" s="102">
        <f t="shared" ca="1" si="45"/>
        <v>0</v>
      </c>
      <c r="BL51" s="102">
        <f t="shared" ca="1" si="46"/>
        <v>0</v>
      </c>
    </row>
    <row r="52" spans="1:64" ht="12.75" customHeight="1">
      <c r="A52" s="234" t="s">
        <v>885</v>
      </c>
      <c r="B52" s="205" t="s">
        <v>75</v>
      </c>
      <c r="C52" s="234" t="s">
        <v>560</v>
      </c>
      <c r="D52" s="17">
        <f t="shared" ref="D52:T52" si="47">1-SUM(D47:D51)</f>
        <v>0.30000000000000004</v>
      </c>
      <c r="E52" s="17">
        <f t="shared" si="47"/>
        <v>0.4</v>
      </c>
      <c r="F52" s="17">
        <f t="shared" si="47"/>
        <v>9.9999999999999978E-2</v>
      </c>
      <c r="G52" s="255">
        <f t="shared" si="47"/>
        <v>0</v>
      </c>
      <c r="H52" s="17">
        <f t="shared" si="47"/>
        <v>0</v>
      </c>
      <c r="I52" s="17">
        <f t="shared" si="47"/>
        <v>0.30000000000000004</v>
      </c>
      <c r="J52" s="255">
        <f t="shared" si="47"/>
        <v>0</v>
      </c>
      <c r="K52" s="255">
        <f t="shared" si="47"/>
        <v>0</v>
      </c>
      <c r="L52" s="255">
        <f t="shared" si="47"/>
        <v>0</v>
      </c>
      <c r="M52" s="17">
        <f t="shared" si="47"/>
        <v>0.7</v>
      </c>
      <c r="N52" s="17">
        <f t="shared" si="47"/>
        <v>0.25</v>
      </c>
      <c r="O52" s="255">
        <f t="shared" si="47"/>
        <v>0</v>
      </c>
      <c r="P52" s="255">
        <f t="shared" si="47"/>
        <v>0</v>
      </c>
      <c r="Q52" s="194">
        <f t="shared" si="47"/>
        <v>0.5</v>
      </c>
      <c r="R52" s="194">
        <f t="shared" si="47"/>
        <v>0.25</v>
      </c>
      <c r="S52" s="17">
        <f t="shared" si="47"/>
        <v>1</v>
      </c>
      <c r="T52" s="17">
        <f t="shared" si="47"/>
        <v>0.24</v>
      </c>
      <c r="U52" s="203"/>
      <c r="V52" s="203"/>
      <c r="W52" s="203"/>
      <c r="AE52" s="184" t="s">
        <v>952</v>
      </c>
      <c r="AF52" s="9">
        <f t="shared" si="37"/>
        <v>5</v>
      </c>
      <c r="AG52" s="9">
        <f t="shared" si="29"/>
        <v>27</v>
      </c>
      <c r="AH52" s="46">
        <f t="shared" si="30"/>
        <v>3.8949641480000001</v>
      </c>
      <c r="AI52" s="46">
        <f t="shared" si="31"/>
        <v>0</v>
      </c>
      <c r="AJ52" s="46">
        <f t="shared" si="32"/>
        <v>0</v>
      </c>
      <c r="AK52" s="9">
        <f t="shared" si="33"/>
        <v>4.281262465473695</v>
      </c>
      <c r="AL52" s="46">
        <f t="shared" si="34"/>
        <v>8.1762266134736947</v>
      </c>
      <c r="AM52" s="184" t="s">
        <v>909</v>
      </c>
      <c r="AN52" s="9">
        <f t="shared" si="35"/>
        <v>4</v>
      </c>
      <c r="AO52" s="542">
        <f t="shared" ca="1" si="36"/>
        <v>1</v>
      </c>
      <c r="AQ52" s="99" t="s">
        <v>830</v>
      </c>
      <c r="AR52" s="100" t="s">
        <v>801</v>
      </c>
      <c r="AS52" s="134">
        <v>5.5129270320000003</v>
      </c>
      <c r="AT52" s="134">
        <v>1.71</v>
      </c>
      <c r="AU52" s="134">
        <v>0.95479974000000001</v>
      </c>
      <c r="AV52" s="134">
        <v>0.802986372</v>
      </c>
      <c r="AX52" s="184" t="str">
        <f>$F$38</f>
        <v>INDCOA</v>
      </c>
      <c r="AY52" s="102">
        <f>AS77</f>
        <v>2.6000028000000001E-2</v>
      </c>
      <c r="AZ52" s="102">
        <f>AU77</f>
        <v>7.3980755999999995E-2</v>
      </c>
      <c r="BA52" s="102">
        <f>AT77</f>
        <v>3.5999999999999999E-3</v>
      </c>
      <c r="BB52" s="102">
        <f>AV77</f>
        <v>5.5014552000000001E-2</v>
      </c>
      <c r="BC52" s="2">
        <f t="shared" si="38"/>
        <v>0.15</v>
      </c>
      <c r="BD52" s="2">
        <f t="shared" si="39"/>
        <v>0.74363327674023771</v>
      </c>
      <c r="BE52" s="470">
        <f t="shared" si="40"/>
        <v>3.8995278556047661E-3</v>
      </c>
      <c r="BF52" s="470">
        <f t="shared" si="41"/>
        <v>0.78</v>
      </c>
      <c r="BG52" s="470">
        <f t="shared" si="42"/>
        <v>5.7704989679999999E-2</v>
      </c>
      <c r="BH52">
        <f t="shared" si="43"/>
        <v>5</v>
      </c>
      <c r="BI52" s="184" t="s">
        <v>909</v>
      </c>
      <c r="BJ52" s="102">
        <f t="shared" si="44"/>
        <v>4.281262465473695</v>
      </c>
      <c r="BK52" s="102">
        <f t="shared" ca="1" si="45"/>
        <v>8.1762266134736947</v>
      </c>
      <c r="BL52" s="102">
        <f t="shared" ca="1" si="46"/>
        <v>8.1762266134736947</v>
      </c>
    </row>
    <row r="53" spans="1:64">
      <c r="A53" s="203"/>
      <c r="B53" s="203"/>
      <c r="C53" s="203"/>
      <c r="D53" s="260">
        <f t="shared" ref="D53:T53" si="48">SUM(D47:D52)</f>
        <v>1</v>
      </c>
      <c r="E53" s="260">
        <f t="shared" si="48"/>
        <v>1</v>
      </c>
      <c r="F53" s="260">
        <f t="shared" si="48"/>
        <v>1</v>
      </c>
      <c r="G53" s="260">
        <f t="shared" si="48"/>
        <v>1</v>
      </c>
      <c r="H53" s="260">
        <f t="shared" si="48"/>
        <v>1</v>
      </c>
      <c r="I53" s="260">
        <f t="shared" si="48"/>
        <v>1</v>
      </c>
      <c r="J53" s="260">
        <f t="shared" si="48"/>
        <v>1</v>
      </c>
      <c r="K53" s="260">
        <f t="shared" si="48"/>
        <v>1</v>
      </c>
      <c r="L53" s="260">
        <f t="shared" si="48"/>
        <v>1</v>
      </c>
      <c r="M53" s="260">
        <f t="shared" si="48"/>
        <v>1</v>
      </c>
      <c r="N53" s="260">
        <f t="shared" si="48"/>
        <v>1</v>
      </c>
      <c r="O53" s="260">
        <f t="shared" si="48"/>
        <v>1</v>
      </c>
      <c r="P53" s="260">
        <f t="shared" si="48"/>
        <v>1</v>
      </c>
      <c r="Q53" s="260">
        <f t="shared" si="48"/>
        <v>1</v>
      </c>
      <c r="R53" s="260">
        <f t="shared" si="48"/>
        <v>1</v>
      </c>
      <c r="S53" s="260">
        <f t="shared" si="48"/>
        <v>1</v>
      </c>
      <c r="T53" s="260">
        <f t="shared" si="48"/>
        <v>1</v>
      </c>
      <c r="U53" s="203"/>
      <c r="V53" s="203"/>
      <c r="W53" s="203"/>
      <c r="AE53" s="184" t="s">
        <v>953</v>
      </c>
      <c r="AF53" s="9">
        <f t="shared" si="37"/>
        <v>6</v>
      </c>
      <c r="AG53" s="9">
        <f t="shared" si="29"/>
        <v>26</v>
      </c>
      <c r="AH53" s="46">
        <f t="shared" si="30"/>
        <v>9.515500838988169</v>
      </c>
      <c r="AI53" s="46">
        <f t="shared" si="31"/>
        <v>0</v>
      </c>
      <c r="AJ53" s="46">
        <f t="shared" si="32"/>
        <v>0</v>
      </c>
      <c r="AK53" s="9">
        <f t="shared" si="33"/>
        <v>15.401934467600151</v>
      </c>
      <c r="AL53" s="46">
        <f t="shared" si="34"/>
        <v>24.91743530658832</v>
      </c>
      <c r="AM53" s="184" t="s">
        <v>1150</v>
      </c>
      <c r="AN53" s="9">
        <f t="shared" si="35"/>
        <v>8</v>
      </c>
      <c r="AO53" s="542">
        <f t="shared" ca="1" si="36"/>
        <v>1</v>
      </c>
      <c r="AQ53" s="99" t="s">
        <v>956</v>
      </c>
      <c r="AR53" s="100" t="s">
        <v>800</v>
      </c>
      <c r="AS53" s="134">
        <v>0.46875412799999999</v>
      </c>
      <c r="AT53" s="134">
        <v>0.1656</v>
      </c>
      <c r="AU53" s="134">
        <v>0.21683437200000003</v>
      </c>
      <c r="AV53" s="134">
        <v>0.17898570000000005</v>
      </c>
      <c r="AX53" s="184" t="str">
        <f>$G$38</f>
        <v>INDCOK</v>
      </c>
      <c r="AY53" s="102">
        <f>AS78</f>
        <v>0</v>
      </c>
      <c r="AZ53" s="102">
        <f>AU78</f>
        <v>0</v>
      </c>
      <c r="BA53" s="102">
        <f>AT78</f>
        <v>0</v>
      </c>
      <c r="BB53" s="102">
        <f>AV78</f>
        <v>0</v>
      </c>
      <c r="BC53" s="2">
        <f t="shared" si="38"/>
        <v>0</v>
      </c>
      <c r="BD53" s="2">
        <f t="shared" si="39"/>
        <v>0</v>
      </c>
      <c r="BE53" s="470">
        <f t="shared" si="40"/>
        <v>0</v>
      </c>
      <c r="BF53" s="470">
        <f t="shared" si="41"/>
        <v>0.78</v>
      </c>
      <c r="BG53" s="470">
        <f t="shared" si="42"/>
        <v>0</v>
      </c>
      <c r="BH53">
        <f t="shared" si="43"/>
        <v>6</v>
      </c>
      <c r="BI53" s="184" t="s">
        <v>910</v>
      </c>
      <c r="BJ53" s="102">
        <f t="shared" si="44"/>
        <v>4.1281514391858648E-3</v>
      </c>
      <c r="BK53" s="102">
        <f t="shared" ca="1" si="45"/>
        <v>8.5304207474391855</v>
      </c>
      <c r="BL53" s="102">
        <f t="shared" ca="1" si="46"/>
        <v>8.5304207474391855</v>
      </c>
    </row>
    <row r="54" spans="1:64" ht="14.25" customHeight="1">
      <c r="A54" s="234" t="s">
        <v>885</v>
      </c>
      <c r="B54" s="203" t="s">
        <v>1332</v>
      </c>
      <c r="C54" s="234" t="s">
        <v>1333</v>
      </c>
      <c r="D54" s="255">
        <v>0.1</v>
      </c>
      <c r="E54" s="255"/>
      <c r="F54" s="255">
        <v>0.14000000000000001</v>
      </c>
      <c r="G54" s="255"/>
      <c r="H54" s="255"/>
      <c r="I54" s="255"/>
      <c r="J54" s="255"/>
      <c r="K54" s="255"/>
      <c r="L54" s="255"/>
      <c r="M54" s="255"/>
      <c r="N54" s="255">
        <f>0.9-F54</f>
        <v>0.76</v>
      </c>
      <c r="O54" s="255"/>
      <c r="P54" s="255"/>
      <c r="Q54" s="255"/>
      <c r="R54" s="255"/>
      <c r="S54" s="255"/>
      <c r="T54" s="255"/>
      <c r="U54" s="203"/>
      <c r="V54" s="203"/>
      <c r="W54" s="203"/>
      <c r="AE54" s="184" t="s">
        <v>954</v>
      </c>
      <c r="AF54" s="9">
        <f t="shared" si="37"/>
        <v>7</v>
      </c>
      <c r="AG54" s="9">
        <f t="shared" si="29"/>
        <v>28</v>
      </c>
      <c r="AH54" s="46">
        <f t="shared" si="30"/>
        <v>8.5262925959999993</v>
      </c>
      <c r="AI54" s="46">
        <f t="shared" si="31"/>
        <v>0</v>
      </c>
      <c r="AJ54" s="46">
        <f t="shared" si="32"/>
        <v>0</v>
      </c>
      <c r="AK54" s="9">
        <f t="shared" si="33"/>
        <v>4.1281514391858648E-3</v>
      </c>
      <c r="AL54" s="46">
        <f t="shared" si="34"/>
        <v>8.5304207474391855</v>
      </c>
      <c r="AM54" s="184" t="s">
        <v>910</v>
      </c>
      <c r="AN54" s="9">
        <f t="shared" si="35"/>
        <v>5</v>
      </c>
      <c r="AO54" s="542">
        <f t="shared" ca="1" si="36"/>
        <v>1</v>
      </c>
      <c r="AQ54" s="99" t="s">
        <v>831</v>
      </c>
      <c r="AR54" s="100" t="s">
        <v>592</v>
      </c>
      <c r="AS54" s="134">
        <v>0</v>
      </c>
      <c r="AT54" s="134">
        <v>0</v>
      </c>
      <c r="AU54" s="134">
        <v>0</v>
      </c>
      <c r="AV54" s="134">
        <v>0</v>
      </c>
      <c r="AX54" s="184" t="str">
        <f>$H$38</f>
        <v>INDCOG</v>
      </c>
      <c r="AY54" s="102">
        <f>AS53</f>
        <v>0.46875412799999999</v>
      </c>
      <c r="AZ54" s="102">
        <f>AU53</f>
        <v>0.21683437200000003</v>
      </c>
      <c r="BA54" s="102">
        <f>AT53</f>
        <v>0.1656</v>
      </c>
      <c r="BB54" s="102">
        <f>AV53</f>
        <v>0.17898570000000005</v>
      </c>
      <c r="BC54" s="2">
        <f t="shared" si="38"/>
        <v>0.33584893640866542</v>
      </c>
      <c r="BD54" s="2">
        <f t="shared" si="39"/>
        <v>0.82544892836454931</v>
      </c>
      <c r="BE54" s="470">
        <f t="shared" si="40"/>
        <v>0.15741134684098798</v>
      </c>
      <c r="BF54" s="470">
        <f t="shared" si="41"/>
        <v>0.82544892836454931</v>
      </c>
      <c r="BG54" s="470">
        <f t="shared" si="42"/>
        <v>0.17898570000000005</v>
      </c>
      <c r="BH54">
        <f t="shared" si="43"/>
        <v>7</v>
      </c>
      <c r="BI54" s="184" t="s">
        <v>911</v>
      </c>
      <c r="BJ54" s="102">
        <f t="shared" si="44"/>
        <v>0.71799433199999996</v>
      </c>
      <c r="BK54" s="102">
        <f t="shared" ca="1" si="45"/>
        <v>4.5724880160000003</v>
      </c>
      <c r="BL54" s="102">
        <f t="shared" ca="1" si="46"/>
        <v>4.5724880160000003</v>
      </c>
    </row>
    <row r="55" spans="1:64">
      <c r="A55" s="234" t="s">
        <v>885</v>
      </c>
      <c r="B55" s="203" t="s">
        <v>1332</v>
      </c>
      <c r="C55" s="234" t="s">
        <v>1118</v>
      </c>
      <c r="D55" s="255">
        <v>0.22</v>
      </c>
      <c r="E55" s="255"/>
      <c r="F55" s="255">
        <v>0.05</v>
      </c>
      <c r="G55" s="255"/>
      <c r="H55" s="255"/>
      <c r="I55" s="255"/>
      <c r="J55" s="255"/>
      <c r="K55" s="255"/>
      <c r="L55" s="255"/>
      <c r="M55" s="255"/>
      <c r="N55" s="255">
        <f>0.95-F55</f>
        <v>0.89999999999999991</v>
      </c>
      <c r="O55" s="255"/>
      <c r="P55" s="255"/>
      <c r="Q55" s="255"/>
      <c r="R55" s="255"/>
      <c r="S55" s="255"/>
      <c r="T55" s="255"/>
      <c r="AE55" s="184" t="s">
        <v>956</v>
      </c>
      <c r="AF55" s="9">
        <f t="shared" si="37"/>
        <v>9</v>
      </c>
      <c r="AG55" s="9">
        <f t="shared" si="29"/>
        <v>3</v>
      </c>
      <c r="AH55" s="46">
        <f t="shared" si="30"/>
        <v>3.8544936840000004</v>
      </c>
      <c r="AI55" s="46">
        <f t="shared" si="31"/>
        <v>0</v>
      </c>
      <c r="AJ55" s="46">
        <f t="shared" si="32"/>
        <v>0</v>
      </c>
      <c r="AK55" s="9">
        <f t="shared" si="33"/>
        <v>0.71799433199999996</v>
      </c>
      <c r="AL55" s="46">
        <f t="shared" si="34"/>
        <v>4.5724880160000003</v>
      </c>
      <c r="AM55" s="184" t="s">
        <v>911</v>
      </c>
      <c r="AN55" s="9">
        <f t="shared" si="35"/>
        <v>6</v>
      </c>
      <c r="AO55" s="542">
        <f t="shared" ca="1" si="36"/>
        <v>1</v>
      </c>
      <c r="AQ55" s="99" t="s">
        <v>951</v>
      </c>
      <c r="AR55" s="100" t="s">
        <v>798</v>
      </c>
      <c r="AS55" s="134">
        <v>0.12325939200000001</v>
      </c>
      <c r="AT55" s="134">
        <v>4.3200000000000002E-2</v>
      </c>
      <c r="AU55" s="134">
        <v>0.27425214720000002</v>
      </c>
      <c r="AV55" s="134">
        <v>0.25998353280000003</v>
      </c>
      <c r="AX55" s="184" t="str">
        <f>$I$38</f>
        <v>INDBFG</v>
      </c>
      <c r="AY55" s="102">
        <f>AS52+AS54</f>
        <v>5.5129270320000003</v>
      </c>
      <c r="AZ55" s="102">
        <f>AU52+AU54</f>
        <v>0.95479974000000001</v>
      </c>
      <c r="BA55" s="102">
        <f>AT52+AT54</f>
        <v>1.71</v>
      </c>
      <c r="BB55" s="102">
        <f>AV52+AV54</f>
        <v>0.802986372</v>
      </c>
      <c r="BC55" s="2">
        <f t="shared" si="38"/>
        <v>0.29487816562692104</v>
      </c>
      <c r="BD55" s="2">
        <f t="shared" si="39"/>
        <v>0.84099978074983561</v>
      </c>
      <c r="BE55" s="470">
        <f t="shared" si="40"/>
        <v>1.6254432554232454</v>
      </c>
      <c r="BF55" s="470">
        <f t="shared" si="41"/>
        <v>0.84099978074983561</v>
      </c>
      <c r="BG55" s="470">
        <f t="shared" si="42"/>
        <v>0.802986372</v>
      </c>
      <c r="BH55">
        <f t="shared" si="43"/>
        <v>8</v>
      </c>
      <c r="BI55" s="184" t="s">
        <v>912</v>
      </c>
      <c r="BJ55" s="102">
        <f t="shared" si="44"/>
        <v>6.7716884520000011</v>
      </c>
      <c r="BK55" s="102">
        <f t="shared" ca="1" si="45"/>
        <v>8.9272624320000009</v>
      </c>
      <c r="BL55" s="102">
        <f t="shared" ca="1" si="46"/>
        <v>8.9272624320000009</v>
      </c>
    </row>
    <row r="56" spans="1:64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AE56" s="184" t="s">
        <v>830</v>
      </c>
      <c r="AF56" s="9">
        <f t="shared" si="37"/>
        <v>10</v>
      </c>
      <c r="AG56" s="9">
        <f t="shared" si="29"/>
        <v>2</v>
      </c>
      <c r="AH56" s="46">
        <f t="shared" si="30"/>
        <v>2.1555739800000002</v>
      </c>
      <c r="AI56" s="46">
        <f t="shared" si="31"/>
        <v>0</v>
      </c>
      <c r="AJ56" s="46">
        <f t="shared" si="32"/>
        <v>0</v>
      </c>
      <c r="AK56" s="9">
        <f t="shared" si="33"/>
        <v>6.7716884520000011</v>
      </c>
      <c r="AL56" s="46">
        <f t="shared" si="34"/>
        <v>8.9272624320000009</v>
      </c>
      <c r="AM56" s="184" t="s">
        <v>912</v>
      </c>
      <c r="AN56" s="9">
        <f t="shared" si="35"/>
        <v>7</v>
      </c>
      <c r="AO56" s="542">
        <f t="shared" ca="1" si="36"/>
        <v>1</v>
      </c>
      <c r="AQ56" s="99" t="s">
        <v>833</v>
      </c>
      <c r="AR56" s="100" t="s">
        <v>891</v>
      </c>
      <c r="AS56" s="134">
        <v>0</v>
      </c>
      <c r="AT56" s="134">
        <v>0</v>
      </c>
      <c r="AU56" s="134">
        <v>0</v>
      </c>
      <c r="AV56" s="134">
        <v>0</v>
      </c>
      <c r="AX56" s="184" t="str">
        <f>$J$38</f>
        <v>INDBCO</v>
      </c>
      <c r="AY56" s="102">
        <f>AS76</f>
        <v>7.9967880000000012E-3</v>
      </c>
      <c r="AZ56" s="102">
        <f>AU76</f>
        <v>0.18099536400000002</v>
      </c>
      <c r="BA56" s="102">
        <f>AT76</f>
        <v>3.5999999999999999E-3</v>
      </c>
      <c r="BB56" s="102">
        <f>AV76</f>
        <v>0.15800983200000002</v>
      </c>
      <c r="BC56" s="2">
        <f t="shared" si="38"/>
        <v>0.42797230731065528</v>
      </c>
      <c r="BD56" s="2">
        <f t="shared" si="39"/>
        <v>0.87300485773768222</v>
      </c>
      <c r="BE56" s="470">
        <f t="shared" si="40"/>
        <v>3.4219858008910434E-3</v>
      </c>
      <c r="BF56" s="470">
        <f t="shared" si="41"/>
        <v>0.87300485773768222</v>
      </c>
      <c r="BG56" s="470">
        <f t="shared" si="42"/>
        <v>0.15800983200000002</v>
      </c>
      <c r="BH56">
        <f t="shared" si="43"/>
        <v>9</v>
      </c>
      <c r="BI56" s="184" t="s">
        <v>1150</v>
      </c>
      <c r="BJ56" s="102">
        <f t="shared" si="44"/>
        <v>15.401934467600151</v>
      </c>
      <c r="BK56" s="102">
        <f t="shared" ca="1" si="45"/>
        <v>24.91743530658832</v>
      </c>
      <c r="BL56" s="102">
        <f t="shared" ca="1" si="46"/>
        <v>24.91743530658832</v>
      </c>
    </row>
    <row r="57" spans="1:64" ht="14.25" customHeight="1">
      <c r="A57" s="86" t="s">
        <v>988</v>
      </c>
      <c r="B57" s="106"/>
      <c r="C57" s="107"/>
      <c r="D57" s="88"/>
      <c r="E57" s="88"/>
      <c r="F57" s="88"/>
      <c r="G57" s="88"/>
      <c r="H57" s="88"/>
      <c r="I57" s="88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AE57" s="184" t="s">
        <v>955</v>
      </c>
      <c r="AF57" s="9">
        <f t="shared" si="37"/>
        <v>8</v>
      </c>
      <c r="AG57" s="9" t="e">
        <f t="shared" si="29"/>
        <v>#N/A</v>
      </c>
      <c r="AH57" s="46">
        <f t="shared" si="30"/>
        <v>0</v>
      </c>
      <c r="AI57" s="46">
        <f t="shared" si="31"/>
        <v>0</v>
      </c>
      <c r="AJ57" s="46">
        <f t="shared" si="32"/>
        <v>0</v>
      </c>
      <c r="AK57" s="9">
        <f t="shared" si="33"/>
        <v>0</v>
      </c>
      <c r="AL57" s="46">
        <f t="shared" si="34"/>
        <v>0</v>
      </c>
      <c r="AM57" s="184" t="s">
        <v>912</v>
      </c>
      <c r="AN57" s="9">
        <f t="shared" si="35"/>
        <v>7</v>
      </c>
      <c r="AO57" s="542">
        <f t="shared" ca="1" si="36"/>
        <v>0</v>
      </c>
      <c r="AQ57" s="99" t="s">
        <v>1297</v>
      </c>
      <c r="AR57" s="100" t="s">
        <v>663</v>
      </c>
      <c r="AS57" s="134">
        <v>0</v>
      </c>
      <c r="AT57" s="134">
        <v>0</v>
      </c>
      <c r="AU57" s="134">
        <v>0</v>
      </c>
      <c r="AV57" s="134">
        <v>2.0096640000000004E-3</v>
      </c>
      <c r="AX57" s="184" t="str">
        <f>$K$38</f>
        <v>INDHFO</v>
      </c>
      <c r="AY57" s="102">
        <f>AS68+AS60+AS65+AS66</f>
        <v>0.63999424800000004</v>
      </c>
      <c r="AZ57" s="102">
        <f>AU68+AU60+AU65+AU66</f>
        <v>0.16799953680000002</v>
      </c>
      <c r="BA57" s="102">
        <f>AT68+AT60+AT65+AT66</f>
        <v>0.21240000000000001</v>
      </c>
      <c r="BB57" s="102">
        <f>AV68+AV60+AV65+AV66</f>
        <v>0.12260625120000002</v>
      </c>
      <c r="BC57" s="2">
        <f t="shared" si="38"/>
        <v>0.31550568697394837</v>
      </c>
      <c r="BD57" s="2">
        <f t="shared" si="39"/>
        <v>0.72980112645167727</v>
      </c>
      <c r="BE57" s="470">
        <f t="shared" si="40"/>
        <v>0.20189716225257157</v>
      </c>
      <c r="BF57" s="470">
        <f t="shared" si="41"/>
        <v>0.78</v>
      </c>
      <c r="BG57" s="470">
        <f t="shared" si="42"/>
        <v>0.13103963870400001</v>
      </c>
      <c r="BH57">
        <f t="shared" si="43"/>
        <v>10</v>
      </c>
      <c r="BI57" s="184" t="s">
        <v>913</v>
      </c>
      <c r="BJ57" s="102">
        <f t="shared" si="44"/>
        <v>2.2976418784063135</v>
      </c>
      <c r="BK57" s="102">
        <f t="shared" ca="1" si="45"/>
        <v>15.884305485427696</v>
      </c>
      <c r="BL57" s="102">
        <f t="shared" ca="1" si="46"/>
        <v>15.884305485427696</v>
      </c>
    </row>
    <row r="58" spans="1:64" ht="14.25" customHeight="1" thickBot="1">
      <c r="A58" s="233" t="s">
        <v>873</v>
      </c>
      <c r="B58" s="233" t="s">
        <v>874</v>
      </c>
      <c r="C58" s="233" t="s">
        <v>555</v>
      </c>
      <c r="D58" s="188" t="str">
        <f t="shared" ref="D58:T58" si="49">B38</f>
        <v>INDELC</v>
      </c>
      <c r="E58" s="188" t="str">
        <f t="shared" si="49"/>
        <v>INDNGA</v>
      </c>
      <c r="F58" s="188" t="str">
        <f t="shared" si="49"/>
        <v>INDLPG</v>
      </c>
      <c r="G58" s="188" t="str">
        <f t="shared" si="49"/>
        <v>INDNGL</v>
      </c>
      <c r="H58" s="188" t="str">
        <f t="shared" si="49"/>
        <v>INDCOA</v>
      </c>
      <c r="I58" s="188" t="str">
        <f t="shared" si="49"/>
        <v>INDCOK</v>
      </c>
      <c r="J58" s="188" t="str">
        <f t="shared" si="49"/>
        <v>INDCOG</v>
      </c>
      <c r="K58" s="188" t="str">
        <f t="shared" si="49"/>
        <v>INDBFG</v>
      </c>
      <c r="L58" s="188" t="str">
        <f t="shared" si="49"/>
        <v>INDBCO</v>
      </c>
      <c r="M58" s="188" t="str">
        <f t="shared" si="49"/>
        <v>INDHFO</v>
      </c>
      <c r="N58" s="188" t="str">
        <f t="shared" si="49"/>
        <v>INDOIL</v>
      </c>
      <c r="O58" s="188" t="str">
        <f t="shared" si="49"/>
        <v>INDETH</v>
      </c>
      <c r="P58" s="188" t="str">
        <f t="shared" si="49"/>
        <v>INDNAP</v>
      </c>
      <c r="Q58" s="188" t="str">
        <f t="shared" si="49"/>
        <v>INDPTC</v>
      </c>
      <c r="R58" s="188" t="str">
        <f t="shared" si="49"/>
        <v>INDBIO</v>
      </c>
      <c r="S58" s="188" t="str">
        <f t="shared" si="49"/>
        <v>INDGEO</v>
      </c>
      <c r="T58" s="188" t="str">
        <f t="shared" si="49"/>
        <v>INDHET</v>
      </c>
      <c r="U58" s="188" t="s">
        <v>888</v>
      </c>
      <c r="V58" s="203"/>
      <c r="W58" s="203"/>
      <c r="AE58" s="184" t="s">
        <v>831</v>
      </c>
      <c r="AF58" s="9">
        <f t="shared" si="37"/>
        <v>11</v>
      </c>
      <c r="AG58" s="9">
        <f t="shared" si="29"/>
        <v>4</v>
      </c>
      <c r="AH58" s="46">
        <f t="shared" si="30"/>
        <v>0</v>
      </c>
      <c r="AI58" s="46">
        <f t="shared" si="31"/>
        <v>0</v>
      </c>
      <c r="AJ58" s="46">
        <f t="shared" si="32"/>
        <v>0</v>
      </c>
      <c r="AK58" s="9">
        <f t="shared" si="33"/>
        <v>0</v>
      </c>
      <c r="AL58" s="46">
        <f t="shared" si="34"/>
        <v>0</v>
      </c>
      <c r="AM58" s="184" t="s">
        <v>912</v>
      </c>
      <c r="AN58" s="9">
        <f t="shared" si="35"/>
        <v>7</v>
      </c>
      <c r="AO58" s="542">
        <f t="shared" ca="1" si="36"/>
        <v>0</v>
      </c>
      <c r="AQ58" s="135" t="s">
        <v>843</v>
      </c>
      <c r="AR58" s="136" t="s">
        <v>804</v>
      </c>
      <c r="AS58" s="134">
        <v>0</v>
      </c>
      <c r="AT58" s="134">
        <v>0</v>
      </c>
      <c r="AU58" s="134">
        <v>0</v>
      </c>
      <c r="AV58" s="134">
        <v>0</v>
      </c>
      <c r="AX58" s="184" t="str">
        <f>$L$38</f>
        <v>INDOIL</v>
      </c>
      <c r="AY58" s="102">
        <f>AS61+AS62+AS67</f>
        <v>8.5201380000000007E-2</v>
      </c>
      <c r="AZ58" s="102">
        <f>AU61+AU62+AU67</f>
        <v>4.2579755999999996E-2</v>
      </c>
      <c r="BA58" s="102">
        <f>AT61+AT62+AT67</f>
        <v>2.8799999999999999E-2</v>
      </c>
      <c r="BB58" s="102">
        <f>AV61+AV62+AV67</f>
        <v>1.9008072000000001E-2</v>
      </c>
      <c r="BC58" s="2">
        <f t="shared" si="38"/>
        <v>0.32134726563669841</v>
      </c>
      <c r="BD58" s="2">
        <f t="shared" si="39"/>
        <v>0.44641101278269424</v>
      </c>
      <c r="BE58" s="470">
        <f t="shared" si="40"/>
        <v>2.7375886407128347E-2</v>
      </c>
      <c r="BF58" s="470">
        <f t="shared" si="41"/>
        <v>0.78</v>
      </c>
      <c r="BG58" s="470">
        <f t="shared" si="42"/>
        <v>3.321220968E-2</v>
      </c>
      <c r="BH58">
        <f t="shared" si="43"/>
        <v>11</v>
      </c>
      <c r="BI58" s="184" t="s">
        <v>826</v>
      </c>
      <c r="BJ58" s="102">
        <f t="shared" si="44"/>
        <v>0.16856865241091271</v>
      </c>
      <c r="BK58" s="102">
        <f t="shared" ca="1" si="45"/>
        <v>25.513884812989907</v>
      </c>
      <c r="BL58" s="102">
        <f t="shared" ca="1" si="46"/>
        <v>25.513884812989907</v>
      </c>
    </row>
    <row r="59" spans="1:64" ht="14.25" customHeight="1">
      <c r="A59" s="259" t="str">
        <f t="shared" ref="A59:C69" si="50">A42</f>
        <v>Iron and Steel</v>
      </c>
      <c r="B59" s="259" t="str">
        <f t="shared" si="50"/>
        <v>ISIS</v>
      </c>
      <c r="C59" s="259" t="str">
        <f t="shared" si="50"/>
        <v>Steam Boiler</v>
      </c>
      <c r="D59" s="68">
        <f>D42*B$28</f>
        <v>0</v>
      </c>
      <c r="E59" s="68">
        <f t="shared" ref="E59:T59" si="51">(E42*C$28)</f>
        <v>0.31062183420000006</v>
      </c>
      <c r="F59" s="68">
        <f t="shared" si="51"/>
        <v>0</v>
      </c>
      <c r="G59" s="68">
        <f t="shared" si="51"/>
        <v>0</v>
      </c>
      <c r="H59" s="68">
        <f t="shared" si="51"/>
        <v>0</v>
      </c>
      <c r="I59" s="68">
        <f t="shared" si="51"/>
        <v>0</v>
      </c>
      <c r="J59" s="68">
        <f t="shared" si="51"/>
        <v>0</v>
      </c>
      <c r="K59" s="68">
        <f t="shared" si="51"/>
        <v>0</v>
      </c>
      <c r="L59" s="68">
        <f t="shared" si="51"/>
        <v>0</v>
      </c>
      <c r="M59" s="68">
        <f t="shared" si="51"/>
        <v>0.33990085140000004</v>
      </c>
      <c r="N59" s="68">
        <f t="shared" si="51"/>
        <v>2.5410414000000006E-2</v>
      </c>
      <c r="O59" s="68">
        <f t="shared" si="51"/>
        <v>0</v>
      </c>
      <c r="P59" s="68">
        <f t="shared" si="51"/>
        <v>0</v>
      </c>
      <c r="Q59" s="68">
        <f t="shared" si="51"/>
        <v>0</v>
      </c>
      <c r="R59" s="68">
        <f t="shared" si="51"/>
        <v>0</v>
      </c>
      <c r="S59" s="68">
        <f t="shared" si="51"/>
        <v>0</v>
      </c>
      <c r="T59" s="68">
        <f t="shared" si="51"/>
        <v>1.4910000000000001</v>
      </c>
      <c r="U59" s="68">
        <f t="shared" ref="U59:U69" si="52">SUM(D59:T59)</f>
        <v>2.1669330996000005</v>
      </c>
      <c r="V59" s="213"/>
      <c r="W59" s="203"/>
      <c r="AE59" s="184" t="s">
        <v>835</v>
      </c>
      <c r="AF59" s="9">
        <f t="shared" si="37"/>
        <v>15</v>
      </c>
      <c r="AG59" s="9">
        <f t="shared" si="29"/>
        <v>18</v>
      </c>
      <c r="AH59" s="46">
        <f t="shared" si="30"/>
        <v>14.106664167021384</v>
      </c>
      <c r="AI59" s="46">
        <f t="shared" si="31"/>
        <v>0</v>
      </c>
      <c r="AJ59" s="46">
        <f t="shared" si="32"/>
        <v>1.6799953679999999</v>
      </c>
      <c r="AK59" s="9">
        <f t="shared" si="33"/>
        <v>2.2576579384063136</v>
      </c>
      <c r="AL59" s="46">
        <f t="shared" si="34"/>
        <v>14.684326737427696</v>
      </c>
      <c r="AM59" s="184" t="s">
        <v>913</v>
      </c>
      <c r="AN59" s="9">
        <f t="shared" si="35"/>
        <v>9</v>
      </c>
      <c r="AO59" s="542">
        <f t="shared" ca="1" si="36"/>
        <v>0.92445506987379067</v>
      </c>
      <c r="AQ59" s="99" t="s">
        <v>902</v>
      </c>
      <c r="AR59" s="100" t="s">
        <v>902</v>
      </c>
      <c r="AS59" s="137">
        <v>6.1049405519999995</v>
      </c>
      <c r="AT59" s="137">
        <v>1.9187999999999998</v>
      </c>
      <c r="AU59" s="137">
        <v>1.4458862591999999</v>
      </c>
      <c r="AV59" s="137">
        <v>1.2439652688000002</v>
      </c>
      <c r="AX59" s="184" t="str">
        <f>$M$38</f>
        <v>INDETH</v>
      </c>
      <c r="AY59" s="102">
        <f>AS56+AS58</f>
        <v>0</v>
      </c>
      <c r="AZ59" s="102">
        <f>AU56+AU58</f>
        <v>0</v>
      </c>
      <c r="BA59" s="102">
        <f>AT56+AT58</f>
        <v>0</v>
      </c>
      <c r="BB59" s="102">
        <f>AV56+AV58</f>
        <v>0</v>
      </c>
      <c r="BC59" s="2">
        <f t="shared" si="38"/>
        <v>0</v>
      </c>
      <c r="BD59" s="2">
        <f t="shared" si="39"/>
        <v>0</v>
      </c>
      <c r="BE59" s="470">
        <f t="shared" si="40"/>
        <v>0</v>
      </c>
      <c r="BF59" s="470">
        <f t="shared" si="41"/>
        <v>0.78</v>
      </c>
      <c r="BG59" s="470">
        <f t="shared" si="42"/>
        <v>0</v>
      </c>
      <c r="BH59">
        <f t="shared" si="43"/>
        <v>12</v>
      </c>
      <c r="BI59" s="184" t="s">
        <v>914</v>
      </c>
      <c r="BJ59" s="102">
        <f t="shared" si="44"/>
        <v>9.901782000000002E-2</v>
      </c>
      <c r="BK59" s="102">
        <f t="shared" ca="1" si="45"/>
        <v>9.0585186120000003</v>
      </c>
      <c r="BL59" s="102">
        <f t="shared" ca="1" si="46"/>
        <v>9.0585186120000003</v>
      </c>
    </row>
    <row r="60" spans="1:64" ht="14.25" customHeight="1">
      <c r="A60" s="259" t="str">
        <f t="shared" si="50"/>
        <v>Non-ferrous Metals</v>
      </c>
      <c r="B60" s="259" t="str">
        <f t="shared" si="50"/>
        <v>ISNF</v>
      </c>
      <c r="C60" s="259" t="str">
        <f t="shared" si="50"/>
        <v>Steam Boiler</v>
      </c>
      <c r="D60" s="68">
        <f>D43*B$29</f>
        <v>0</v>
      </c>
      <c r="E60" s="68">
        <f t="shared" ref="E60:T60" si="53">(E43*C$29)</f>
        <v>5.4768176000000012E-3</v>
      </c>
      <c r="F60" s="68">
        <f t="shared" si="53"/>
        <v>0</v>
      </c>
      <c r="G60" s="68">
        <f t="shared" si="53"/>
        <v>0</v>
      </c>
      <c r="H60" s="68">
        <f t="shared" si="53"/>
        <v>0</v>
      </c>
      <c r="I60" s="68">
        <f t="shared" si="53"/>
        <v>0</v>
      </c>
      <c r="J60" s="68">
        <f t="shared" si="53"/>
        <v>0</v>
      </c>
      <c r="K60" s="68">
        <f t="shared" si="53"/>
        <v>0</v>
      </c>
      <c r="L60" s="68">
        <f t="shared" si="53"/>
        <v>0</v>
      </c>
      <c r="M60" s="68">
        <f t="shared" si="53"/>
        <v>0.138746125</v>
      </c>
      <c r="N60" s="68">
        <f t="shared" si="53"/>
        <v>8.4451380000000006E-2</v>
      </c>
      <c r="O60" s="68">
        <f t="shared" si="53"/>
        <v>0</v>
      </c>
      <c r="P60" s="68">
        <f t="shared" si="53"/>
        <v>0</v>
      </c>
      <c r="Q60" s="68">
        <f t="shared" si="53"/>
        <v>0</v>
      </c>
      <c r="R60" s="68">
        <f t="shared" si="53"/>
        <v>0</v>
      </c>
      <c r="S60" s="68">
        <f t="shared" si="53"/>
        <v>0</v>
      </c>
      <c r="T60" s="68">
        <f t="shared" si="53"/>
        <v>2.476</v>
      </c>
      <c r="U60" s="68">
        <f t="shared" si="52"/>
        <v>2.7046743225999998</v>
      </c>
      <c r="V60" s="213"/>
      <c r="W60" s="203"/>
      <c r="AE60" s="184" t="s">
        <v>834</v>
      </c>
      <c r="AF60" s="9">
        <f t="shared" si="37"/>
        <v>14</v>
      </c>
      <c r="AG60" s="9">
        <f t="shared" si="29"/>
        <v>10</v>
      </c>
      <c r="AH60" s="46">
        <f t="shared" si="30"/>
        <v>0</v>
      </c>
      <c r="AI60" s="46">
        <f t="shared" si="31"/>
        <v>0</v>
      </c>
      <c r="AJ60" s="46">
        <f t="shared" si="32"/>
        <v>0</v>
      </c>
      <c r="AK60" s="9">
        <f t="shared" si="33"/>
        <v>0</v>
      </c>
      <c r="AL60" s="46">
        <f t="shared" si="34"/>
        <v>0</v>
      </c>
      <c r="AM60" s="184" t="s">
        <v>913</v>
      </c>
      <c r="AN60" s="9">
        <f t="shared" si="35"/>
        <v>9</v>
      </c>
      <c r="AO60" s="542">
        <f t="shared" ca="1" si="36"/>
        <v>0</v>
      </c>
      <c r="AQ60" s="99" t="s">
        <v>834</v>
      </c>
      <c r="AR60" s="100" t="s">
        <v>892</v>
      </c>
      <c r="AS60" s="134">
        <v>0</v>
      </c>
      <c r="AT60" s="134">
        <v>0</v>
      </c>
      <c r="AU60" s="134">
        <v>0</v>
      </c>
      <c r="AV60" s="134">
        <v>0</v>
      </c>
      <c r="AX60" s="184" t="str">
        <f>$N$38</f>
        <v>INDNAP</v>
      </c>
      <c r="AY60" s="102">
        <f>AS63</f>
        <v>0</v>
      </c>
      <c r="AZ60" s="102">
        <f>AU63</f>
        <v>0</v>
      </c>
      <c r="BA60" s="102">
        <f>AT63</f>
        <v>0</v>
      </c>
      <c r="BB60" s="102">
        <f>AV63</f>
        <v>0</v>
      </c>
      <c r="BC60" s="2">
        <f t="shared" si="38"/>
        <v>0</v>
      </c>
      <c r="BD60" s="2">
        <f t="shared" si="39"/>
        <v>0</v>
      </c>
      <c r="BE60" s="470">
        <f t="shared" si="40"/>
        <v>0</v>
      </c>
      <c r="BF60" s="470">
        <f t="shared" si="41"/>
        <v>0.78</v>
      </c>
      <c r="BG60" s="470">
        <f t="shared" si="42"/>
        <v>0</v>
      </c>
      <c r="BH60">
        <f t="shared" si="43"/>
        <v>13</v>
      </c>
      <c r="BI60" s="184" t="s">
        <v>915</v>
      </c>
      <c r="BJ60" s="102">
        <f>SUM(AY60,AZ60)</f>
        <v>0</v>
      </c>
      <c r="BK60" s="102">
        <f ca="1">MAX(0,BJ60+OFFSET($A$34,0,$BH60)+OFFSET($A$36,0,$BH60)-INDEX($B$37:$S$37,$BH60))</f>
        <v>0</v>
      </c>
      <c r="BL60" s="102">
        <f t="shared" ca="1" si="46"/>
        <v>0</v>
      </c>
    </row>
    <row r="61" spans="1:64" ht="14.25" customHeight="1">
      <c r="A61" s="259" t="str">
        <f t="shared" si="50"/>
        <v>Chemicals and Petrochemicals</v>
      </c>
      <c r="B61" s="259" t="str">
        <f t="shared" si="50"/>
        <v>ISCH</v>
      </c>
      <c r="C61" s="259" t="str">
        <f t="shared" si="50"/>
        <v>Steam Boiler</v>
      </c>
      <c r="D61" s="68">
        <f t="shared" ref="D61:T61" si="54">D44*(B$30)</f>
        <v>0</v>
      </c>
      <c r="E61" s="68">
        <f t="shared" si="54"/>
        <v>0.42405975068930529</v>
      </c>
      <c r="F61" s="68">
        <f t="shared" si="54"/>
        <v>0</v>
      </c>
      <c r="G61" s="68">
        <f t="shared" si="54"/>
        <v>0</v>
      </c>
      <c r="H61" s="68">
        <f t="shared" si="54"/>
        <v>0</v>
      </c>
      <c r="I61" s="68">
        <f t="shared" si="54"/>
        <v>0</v>
      </c>
      <c r="J61" s="68">
        <f t="shared" si="54"/>
        <v>0</v>
      </c>
      <c r="K61" s="68">
        <f t="shared" si="54"/>
        <v>0</v>
      </c>
      <c r="L61" s="68">
        <f t="shared" si="54"/>
        <v>0</v>
      </c>
      <c r="M61" s="68">
        <f t="shared" si="54"/>
        <v>0.8041342613848047</v>
      </c>
      <c r="N61" s="68">
        <f t="shared" si="54"/>
        <v>0</v>
      </c>
      <c r="O61" s="68">
        <f t="shared" si="54"/>
        <v>0</v>
      </c>
      <c r="P61" s="68">
        <f t="shared" si="54"/>
        <v>0</v>
      </c>
      <c r="Q61" s="68">
        <f t="shared" si="54"/>
        <v>0</v>
      </c>
      <c r="R61" s="68">
        <f t="shared" si="54"/>
        <v>0</v>
      </c>
      <c r="S61" s="68">
        <f t="shared" si="54"/>
        <v>0</v>
      </c>
      <c r="T61" s="68">
        <f t="shared" si="54"/>
        <v>13.696</v>
      </c>
      <c r="U61" s="68">
        <f t="shared" si="52"/>
        <v>14.924194012074111</v>
      </c>
      <c r="V61" s="213"/>
      <c r="W61" s="203"/>
      <c r="AE61" s="184" t="s">
        <v>839</v>
      </c>
      <c r="AF61" s="9">
        <f t="shared" si="37"/>
        <v>19</v>
      </c>
      <c r="AG61" s="9">
        <f t="shared" si="29"/>
        <v>16</v>
      </c>
      <c r="AH61" s="46">
        <f t="shared" si="30"/>
        <v>6.6799975319999998</v>
      </c>
      <c r="AI61" s="46">
        <f t="shared" si="31"/>
        <v>0</v>
      </c>
      <c r="AJ61" s="46">
        <f t="shared" si="32"/>
        <v>5.5200027240000002</v>
      </c>
      <c r="AK61" s="9">
        <f t="shared" si="33"/>
        <v>3.9983940000000003E-2</v>
      </c>
      <c r="AL61" s="46">
        <f t="shared" si="34"/>
        <v>1.1999787479999995</v>
      </c>
      <c r="AM61" s="184" t="s">
        <v>913</v>
      </c>
      <c r="AN61" s="9">
        <f t="shared" si="35"/>
        <v>9</v>
      </c>
      <c r="AO61" s="542">
        <f t="shared" ca="1" si="36"/>
        <v>7.5544930126209373E-2</v>
      </c>
      <c r="AQ61" s="99" t="s">
        <v>836</v>
      </c>
      <c r="AR61" s="100" t="s">
        <v>803</v>
      </c>
      <c r="AS61" s="134">
        <v>8.5201380000000007E-2</v>
      </c>
      <c r="AT61" s="134">
        <v>2.8799999999999999E-2</v>
      </c>
      <c r="AU61" s="134">
        <v>4.2579755999999996E-2</v>
      </c>
      <c r="AV61" s="134">
        <v>1.9008072000000001E-2</v>
      </c>
      <c r="AX61" s="184" t="str">
        <f>$O$38</f>
        <v>INDPTC</v>
      </c>
      <c r="AY61" s="102">
        <f>AS79</f>
        <v>0</v>
      </c>
      <c r="AZ61" s="102">
        <f>AU79</f>
        <v>0</v>
      </c>
      <c r="BA61" s="102">
        <f>AT79</f>
        <v>0</v>
      </c>
      <c r="BB61" s="102">
        <f>AV79</f>
        <v>0</v>
      </c>
      <c r="BC61" s="2">
        <f t="shared" si="38"/>
        <v>0</v>
      </c>
      <c r="BD61" s="2">
        <f t="shared" si="39"/>
        <v>0</v>
      </c>
      <c r="BE61" s="470">
        <f t="shared" si="40"/>
        <v>0</v>
      </c>
      <c r="BF61" s="470">
        <f t="shared" si="41"/>
        <v>0.78</v>
      </c>
      <c r="BG61" s="470">
        <f t="shared" si="42"/>
        <v>0</v>
      </c>
      <c r="BH61">
        <f t="shared" si="43"/>
        <v>14</v>
      </c>
      <c r="BI61" s="184" t="s">
        <v>916</v>
      </c>
      <c r="BJ61" s="102">
        <f>SUM(AY18,AY61,AZ61)</f>
        <v>0</v>
      </c>
      <c r="BK61" s="102">
        <f ca="1">BJ61+OFFSET($A$34,0,$BH61)+OFFSET($A$36,0,$BH61)-INDEX($B$37:$S$37,$BH61)</f>
        <v>0.93802039199999998</v>
      </c>
      <c r="BL61" s="102">
        <f t="shared" ca="1" si="46"/>
        <v>0.93802039199999998</v>
      </c>
    </row>
    <row r="62" spans="1:64" ht="14.25" customHeight="1">
      <c r="A62" s="259" t="str">
        <f t="shared" si="50"/>
        <v>Paper, Pulp and Printing</v>
      </c>
      <c r="B62" s="259" t="str">
        <f t="shared" si="50"/>
        <v>ISLP</v>
      </c>
      <c r="C62" s="259" t="str">
        <f t="shared" si="50"/>
        <v>Steam Boiler</v>
      </c>
      <c r="D62" s="68">
        <f t="shared" ref="D62:T62" si="55">D45*B$31</f>
        <v>0</v>
      </c>
      <c r="E62" s="68">
        <f t="shared" si="55"/>
        <v>15.854738109000003</v>
      </c>
      <c r="F62" s="68">
        <f t="shared" si="55"/>
        <v>0</v>
      </c>
      <c r="G62" s="68">
        <f t="shared" si="55"/>
        <v>0</v>
      </c>
      <c r="H62" s="68">
        <f t="shared" si="55"/>
        <v>0.50095545200000002</v>
      </c>
      <c r="I62" s="68">
        <f t="shared" si="55"/>
        <v>0</v>
      </c>
      <c r="J62" s="68">
        <f t="shared" si="55"/>
        <v>0</v>
      </c>
      <c r="K62" s="68">
        <f t="shared" si="55"/>
        <v>0</v>
      </c>
      <c r="L62" s="68">
        <f t="shared" si="55"/>
        <v>8.4986661680000015</v>
      </c>
      <c r="M62" s="68">
        <f t="shared" si="55"/>
        <v>3.5055037799999997</v>
      </c>
      <c r="N62" s="68">
        <f t="shared" si="55"/>
        <v>0.1490877612</v>
      </c>
      <c r="O62" s="68">
        <f t="shared" si="55"/>
        <v>0</v>
      </c>
      <c r="P62" s="68">
        <f t="shared" si="55"/>
        <v>0</v>
      </c>
      <c r="Q62" s="68">
        <f t="shared" si="55"/>
        <v>0</v>
      </c>
      <c r="R62" s="68">
        <f t="shared" si="55"/>
        <v>117.75534757600001</v>
      </c>
      <c r="S62" s="68">
        <f t="shared" si="55"/>
        <v>0</v>
      </c>
      <c r="T62" s="68">
        <f t="shared" si="55"/>
        <v>4.9939999999999998</v>
      </c>
      <c r="U62" s="68">
        <f t="shared" si="52"/>
        <v>151.25829884620001</v>
      </c>
      <c r="V62" s="213"/>
      <c r="W62" s="203"/>
      <c r="AE62" s="184" t="s">
        <v>836</v>
      </c>
      <c r="AF62" s="9">
        <f t="shared" si="37"/>
        <v>16</v>
      </c>
      <c r="AG62" s="9">
        <f t="shared" si="29"/>
        <v>11</v>
      </c>
      <c r="AH62" s="46">
        <f t="shared" si="30"/>
        <v>20.062914336578995</v>
      </c>
      <c r="AI62" s="46">
        <f t="shared" si="31"/>
        <v>5.2824018240000008</v>
      </c>
      <c r="AJ62" s="46">
        <f t="shared" si="32"/>
        <v>0</v>
      </c>
      <c r="AK62" s="9">
        <f t="shared" si="33"/>
        <v>0.16856865241091271</v>
      </c>
      <c r="AL62" s="46">
        <f t="shared" si="34"/>
        <v>25.513884812989907</v>
      </c>
      <c r="AM62" s="184" t="s">
        <v>826</v>
      </c>
      <c r="AN62" s="9">
        <f t="shared" si="35"/>
        <v>10</v>
      </c>
      <c r="AO62" s="542">
        <f t="shared" ca="1" si="36"/>
        <v>1</v>
      </c>
      <c r="AQ62" s="99" t="s">
        <v>838</v>
      </c>
      <c r="AR62" s="100" t="s">
        <v>593</v>
      </c>
      <c r="AS62" s="134">
        <v>0</v>
      </c>
      <c r="AT62" s="134">
        <v>0</v>
      </c>
      <c r="AU62" s="134">
        <v>0</v>
      </c>
      <c r="AV62" s="134">
        <v>0</v>
      </c>
      <c r="AX62" s="184" t="str">
        <f>$P$38</f>
        <v>INDBIO</v>
      </c>
      <c r="AY62" s="102">
        <f>SUM(AS70:AS74)</f>
        <v>3.3163642800000002</v>
      </c>
      <c r="AZ62" s="102">
        <f>SUM(AU70:AU74)</f>
        <v>2.1029549265540002</v>
      </c>
      <c r="BA62" s="102">
        <f>SUM(AT70:AT74)</f>
        <v>1.1124000000000001</v>
      </c>
      <c r="BB62" s="102">
        <f>SUM(AV70:AV74)</f>
        <v>1.726795711476</v>
      </c>
      <c r="BC62" s="2">
        <f t="shared" si="38"/>
        <v>0.31888016166099692</v>
      </c>
      <c r="BD62" s="2">
        <f t="shared" si="39"/>
        <v>0.82112825608944828</v>
      </c>
      <c r="BE62" s="470">
        <f t="shared" si="40"/>
        <v>1.0573936124753323</v>
      </c>
      <c r="BF62" s="470">
        <f t="shared" si="41"/>
        <v>0.82112825608944828</v>
      </c>
      <c r="BG62" s="470">
        <f t="shared" si="42"/>
        <v>1.726795711476</v>
      </c>
      <c r="BH62">
        <f t="shared" si="43"/>
        <v>15</v>
      </c>
      <c r="BI62" s="184" t="s">
        <v>917</v>
      </c>
      <c r="BJ62" s="102">
        <f>SUM(AY19,AY20,AY62,AZ62)</f>
        <v>79.224357836348631</v>
      </c>
      <c r="BK62" s="102">
        <f ca="1">BJ62+OFFSET($A$34,0,$BH62)+OFFSET($A$36,0,$BH62)-INDEX($B$37:$S$37,$BH62)</f>
        <v>205.83886875649449</v>
      </c>
      <c r="BL62" s="409">
        <f ca="1">BK62-X15-Drivers!P127-CHP!F72-0</f>
        <v>16.248457205609853</v>
      </c>
    </row>
    <row r="63" spans="1:64" ht="14.25" customHeight="1">
      <c r="A63" s="259" t="str">
        <f t="shared" si="50"/>
        <v>Non-Metallic minerals (SCG)</v>
      </c>
      <c r="B63" s="259" t="str">
        <f t="shared" si="50"/>
        <v>ISNM</v>
      </c>
      <c r="C63" s="259" t="str">
        <f t="shared" si="50"/>
        <v>Steam Boiler</v>
      </c>
      <c r="D63" s="68">
        <f t="shared" ref="D63:T63" si="56">D46*B$32</f>
        <v>0</v>
      </c>
      <c r="E63" s="68">
        <f t="shared" si="56"/>
        <v>7.7737125600000012E-2</v>
      </c>
      <c r="F63" s="68">
        <f t="shared" si="56"/>
        <v>0</v>
      </c>
      <c r="G63" s="68">
        <f t="shared" si="56"/>
        <v>0</v>
      </c>
      <c r="H63" s="68">
        <f t="shared" si="56"/>
        <v>0</v>
      </c>
      <c r="I63" s="68">
        <f t="shared" si="56"/>
        <v>0</v>
      </c>
      <c r="J63" s="68">
        <f t="shared" si="56"/>
        <v>0</v>
      </c>
      <c r="K63" s="68">
        <f t="shared" si="56"/>
        <v>0</v>
      </c>
      <c r="L63" s="68">
        <f t="shared" si="56"/>
        <v>9.173924E-3</v>
      </c>
      <c r="M63" s="68">
        <f t="shared" si="56"/>
        <v>0.21160538560000003</v>
      </c>
      <c r="N63" s="68">
        <f t="shared" si="56"/>
        <v>0.12090207000000001</v>
      </c>
      <c r="O63" s="68">
        <f t="shared" si="56"/>
        <v>0</v>
      </c>
      <c r="P63" s="68">
        <f t="shared" si="56"/>
        <v>0</v>
      </c>
      <c r="Q63" s="68">
        <f t="shared" si="56"/>
        <v>0</v>
      </c>
      <c r="R63" s="68">
        <f t="shared" si="56"/>
        <v>0</v>
      </c>
      <c r="S63" s="68">
        <f t="shared" si="56"/>
        <v>0</v>
      </c>
      <c r="T63" s="68">
        <f t="shared" si="56"/>
        <v>0.80899999999999994</v>
      </c>
      <c r="U63" s="68">
        <f t="shared" si="52"/>
        <v>1.2284185052000001</v>
      </c>
      <c r="V63" s="213"/>
      <c r="W63" s="203"/>
      <c r="AE63" s="184" t="s">
        <v>837</v>
      </c>
      <c r="AF63" s="9">
        <f t="shared" si="37"/>
        <v>17</v>
      </c>
      <c r="AG63" s="9">
        <f t="shared" si="29"/>
        <v>17</v>
      </c>
      <c r="AH63" s="46">
        <f t="shared" si="30"/>
        <v>0</v>
      </c>
      <c r="AI63" s="46">
        <f t="shared" si="31"/>
        <v>0</v>
      </c>
      <c r="AJ63" s="46">
        <f t="shared" si="32"/>
        <v>0</v>
      </c>
      <c r="AK63" s="9">
        <f t="shared" si="33"/>
        <v>0</v>
      </c>
      <c r="AL63" s="46">
        <f t="shared" si="34"/>
        <v>0</v>
      </c>
      <c r="AM63" s="184" t="s">
        <v>826</v>
      </c>
      <c r="AN63" s="9">
        <f t="shared" si="35"/>
        <v>10</v>
      </c>
      <c r="AO63" s="542">
        <f t="shared" ca="1" si="36"/>
        <v>0</v>
      </c>
      <c r="AQ63" s="99" t="s">
        <v>841</v>
      </c>
      <c r="AR63" s="100" t="s">
        <v>805</v>
      </c>
      <c r="AS63" s="134">
        <v>0</v>
      </c>
      <c r="AT63" s="134">
        <v>0</v>
      </c>
      <c r="AU63" s="134">
        <v>0</v>
      </c>
      <c r="AV63" s="134">
        <v>0</v>
      </c>
      <c r="AX63" s="184" t="str">
        <f>$Q$38</f>
        <v>INDGEO</v>
      </c>
      <c r="AY63" s="102">
        <f>AS83</f>
        <v>0</v>
      </c>
      <c r="AZ63" s="102">
        <f>AU83</f>
        <v>0</v>
      </c>
      <c r="BA63" s="102">
        <f>AT83</f>
        <v>0</v>
      </c>
      <c r="BB63" s="102">
        <f>AV83</f>
        <v>0</v>
      </c>
      <c r="BC63" s="2">
        <f t="shared" si="38"/>
        <v>0</v>
      </c>
      <c r="BD63" s="2">
        <f t="shared" si="39"/>
        <v>0</v>
      </c>
      <c r="BE63" s="470">
        <f t="shared" si="40"/>
        <v>0</v>
      </c>
      <c r="BF63" s="470">
        <f t="shared" si="41"/>
        <v>0.78</v>
      </c>
      <c r="BG63" s="470">
        <f t="shared" si="42"/>
        <v>0</v>
      </c>
      <c r="BH63">
        <f t="shared" si="43"/>
        <v>16</v>
      </c>
      <c r="BI63" s="184" t="s">
        <v>950</v>
      </c>
      <c r="BJ63" s="102">
        <f>SUM(AY21,AY63,AZ63)</f>
        <v>0</v>
      </c>
      <c r="BK63" s="102">
        <f ca="1">BJ63+OFFSET($A$34,0,$BH63)+OFFSET($A$36,0,$BH63)-INDEX($B$37:$S$37,$BH63)</f>
        <v>0</v>
      </c>
      <c r="BL63" s="102">
        <f ca="1">BK63</f>
        <v>0</v>
      </c>
    </row>
    <row r="64" spans="1:64" ht="14.25" customHeight="1">
      <c r="A64" s="259" t="str">
        <f t="shared" si="50"/>
        <v>Other Industrial</v>
      </c>
      <c r="B64" s="259" t="str">
        <f t="shared" si="50"/>
        <v>ISOI</v>
      </c>
      <c r="C64" s="259" t="str">
        <f t="shared" si="50"/>
        <v>Steam Boiler</v>
      </c>
      <c r="D64" s="68">
        <f t="shared" ref="D64:M69" si="57">D47*B$33</f>
        <v>0</v>
      </c>
      <c r="E64" s="68">
        <f t="shared" si="57"/>
        <v>0.21847280135018077</v>
      </c>
      <c r="F64" s="68">
        <f t="shared" si="57"/>
        <v>0.14742477339234175</v>
      </c>
      <c r="G64" s="68">
        <f t="shared" si="57"/>
        <v>0</v>
      </c>
      <c r="H64" s="68">
        <f t="shared" si="57"/>
        <v>0</v>
      </c>
      <c r="I64" s="68">
        <f t="shared" si="57"/>
        <v>0</v>
      </c>
      <c r="J64" s="68">
        <f t="shared" si="57"/>
        <v>0</v>
      </c>
      <c r="K64" s="68">
        <f t="shared" si="57"/>
        <v>0</v>
      </c>
      <c r="L64" s="68">
        <f t="shared" si="57"/>
        <v>0</v>
      </c>
      <c r="M64" s="68">
        <f t="shared" si="57"/>
        <v>0.32596684670213816</v>
      </c>
      <c r="N64" s="68">
        <f t="shared" ref="N64:T69" si="58">N47*L$33</f>
        <v>0.93866569402894973</v>
      </c>
      <c r="O64" s="68">
        <f t="shared" si="58"/>
        <v>0</v>
      </c>
      <c r="P64" s="68">
        <f t="shared" si="58"/>
        <v>0</v>
      </c>
      <c r="Q64" s="68">
        <f t="shared" si="58"/>
        <v>0</v>
      </c>
      <c r="R64" s="68">
        <f t="shared" si="58"/>
        <v>4.1001173341093953</v>
      </c>
      <c r="S64" s="68">
        <f t="shared" si="58"/>
        <v>0</v>
      </c>
      <c r="T64" s="68">
        <f t="shared" si="58"/>
        <v>36.705636992049541</v>
      </c>
      <c r="U64" s="68">
        <f t="shared" si="52"/>
        <v>42.436284441632544</v>
      </c>
      <c r="V64" s="213">
        <f t="shared" ref="V64:V69" si="59">U64/$U$70</f>
        <v>0.39276670220289295</v>
      </c>
      <c r="W64" s="203"/>
      <c r="AE64" s="184" t="s">
        <v>838</v>
      </c>
      <c r="AF64" s="9">
        <f t="shared" si="37"/>
        <v>18</v>
      </c>
      <c r="AG64" s="9">
        <f t="shared" si="29"/>
        <v>12</v>
      </c>
      <c r="AH64" s="46">
        <f t="shared" si="30"/>
        <v>0</v>
      </c>
      <c r="AI64" s="46">
        <f t="shared" si="31"/>
        <v>0</v>
      </c>
      <c r="AJ64" s="46">
        <f t="shared" si="32"/>
        <v>0</v>
      </c>
      <c r="AK64" s="9">
        <f t="shared" si="33"/>
        <v>0</v>
      </c>
      <c r="AL64" s="46">
        <f t="shared" si="34"/>
        <v>0</v>
      </c>
      <c r="AM64" s="184" t="s">
        <v>826</v>
      </c>
      <c r="AN64" s="9">
        <f t="shared" si="35"/>
        <v>10</v>
      </c>
      <c r="AO64" s="542">
        <f t="shared" ca="1" si="36"/>
        <v>0</v>
      </c>
      <c r="AQ64" s="99" t="s">
        <v>756</v>
      </c>
      <c r="AR64" s="100" t="s">
        <v>562</v>
      </c>
      <c r="AS64" s="134">
        <v>0</v>
      </c>
      <c r="AT64" s="134">
        <v>0</v>
      </c>
      <c r="AU64" s="134">
        <v>0</v>
      </c>
      <c r="AV64" s="134">
        <v>0</v>
      </c>
      <c r="AX64" s="184" t="s">
        <v>35</v>
      </c>
      <c r="AY64" s="138">
        <f>AS81</f>
        <v>0</v>
      </c>
      <c r="AZ64" s="139"/>
      <c r="BA64" s="138">
        <f>AT81</f>
        <v>0</v>
      </c>
      <c r="BB64" s="139"/>
      <c r="BC64" s="2">
        <f>IF(AY64=0,0.3,MAX(0.15,BA64/AY64*(1-AZ$4)))</f>
        <v>0.3</v>
      </c>
      <c r="BE64" s="470">
        <f t="shared" si="40"/>
        <v>0</v>
      </c>
      <c r="BJ64" s="2">
        <f>SUM(BJ49:BJ63)</f>
        <v>125.68182647061576</v>
      </c>
      <c r="BK64" s="93">
        <f ca="1">SUM(BK49:BK63)</f>
        <v>366.9634256487754</v>
      </c>
      <c r="BL64" s="93"/>
    </row>
    <row r="65" spans="1:59" ht="14.25" customHeight="1">
      <c r="A65" s="259" t="str">
        <f t="shared" si="50"/>
        <v>Other Industrial</v>
      </c>
      <c r="B65" s="259" t="str">
        <f t="shared" si="50"/>
        <v>IPOI</v>
      </c>
      <c r="C65" s="259" t="str">
        <f t="shared" si="50"/>
        <v>Process Heat</v>
      </c>
      <c r="D65" s="68">
        <f t="shared" si="57"/>
        <v>2.7551865994940834</v>
      </c>
      <c r="E65" s="68">
        <f t="shared" si="57"/>
        <v>1.0923640067509037</v>
      </c>
      <c r="F65" s="68">
        <f t="shared" si="57"/>
        <v>1.179398187138734</v>
      </c>
      <c r="G65" s="68">
        <f t="shared" si="57"/>
        <v>0</v>
      </c>
      <c r="H65" s="68">
        <f t="shared" si="57"/>
        <v>0</v>
      </c>
      <c r="I65" s="68">
        <f t="shared" si="57"/>
        <v>2.0515319999998203E-2</v>
      </c>
      <c r="J65" s="68">
        <f t="shared" si="57"/>
        <v>0</v>
      </c>
      <c r="K65" s="68">
        <f t="shared" si="57"/>
        <v>0</v>
      </c>
      <c r="L65" s="68">
        <f t="shared" si="57"/>
        <v>1.0076607469881673</v>
      </c>
      <c r="M65" s="68">
        <f t="shared" si="57"/>
        <v>0.65193369340427632</v>
      </c>
      <c r="N65" s="68">
        <f t="shared" si="58"/>
        <v>13.141319716405294</v>
      </c>
      <c r="O65" s="68">
        <f t="shared" si="58"/>
        <v>0</v>
      </c>
      <c r="P65" s="68">
        <f t="shared" si="58"/>
        <v>0</v>
      </c>
      <c r="Q65" s="68">
        <f t="shared" si="58"/>
        <v>0</v>
      </c>
      <c r="R65" s="68">
        <f t="shared" si="58"/>
        <v>0</v>
      </c>
      <c r="S65" s="68">
        <f t="shared" si="58"/>
        <v>0</v>
      </c>
      <c r="T65" s="68">
        <f t="shared" si="58"/>
        <v>0</v>
      </c>
      <c r="U65" s="68">
        <f t="shared" si="52"/>
        <v>19.848378270181456</v>
      </c>
      <c r="V65" s="213">
        <f t="shared" si="59"/>
        <v>0.18370557601425164</v>
      </c>
      <c r="W65" s="203"/>
      <c r="AE65" s="184" t="s">
        <v>757</v>
      </c>
      <c r="AF65" s="9">
        <f t="shared" si="37"/>
        <v>31</v>
      </c>
      <c r="AG65" s="9" t="e">
        <f t="shared" si="29"/>
        <v>#N/A</v>
      </c>
      <c r="AH65" s="46">
        <f t="shared" si="30"/>
        <v>0</v>
      </c>
      <c r="AI65" s="46">
        <f t="shared" si="31"/>
        <v>0</v>
      </c>
      <c r="AJ65" s="46">
        <f t="shared" si="32"/>
        <v>0</v>
      </c>
      <c r="AK65" s="9">
        <f t="shared" si="33"/>
        <v>0</v>
      </c>
      <c r="AL65" s="46">
        <f t="shared" si="34"/>
        <v>0</v>
      </c>
      <c r="AM65" s="184" t="s">
        <v>826</v>
      </c>
      <c r="AN65" s="9">
        <f t="shared" si="35"/>
        <v>10</v>
      </c>
      <c r="AO65" s="542">
        <f t="shared" ca="1" si="36"/>
        <v>0</v>
      </c>
      <c r="AQ65" s="99" t="s">
        <v>840</v>
      </c>
      <c r="AR65" s="100" t="s">
        <v>893</v>
      </c>
      <c r="AS65" s="134">
        <v>0</v>
      </c>
      <c r="AT65" s="134">
        <v>0</v>
      </c>
      <c r="AU65" s="134">
        <v>0</v>
      </c>
      <c r="AV65" s="134">
        <v>0</v>
      </c>
      <c r="AX65" s="184" t="s">
        <v>36</v>
      </c>
      <c r="AY65" s="138">
        <f>AS82</f>
        <v>0</v>
      </c>
      <c r="AZ65" s="139"/>
      <c r="BA65" s="138">
        <f>AT82</f>
        <v>0</v>
      </c>
      <c r="BB65" s="139"/>
      <c r="BC65" s="2">
        <f>IF(AY65=0,0,MAX(0.9,BA65/AY65))</f>
        <v>0</v>
      </c>
      <c r="BD65" s="2"/>
      <c r="BE65" s="470">
        <f t="shared" si="40"/>
        <v>0</v>
      </c>
    </row>
    <row r="66" spans="1:59" ht="14.25" customHeight="1">
      <c r="A66" s="259" t="str">
        <f t="shared" si="50"/>
        <v>Other Industrial</v>
      </c>
      <c r="B66" s="259" t="str">
        <f t="shared" si="50"/>
        <v>IMOI</v>
      </c>
      <c r="C66" s="259" t="str">
        <f t="shared" si="50"/>
        <v>Machine Drive</v>
      </c>
      <c r="D66" s="68">
        <f t="shared" si="57"/>
        <v>10.194190418128109</v>
      </c>
      <c r="E66" s="68">
        <f t="shared" si="57"/>
        <v>0</v>
      </c>
      <c r="F66" s="68">
        <f t="shared" si="57"/>
        <v>0</v>
      </c>
      <c r="G66" s="68">
        <f t="shared" si="57"/>
        <v>0</v>
      </c>
      <c r="H66" s="68">
        <f t="shared" si="57"/>
        <v>0</v>
      </c>
      <c r="I66" s="68">
        <f t="shared" si="57"/>
        <v>0</v>
      </c>
      <c r="J66" s="68">
        <f t="shared" si="57"/>
        <v>0</v>
      </c>
      <c r="K66" s="68">
        <f t="shared" si="57"/>
        <v>0</v>
      </c>
      <c r="L66" s="68">
        <f t="shared" si="57"/>
        <v>0</v>
      </c>
      <c r="M66" s="68">
        <f t="shared" si="57"/>
        <v>0</v>
      </c>
      <c r="N66" s="68">
        <f t="shared" si="58"/>
        <v>0</v>
      </c>
      <c r="O66" s="68">
        <f t="shared" si="58"/>
        <v>0</v>
      </c>
      <c r="P66" s="68">
        <f t="shared" si="58"/>
        <v>0</v>
      </c>
      <c r="Q66" s="68">
        <f t="shared" si="58"/>
        <v>0</v>
      </c>
      <c r="R66" s="68">
        <f t="shared" si="58"/>
        <v>0</v>
      </c>
      <c r="S66" s="68">
        <f t="shared" si="58"/>
        <v>0</v>
      </c>
      <c r="T66" s="68">
        <f t="shared" si="58"/>
        <v>0</v>
      </c>
      <c r="U66" s="68">
        <f t="shared" si="52"/>
        <v>10.194190418128109</v>
      </c>
      <c r="V66" s="213">
        <f t="shared" si="59"/>
        <v>9.4351770067513344E-2</v>
      </c>
      <c r="W66" s="203"/>
      <c r="AE66" s="184" t="s">
        <v>843</v>
      </c>
      <c r="AF66" s="9">
        <f t="shared" si="37"/>
        <v>20</v>
      </c>
      <c r="AG66" s="9">
        <f t="shared" si="29"/>
        <v>8</v>
      </c>
      <c r="AH66" s="46">
        <f t="shared" si="30"/>
        <v>0</v>
      </c>
      <c r="AI66" s="46">
        <f t="shared" si="31"/>
        <v>0</v>
      </c>
      <c r="AJ66" s="46">
        <f t="shared" si="32"/>
        <v>0</v>
      </c>
      <c r="AK66" s="9">
        <f t="shared" si="33"/>
        <v>0</v>
      </c>
      <c r="AL66" s="46">
        <f t="shared" si="34"/>
        <v>0</v>
      </c>
      <c r="AM66" s="184" t="s">
        <v>914</v>
      </c>
      <c r="AN66" s="9">
        <f t="shared" si="35"/>
        <v>11</v>
      </c>
      <c r="AO66" s="542">
        <f t="shared" ca="1" si="36"/>
        <v>0</v>
      </c>
      <c r="AQ66" s="99" t="s">
        <v>839</v>
      </c>
      <c r="AR66" s="100" t="s">
        <v>594</v>
      </c>
      <c r="AS66" s="134">
        <v>0</v>
      </c>
      <c r="AT66" s="134">
        <v>0</v>
      </c>
      <c r="AU66" s="134">
        <v>3.9983940000000003E-2</v>
      </c>
      <c r="AV66" s="134">
        <v>2.1017736000000002E-2</v>
      </c>
      <c r="AX66" s="184" t="s">
        <v>37</v>
      </c>
      <c r="AY66" s="138">
        <f>AS84</f>
        <v>0</v>
      </c>
      <c r="AZ66" s="139"/>
      <c r="BA66" s="138">
        <f>AT84</f>
        <v>0</v>
      </c>
      <c r="BB66" s="139"/>
      <c r="BC66" s="2">
        <f>IF(AY66=0,0,MAX(0.9,BA66/AY66))</f>
        <v>0</v>
      </c>
      <c r="BE66" s="470">
        <f t="shared" si="40"/>
        <v>0</v>
      </c>
    </row>
    <row r="67" spans="1:59" ht="14.25" customHeight="1">
      <c r="A67" s="259" t="str">
        <f t="shared" si="50"/>
        <v>Other Industrial</v>
      </c>
      <c r="B67" s="259" t="str">
        <f t="shared" si="50"/>
        <v>IEOI</v>
      </c>
      <c r="C67" s="259" t="str">
        <f t="shared" si="50"/>
        <v>Specific electricity uses</v>
      </c>
      <c r="D67" s="68">
        <f t="shared" si="57"/>
        <v>6.3369291788363915</v>
      </c>
      <c r="E67" s="68">
        <f t="shared" si="57"/>
        <v>0</v>
      </c>
      <c r="F67" s="68">
        <f t="shared" si="57"/>
        <v>0</v>
      </c>
      <c r="G67" s="68">
        <f t="shared" si="57"/>
        <v>0</v>
      </c>
      <c r="H67" s="68">
        <f t="shared" si="57"/>
        <v>0</v>
      </c>
      <c r="I67" s="68">
        <f t="shared" si="57"/>
        <v>0</v>
      </c>
      <c r="J67" s="68">
        <f t="shared" si="57"/>
        <v>0</v>
      </c>
      <c r="K67" s="68">
        <f t="shared" si="57"/>
        <v>0</v>
      </c>
      <c r="L67" s="68">
        <f t="shared" si="57"/>
        <v>0</v>
      </c>
      <c r="M67" s="68">
        <f t="shared" si="57"/>
        <v>0</v>
      </c>
      <c r="N67" s="68">
        <f t="shared" si="58"/>
        <v>0</v>
      </c>
      <c r="O67" s="68">
        <f t="shared" si="58"/>
        <v>0</v>
      </c>
      <c r="P67" s="68">
        <f t="shared" si="58"/>
        <v>0</v>
      </c>
      <c r="Q67" s="68">
        <f t="shared" si="58"/>
        <v>0</v>
      </c>
      <c r="R67" s="68">
        <f t="shared" si="58"/>
        <v>0</v>
      </c>
      <c r="S67" s="68">
        <f t="shared" si="58"/>
        <v>0</v>
      </c>
      <c r="T67" s="68">
        <f t="shared" si="58"/>
        <v>0</v>
      </c>
      <c r="U67" s="68">
        <f t="shared" si="52"/>
        <v>6.3369291788363915</v>
      </c>
      <c r="V67" s="213">
        <f t="shared" si="59"/>
        <v>5.8651100312238025E-2</v>
      </c>
      <c r="W67" s="203"/>
      <c r="AE67" s="184" t="s">
        <v>833</v>
      </c>
      <c r="AF67" s="9">
        <f t="shared" si="37"/>
        <v>13</v>
      </c>
      <c r="AG67" s="9">
        <f t="shared" si="29"/>
        <v>6</v>
      </c>
      <c r="AH67" s="46">
        <f t="shared" si="30"/>
        <v>11.929491108000001</v>
      </c>
      <c r="AI67" s="46">
        <f t="shared" si="31"/>
        <v>0</v>
      </c>
      <c r="AJ67" s="46">
        <f t="shared" si="32"/>
        <v>2.9699903160000001</v>
      </c>
      <c r="AK67" s="9">
        <f t="shared" si="33"/>
        <v>9.901782000000002E-2</v>
      </c>
      <c r="AL67" s="46">
        <f t="shared" si="34"/>
        <v>9.0585186120000003</v>
      </c>
      <c r="AM67" s="184" t="s">
        <v>914</v>
      </c>
      <c r="AN67" s="9">
        <f t="shared" si="35"/>
        <v>11</v>
      </c>
      <c r="AO67" s="542">
        <f t="shared" ca="1" si="36"/>
        <v>1</v>
      </c>
      <c r="AQ67" s="99" t="s">
        <v>837</v>
      </c>
      <c r="AR67" s="100" t="s">
        <v>890</v>
      </c>
      <c r="AS67" s="134">
        <v>0</v>
      </c>
      <c r="AT67" s="134">
        <v>0</v>
      </c>
      <c r="AU67" s="134">
        <v>0</v>
      </c>
      <c r="AV67" s="134">
        <v>0</v>
      </c>
      <c r="AX67" s="184" t="s">
        <v>38</v>
      </c>
      <c r="AY67" s="138">
        <f>AS85</f>
        <v>0</v>
      </c>
      <c r="AZ67" s="139"/>
      <c r="BA67" s="138">
        <f>AT85</f>
        <v>0</v>
      </c>
      <c r="BB67" s="139"/>
      <c r="BC67" s="2">
        <f>IF(AY67=0,0,MAX(0.9,BA67/AY67))</f>
        <v>0</v>
      </c>
      <c r="BE67" s="470">
        <f t="shared" si="40"/>
        <v>0</v>
      </c>
    </row>
    <row r="68" spans="1:59" ht="14.25" customHeight="1">
      <c r="A68" s="259" t="str">
        <f t="shared" si="50"/>
        <v>Other Industrial</v>
      </c>
      <c r="B68" s="259" t="str">
        <f t="shared" si="50"/>
        <v>n.a.</v>
      </c>
      <c r="C68" s="259" t="str">
        <f t="shared" si="50"/>
        <v xml:space="preserve">Feedstocks </v>
      </c>
      <c r="D68" s="68">
        <f t="shared" si="57"/>
        <v>0</v>
      </c>
      <c r="E68" s="68">
        <f t="shared" si="57"/>
        <v>0</v>
      </c>
      <c r="F68" s="68">
        <f t="shared" si="57"/>
        <v>0</v>
      </c>
      <c r="G68" s="68">
        <f t="shared" si="57"/>
        <v>0</v>
      </c>
      <c r="H68" s="68">
        <f t="shared" si="57"/>
        <v>0</v>
      </c>
      <c r="I68" s="68">
        <f t="shared" si="57"/>
        <v>0</v>
      </c>
      <c r="J68" s="68">
        <f t="shared" si="57"/>
        <v>0</v>
      </c>
      <c r="K68" s="68">
        <f t="shared" si="57"/>
        <v>0</v>
      </c>
      <c r="L68" s="68">
        <f t="shared" si="57"/>
        <v>0</v>
      </c>
      <c r="M68" s="68">
        <f t="shared" si="57"/>
        <v>0</v>
      </c>
      <c r="N68" s="68">
        <f t="shared" si="58"/>
        <v>0</v>
      </c>
      <c r="O68" s="68">
        <f t="shared" si="58"/>
        <v>0</v>
      </c>
      <c r="P68" s="68">
        <f t="shared" si="58"/>
        <v>0</v>
      </c>
      <c r="Q68" s="68">
        <f t="shared" si="58"/>
        <v>0</v>
      </c>
      <c r="R68" s="68">
        <f t="shared" si="58"/>
        <v>0</v>
      </c>
      <c r="S68" s="68">
        <f t="shared" si="58"/>
        <v>0</v>
      </c>
      <c r="T68" s="68">
        <f t="shared" si="58"/>
        <v>0</v>
      </c>
      <c r="U68" s="68">
        <f t="shared" si="52"/>
        <v>0</v>
      </c>
      <c r="V68" s="213">
        <f t="shared" si="59"/>
        <v>0</v>
      </c>
      <c r="W68" s="203"/>
      <c r="AE68" s="184" t="s">
        <v>841</v>
      </c>
      <c r="AF68" s="9">
        <f t="shared" si="37"/>
        <v>21</v>
      </c>
      <c r="AG68" s="9">
        <f t="shared" si="29"/>
        <v>13</v>
      </c>
      <c r="AH68" s="46">
        <f t="shared" si="30"/>
        <v>13.774999060000003</v>
      </c>
      <c r="AI68" s="46">
        <f t="shared" si="31"/>
        <v>0</v>
      </c>
      <c r="AJ68" s="46">
        <f t="shared" si="32"/>
        <v>13.774999060000003</v>
      </c>
      <c r="AK68" s="9">
        <f t="shared" si="33"/>
        <v>0</v>
      </c>
      <c r="AL68" s="46">
        <f>MAX(0,AH68+AI68-AJ68+AK68)</f>
        <v>0</v>
      </c>
      <c r="AM68" s="184" t="s">
        <v>915</v>
      </c>
      <c r="AN68" s="9">
        <f t="shared" si="35"/>
        <v>12</v>
      </c>
      <c r="AO68" s="542">
        <f t="shared" ca="1" si="36"/>
        <v>0</v>
      </c>
      <c r="AQ68" s="99" t="s">
        <v>835</v>
      </c>
      <c r="AR68" s="100" t="s">
        <v>802</v>
      </c>
      <c r="AS68" s="134">
        <v>0.63999424800000004</v>
      </c>
      <c r="AT68" s="134">
        <v>0.21240000000000001</v>
      </c>
      <c r="AU68" s="134">
        <v>0.12801559680000002</v>
      </c>
      <c r="AV68" s="134">
        <v>0.10158851520000001</v>
      </c>
      <c r="AX68" s="184" t="s">
        <v>946</v>
      </c>
      <c r="AY68" s="138">
        <f>AS86</f>
        <v>0.15198083999999845</v>
      </c>
      <c r="AZ68" s="138">
        <f>AU86</f>
        <v>0</v>
      </c>
      <c r="BA68" s="138">
        <f>AT86</f>
        <v>0.79199999999999626</v>
      </c>
      <c r="BB68" s="138">
        <f>AV86</f>
        <v>0.14997117600000021</v>
      </c>
      <c r="BC68" s="2">
        <f>IF(AY68=0,1,MAX(1,BA68/AY68))</f>
        <v>5.2111831991453945</v>
      </c>
      <c r="BD68" s="2">
        <f>IF(AZ68=0,0.9,BB68/AZ68)</f>
        <v>0.9</v>
      </c>
      <c r="BE68" s="470">
        <f>BA68</f>
        <v>0.79199999999999626</v>
      </c>
      <c r="BF68" s="474">
        <f>10</f>
        <v>10</v>
      </c>
      <c r="BG68" s="470">
        <f>BB68</f>
        <v>0.14997117600000021</v>
      </c>
    </row>
    <row r="69" spans="1:59" ht="14.25" customHeight="1">
      <c r="A69" s="259" t="str">
        <f t="shared" si="50"/>
        <v>Other Industrial</v>
      </c>
      <c r="B69" s="259" t="str">
        <f t="shared" si="50"/>
        <v>IOOI</v>
      </c>
      <c r="C69" s="259" t="str">
        <f t="shared" si="50"/>
        <v>Other</v>
      </c>
      <c r="D69" s="68">
        <f t="shared" si="57"/>
        <v>8.2655597984822506</v>
      </c>
      <c r="E69" s="68">
        <f t="shared" si="57"/>
        <v>0.87389120540072307</v>
      </c>
      <c r="F69" s="68">
        <f t="shared" si="57"/>
        <v>0.14742477339234172</v>
      </c>
      <c r="G69" s="68">
        <f t="shared" si="57"/>
        <v>0</v>
      </c>
      <c r="H69" s="68">
        <f t="shared" si="57"/>
        <v>0</v>
      </c>
      <c r="I69" s="68">
        <f t="shared" si="57"/>
        <v>8.7922799999992328E-3</v>
      </c>
      <c r="J69" s="68">
        <f t="shared" si="57"/>
        <v>0</v>
      </c>
      <c r="K69" s="68">
        <f t="shared" si="57"/>
        <v>0</v>
      </c>
      <c r="L69" s="68">
        <f t="shared" si="57"/>
        <v>0</v>
      </c>
      <c r="M69" s="68">
        <f t="shared" si="57"/>
        <v>2.2817679269149664</v>
      </c>
      <c r="N69" s="68">
        <f t="shared" si="58"/>
        <v>4.6933284701447482</v>
      </c>
      <c r="O69" s="68">
        <f t="shared" si="58"/>
        <v>0</v>
      </c>
      <c r="P69" s="68">
        <f t="shared" si="58"/>
        <v>0</v>
      </c>
      <c r="Q69" s="68">
        <f t="shared" si="58"/>
        <v>0</v>
      </c>
      <c r="R69" s="68">
        <f t="shared" si="58"/>
        <v>1.3667057780364651</v>
      </c>
      <c r="S69" s="68">
        <f t="shared" si="58"/>
        <v>0</v>
      </c>
      <c r="T69" s="68">
        <f t="shared" si="58"/>
        <v>11.591253786963012</v>
      </c>
      <c r="U69" s="68">
        <f t="shared" si="52"/>
        <v>29.228724019334507</v>
      </c>
      <c r="V69" s="213">
        <f t="shared" si="59"/>
        <v>0.27052485140310406</v>
      </c>
      <c r="W69" s="203"/>
      <c r="AE69" s="184" t="s">
        <v>842</v>
      </c>
      <c r="AF69" s="9">
        <f t="shared" si="37"/>
        <v>22</v>
      </c>
      <c r="AG69" s="9">
        <f t="shared" si="29"/>
        <v>29</v>
      </c>
      <c r="AH69" s="46">
        <f t="shared" si="30"/>
        <v>0.93802039199999998</v>
      </c>
      <c r="AI69" s="46">
        <f t="shared" si="31"/>
        <v>0</v>
      </c>
      <c r="AJ69" s="46">
        <f t="shared" si="32"/>
        <v>0</v>
      </c>
      <c r="AK69" s="9">
        <f t="shared" si="33"/>
        <v>0</v>
      </c>
      <c r="AL69" s="46">
        <f t="shared" ref="AL69:AL76" si="60">AH69+AI69-AJ69+AK69</f>
        <v>0.93802039199999998</v>
      </c>
      <c r="AM69" s="184" t="s">
        <v>916</v>
      </c>
      <c r="AN69" s="9">
        <f t="shared" si="35"/>
        <v>13</v>
      </c>
      <c r="AO69" s="542">
        <f t="shared" ca="1" si="36"/>
        <v>1</v>
      </c>
      <c r="AQ69" s="99" t="s">
        <v>902</v>
      </c>
      <c r="AR69" s="100" t="s">
        <v>902</v>
      </c>
      <c r="AS69" s="137">
        <v>0.72519562800000004</v>
      </c>
      <c r="AT69" s="137">
        <v>0.2412</v>
      </c>
      <c r="AU69" s="137">
        <v>0.21057929279999998</v>
      </c>
      <c r="AV69" s="137">
        <v>0.1416143232</v>
      </c>
      <c r="AY69" s="2">
        <f>SUM(AY49:AY68)</f>
        <v>10.332478115999999</v>
      </c>
      <c r="AZ69" s="2">
        <f>SUM(AZ49:AZ68)</f>
        <v>4.0143965985540007</v>
      </c>
      <c r="BA69" s="2">
        <f>SUM(BA49:BA64)*(1-$AZ$4)+SUM(BA65:BA68)</f>
        <v>3.9098098722165169</v>
      </c>
      <c r="BB69" s="2">
        <f>SUM(BB49:BB68)</f>
        <v>3.4753708634760003</v>
      </c>
      <c r="BC69" s="2">
        <f>IF(AY69=0,0,BA69/AY69)</f>
        <v>0.37840001481949592</v>
      </c>
      <c r="BD69" s="2">
        <f>IF(AZ69=0,0,BB69/AZ69)</f>
        <v>0.86572683544217843</v>
      </c>
      <c r="BE69" s="2">
        <f>SUM(BE49:BE68)</f>
        <v>3.9099066066664498</v>
      </c>
      <c r="BF69" s="2">
        <f>IF(AZ69&gt;0,BG69/AZ69)</f>
        <v>0.86689180643724284</v>
      </c>
      <c r="BG69" s="783">
        <f>SUM(BG49:BG68)</f>
        <v>3.4800475190760007</v>
      </c>
    </row>
    <row r="70" spans="1:59" ht="14.25" customHeight="1">
      <c r="A70" s="259"/>
      <c r="B70" s="259"/>
      <c r="C70" s="259"/>
      <c r="D70" s="261">
        <f t="shared" ref="D70:U70" si="61">SUM(D64:D69)</f>
        <v>27.551865994940833</v>
      </c>
      <c r="E70" s="261">
        <f t="shared" si="61"/>
        <v>2.1847280135018075</v>
      </c>
      <c r="F70" s="261">
        <f t="shared" si="61"/>
        <v>1.4742477339234175</v>
      </c>
      <c r="G70" s="261">
        <f t="shared" si="61"/>
        <v>0</v>
      </c>
      <c r="H70" s="261">
        <f t="shared" si="61"/>
        <v>0</v>
      </c>
      <c r="I70" s="261">
        <f t="shared" si="61"/>
        <v>2.9307599999997436E-2</v>
      </c>
      <c r="J70" s="261">
        <f t="shared" si="61"/>
        <v>0</v>
      </c>
      <c r="K70" s="261">
        <f t="shared" si="61"/>
        <v>0</v>
      </c>
      <c r="L70" s="261">
        <f t="shared" si="61"/>
        <v>1.0076607469881673</v>
      </c>
      <c r="M70" s="261">
        <f t="shared" si="61"/>
        <v>3.2596684670213811</v>
      </c>
      <c r="N70" s="261">
        <f t="shared" si="61"/>
        <v>18.773313880578993</v>
      </c>
      <c r="O70" s="261">
        <f t="shared" si="61"/>
        <v>0</v>
      </c>
      <c r="P70" s="261">
        <f t="shared" si="61"/>
        <v>0</v>
      </c>
      <c r="Q70" s="261">
        <f t="shared" si="61"/>
        <v>0</v>
      </c>
      <c r="R70" s="261">
        <f t="shared" si="61"/>
        <v>5.4668231121458604</v>
      </c>
      <c r="S70" s="261">
        <f t="shared" si="61"/>
        <v>0</v>
      </c>
      <c r="T70" s="261">
        <f t="shared" si="61"/>
        <v>48.296890779012557</v>
      </c>
      <c r="U70" s="261">
        <f t="shared" si="61"/>
        <v>108.044506328113</v>
      </c>
      <c r="V70" s="203"/>
      <c r="W70" s="203"/>
      <c r="AE70" s="184" t="s">
        <v>606</v>
      </c>
      <c r="AF70" s="9">
        <f t="shared" si="37"/>
        <v>23</v>
      </c>
      <c r="AG70" s="9">
        <f t="shared" si="29"/>
        <v>23</v>
      </c>
      <c r="AH70" s="46">
        <f t="shared" si="30"/>
        <v>122.69940076856747</v>
      </c>
      <c r="AI70" s="46">
        <f t="shared" si="31"/>
        <v>0</v>
      </c>
      <c r="AJ70" s="46">
        <f t="shared" si="32"/>
        <v>0</v>
      </c>
      <c r="AK70" s="9">
        <f t="shared" si="33"/>
        <v>75.389364098884627</v>
      </c>
      <c r="AL70" s="46">
        <f t="shared" si="60"/>
        <v>198.08876486745208</v>
      </c>
      <c r="AM70" s="184" t="s">
        <v>917</v>
      </c>
      <c r="AN70" s="9">
        <f t="shared" si="35"/>
        <v>14</v>
      </c>
      <c r="AO70" s="542">
        <f t="shared" ref="AO70:AO75" ca="1" si="62">AL70/MAX(Tiny,AL70,INDEX(BL$49:BL$63,AN70))</f>
        <v>1</v>
      </c>
      <c r="AQ70" s="99" t="s">
        <v>607</v>
      </c>
      <c r="AR70" s="100" t="s">
        <v>652</v>
      </c>
      <c r="AS70" s="134">
        <v>0.45590065200000002</v>
      </c>
      <c r="AT70" s="134">
        <v>0.18359999999999999</v>
      </c>
      <c r="AU70" s="134">
        <v>2.009664E-3</v>
      </c>
      <c r="AV70" s="134">
        <v>2.0096640000000004E-3</v>
      </c>
      <c r="AY70" t="s">
        <v>1001</v>
      </c>
      <c r="BA70" s="784">
        <f>MAX(0.01,SUMPRODUCT(AY49:AY67,BC49:BC67)+BA68)</f>
        <v>3.9102874726050825</v>
      </c>
      <c r="BD70" t="s">
        <v>1001</v>
      </c>
      <c r="BE70" s="784">
        <f>BE69</f>
        <v>3.9099066066664498</v>
      </c>
    </row>
    <row r="71" spans="1:59" ht="14.25" customHeight="1">
      <c r="A71" s="259" t="s">
        <v>885</v>
      </c>
      <c r="B71" s="259" t="s">
        <v>1332</v>
      </c>
      <c r="C71" s="259" t="s">
        <v>1333</v>
      </c>
      <c r="D71" s="440">
        <f>MIN(D54*($AO$20),B$33*D$48)</f>
        <v>0.40450899017738895</v>
      </c>
      <c r="E71" s="429"/>
      <c r="F71" s="440">
        <f>MIN(F54*($AN$20-$AO$20),D$33*F$48)</f>
        <v>0.26839435385156862</v>
      </c>
      <c r="G71" s="429"/>
      <c r="H71" s="429"/>
      <c r="I71" s="429"/>
      <c r="J71" s="429"/>
      <c r="K71" s="429"/>
      <c r="L71" s="429"/>
      <c r="M71" s="429"/>
      <c r="N71" s="440">
        <f>MIN(N54*($AN$20-$AO$20),L$33*N$48)</f>
        <v>1.4569979209085153</v>
      </c>
      <c r="O71" s="429"/>
      <c r="P71" s="429"/>
      <c r="Q71" s="429"/>
      <c r="R71" s="429"/>
      <c r="S71" s="429"/>
      <c r="T71" s="429"/>
      <c r="U71" s="441">
        <f>SUM(D71:T71)</f>
        <v>2.1299012649374731</v>
      </c>
      <c r="V71" s="203"/>
      <c r="W71" s="203"/>
      <c r="AE71" s="184" t="s">
        <v>846</v>
      </c>
      <c r="AF71" s="9">
        <f t="shared" si="37"/>
        <v>24</v>
      </c>
      <c r="AG71" s="9" t="e">
        <f t="shared" si="29"/>
        <v>#N/A</v>
      </c>
      <c r="AH71" s="46">
        <f t="shared" si="30"/>
        <v>0</v>
      </c>
      <c r="AI71" s="46">
        <f t="shared" si="31"/>
        <v>0</v>
      </c>
      <c r="AJ71" s="46">
        <f t="shared" si="32"/>
        <v>0</v>
      </c>
      <c r="AK71" s="9">
        <f t="shared" si="33"/>
        <v>0</v>
      </c>
      <c r="AL71" s="46">
        <f t="shared" si="60"/>
        <v>0</v>
      </c>
      <c r="AM71" s="184" t="s">
        <v>917</v>
      </c>
      <c r="AN71" s="9">
        <f t="shared" si="35"/>
        <v>14</v>
      </c>
      <c r="AO71" s="542">
        <f t="shared" ca="1" si="62"/>
        <v>0</v>
      </c>
      <c r="AQ71" s="99" t="s">
        <v>609</v>
      </c>
      <c r="AR71" s="100" t="s">
        <v>595</v>
      </c>
      <c r="AS71" s="134">
        <v>9.4998492000000018E-2</v>
      </c>
      <c r="AT71" s="134">
        <v>1.7999999999999999E-2</v>
      </c>
      <c r="AU71" s="134">
        <v>0.63689601600000001</v>
      </c>
      <c r="AV71" s="134">
        <v>0.47101500000000002</v>
      </c>
    </row>
    <row r="72" spans="1:59" ht="14.25" customHeight="1">
      <c r="A72" s="259" t="s">
        <v>885</v>
      </c>
      <c r="B72" s="259" t="s">
        <v>1332</v>
      </c>
      <c r="C72" s="259" t="s">
        <v>1118</v>
      </c>
      <c r="D72" s="440">
        <f>MIN(D55*($AO$23),B$33*D$48-D71)</f>
        <v>0.20920499424</v>
      </c>
      <c r="E72" s="429"/>
      <c r="F72" s="440">
        <f>MIN(F55*($AN$23-$AO$23),D$33*F$48-F71)</f>
        <v>0.65018487700776539</v>
      </c>
      <c r="G72" s="429"/>
      <c r="H72" s="429"/>
      <c r="I72" s="429"/>
      <c r="J72" s="429"/>
      <c r="K72" s="429"/>
      <c r="L72" s="429"/>
      <c r="M72" s="429"/>
      <c r="N72" s="440">
        <f>MIN(N55*($AN$23-$AO$23),L$33*N$48-N71)</f>
        <v>11.684321795496778</v>
      </c>
      <c r="O72" s="429"/>
      <c r="P72" s="429"/>
      <c r="Q72" s="429"/>
      <c r="R72" s="429"/>
      <c r="S72" s="429"/>
      <c r="T72" s="429"/>
      <c r="U72" s="441">
        <f>SUM(D72:T72)</f>
        <v>12.543711666744544</v>
      </c>
      <c r="AE72" s="184" t="s">
        <v>1289</v>
      </c>
      <c r="AF72" s="9">
        <f t="shared" si="37"/>
        <v>25</v>
      </c>
      <c r="AG72" s="9" t="e">
        <f t="shared" si="29"/>
        <v>#N/A</v>
      </c>
      <c r="AH72" s="46">
        <f t="shared" si="30"/>
        <v>0.257613804</v>
      </c>
      <c r="AI72" s="46">
        <f t="shared" si="31"/>
        <v>0.24790042799999998</v>
      </c>
      <c r="AJ72" s="46">
        <f t="shared" si="32"/>
        <v>0</v>
      </c>
      <c r="AK72" s="9">
        <f t="shared" si="33"/>
        <v>0</v>
      </c>
      <c r="AL72" s="46">
        <f t="shared" si="60"/>
        <v>0.50551423200000001</v>
      </c>
      <c r="AM72" s="184" t="s">
        <v>917</v>
      </c>
      <c r="AN72" s="9">
        <f t="shared" si="35"/>
        <v>14</v>
      </c>
      <c r="AO72" s="542">
        <f t="shared" ca="1" si="62"/>
        <v>3.1111521888088484E-2</v>
      </c>
      <c r="AQ72" s="99" t="s">
        <v>608</v>
      </c>
      <c r="AR72" s="100" t="s">
        <v>178</v>
      </c>
      <c r="AS72" s="134">
        <v>0.100985616</v>
      </c>
      <c r="AT72" s="134">
        <v>2.1600000000000001E-2</v>
      </c>
      <c r="AU72" s="134">
        <v>0.57422864255399997</v>
      </c>
      <c r="AV72" s="134">
        <v>0.42478464747599998</v>
      </c>
    </row>
    <row r="73" spans="1:59" ht="14.25" customHeight="1">
      <c r="A73" s="259" t="s">
        <v>885</v>
      </c>
      <c r="B73" s="259" t="s">
        <v>1332</v>
      </c>
      <c r="D73" s="3">
        <f t="shared" ref="D73:U73" si="63">SUM(D71:D72)</f>
        <v>0.61371398441738889</v>
      </c>
      <c r="E73" s="3">
        <f t="shared" si="63"/>
        <v>0</v>
      </c>
      <c r="F73" s="3">
        <f t="shared" si="63"/>
        <v>0.91857923085933402</v>
      </c>
      <c r="G73" s="3">
        <f t="shared" si="63"/>
        <v>0</v>
      </c>
      <c r="H73" s="3">
        <f t="shared" si="63"/>
        <v>0</v>
      </c>
      <c r="I73" s="3">
        <f t="shared" si="63"/>
        <v>0</v>
      </c>
      <c r="J73" s="3">
        <f t="shared" si="63"/>
        <v>0</v>
      </c>
      <c r="K73" s="3">
        <f t="shared" si="63"/>
        <v>0</v>
      </c>
      <c r="L73" s="3">
        <f t="shared" si="63"/>
        <v>0</v>
      </c>
      <c r="M73" s="3">
        <f t="shared" si="63"/>
        <v>0</v>
      </c>
      <c r="N73" s="3">
        <f t="shared" si="63"/>
        <v>13.141319716405294</v>
      </c>
      <c r="O73" s="3">
        <f t="shared" si="63"/>
        <v>0</v>
      </c>
      <c r="P73" s="3">
        <f t="shared" si="63"/>
        <v>0</v>
      </c>
      <c r="Q73" s="3">
        <f t="shared" si="63"/>
        <v>0</v>
      </c>
      <c r="R73" s="3">
        <f t="shared" si="63"/>
        <v>0</v>
      </c>
      <c r="S73" s="3">
        <f t="shared" si="63"/>
        <v>0</v>
      </c>
      <c r="T73" s="3">
        <f t="shared" si="63"/>
        <v>0</v>
      </c>
      <c r="U73" s="3">
        <f t="shared" si="63"/>
        <v>14.673612931682017</v>
      </c>
      <c r="AE73" s="184" t="s">
        <v>847</v>
      </c>
      <c r="AF73" s="9">
        <f t="shared" si="37"/>
        <v>26</v>
      </c>
      <c r="AG73" s="9">
        <f>MATCH("bioblq",AQ$51:AQ$80,0)</f>
        <v>20</v>
      </c>
      <c r="AH73" s="46">
        <f t="shared" si="30"/>
        <v>8.8392539186728208E-2</v>
      </c>
      <c r="AI73" s="46">
        <f t="shared" si="31"/>
        <v>0.54189752400000002</v>
      </c>
      <c r="AJ73" s="46">
        <f t="shared" si="32"/>
        <v>0</v>
      </c>
      <c r="AK73" s="9">
        <f t="shared" si="33"/>
        <v>0.56034739899019947</v>
      </c>
      <c r="AL73" s="46">
        <f t="shared" si="60"/>
        <v>1.1906374621769276</v>
      </c>
      <c r="AM73" s="184" t="s">
        <v>917</v>
      </c>
      <c r="AN73" s="9">
        <f t="shared" si="35"/>
        <v>14</v>
      </c>
      <c r="AO73" s="542">
        <f t="shared" ca="1" si="62"/>
        <v>7.3276954673940034E-2</v>
      </c>
      <c r="AQ73" s="99" t="s">
        <v>606</v>
      </c>
      <c r="AR73" s="100" t="s">
        <v>947</v>
      </c>
      <c r="AS73" s="134">
        <v>2.66447952</v>
      </c>
      <c r="AT73" s="134">
        <v>0.88919999999999999</v>
      </c>
      <c r="AU73" s="134">
        <v>0.88982060400000007</v>
      </c>
      <c r="AV73" s="134">
        <v>0.82898640000000012</v>
      </c>
    </row>
    <row r="74" spans="1:59" ht="14.25" customHeight="1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AE74" s="184" t="s">
        <v>608</v>
      </c>
      <c r="AF74" s="9">
        <f t="shared" si="37"/>
        <v>27</v>
      </c>
      <c r="AG74" s="9">
        <f>MATCH($AE74,AQ$51:AQ$83,0)</f>
        <v>22</v>
      </c>
      <c r="AH74" s="46">
        <f t="shared" si="30"/>
        <v>2.4654490643774616</v>
      </c>
      <c r="AI74" s="46">
        <f t="shared" si="31"/>
        <v>0</v>
      </c>
      <c r="AJ74" s="46">
        <f t="shared" si="32"/>
        <v>0</v>
      </c>
      <c r="AK74" s="9">
        <f t="shared" si="33"/>
        <v>2.197801378473792</v>
      </c>
      <c r="AL74" s="46">
        <f t="shared" si="60"/>
        <v>4.663250442851254</v>
      </c>
      <c r="AM74" s="184" t="s">
        <v>917</v>
      </c>
      <c r="AN74" s="9">
        <f t="shared" si="35"/>
        <v>14</v>
      </c>
      <c r="AO74" s="542">
        <f t="shared" ca="1" si="62"/>
        <v>0.2869965058123331</v>
      </c>
      <c r="AQ74" s="99" t="s">
        <v>596</v>
      </c>
      <c r="AR74" s="100" t="s">
        <v>597</v>
      </c>
      <c r="AS74" s="134">
        <v>0</v>
      </c>
      <c r="AT74" s="134">
        <v>0</v>
      </c>
      <c r="AU74" s="134">
        <v>0</v>
      </c>
      <c r="AV74" s="134">
        <v>0</v>
      </c>
    </row>
    <row r="75" spans="1:59" ht="14.25" customHeight="1">
      <c r="AE75" s="184" t="s">
        <v>609</v>
      </c>
      <c r="AF75" s="9">
        <f t="shared" si="37"/>
        <v>28</v>
      </c>
      <c r="AG75" s="9">
        <f>MATCH($AE75,AQ$51:AQ$83,0)</f>
        <v>21</v>
      </c>
      <c r="AH75" s="46">
        <f t="shared" si="30"/>
        <v>0.3138567920142028</v>
      </c>
      <c r="AI75" s="46">
        <f t="shared" si="31"/>
        <v>0</v>
      </c>
      <c r="AJ75" s="46">
        <f t="shared" si="32"/>
        <v>0</v>
      </c>
      <c r="AK75" s="9">
        <f t="shared" si="33"/>
        <v>1.0768449600000003</v>
      </c>
      <c r="AL75" s="46">
        <f t="shared" si="60"/>
        <v>1.3907017520142031</v>
      </c>
      <c r="AM75" s="184" t="s">
        <v>917</v>
      </c>
      <c r="AN75" s="9">
        <f t="shared" si="35"/>
        <v>14</v>
      </c>
      <c r="AO75" s="542">
        <f t="shared" ca="1" si="62"/>
        <v>8.5589772272905831E-2</v>
      </c>
      <c r="AQ75" s="99" t="s">
        <v>902</v>
      </c>
      <c r="AR75" s="100" t="s">
        <v>902</v>
      </c>
      <c r="AS75" s="137">
        <v>3.3163642800000002</v>
      </c>
      <c r="AT75" s="137">
        <v>1.1124000000000001</v>
      </c>
      <c r="AU75" s="137">
        <v>2.1029549265540002</v>
      </c>
      <c r="AV75" s="137">
        <v>1.726795711476</v>
      </c>
    </row>
    <row r="76" spans="1:59" ht="14.25" customHeight="1">
      <c r="A76" s="237" t="s">
        <v>977</v>
      </c>
      <c r="B76" s="203"/>
      <c r="C76" s="203" t="s">
        <v>93</v>
      </c>
      <c r="D76" s="238">
        <f t="shared" ref="D76:U76" si="64">D64+D63+D62+D61+D60+D59</f>
        <v>0</v>
      </c>
      <c r="E76" s="238">
        <f t="shared" si="64"/>
        <v>16.89110643843949</v>
      </c>
      <c r="F76" s="238">
        <f t="shared" si="64"/>
        <v>0.14742477339234175</v>
      </c>
      <c r="G76" s="238">
        <f t="shared" si="64"/>
        <v>0</v>
      </c>
      <c r="H76" s="238">
        <f t="shared" si="64"/>
        <v>0.50095545200000002</v>
      </c>
      <c r="I76" s="238">
        <f t="shared" si="64"/>
        <v>0</v>
      </c>
      <c r="J76" s="238">
        <f t="shared" si="64"/>
        <v>0</v>
      </c>
      <c r="K76" s="238">
        <f t="shared" si="64"/>
        <v>0</v>
      </c>
      <c r="L76" s="238">
        <f t="shared" si="64"/>
        <v>8.5078400920000021</v>
      </c>
      <c r="M76" s="238">
        <f t="shared" si="64"/>
        <v>5.3258572500869432</v>
      </c>
      <c r="N76" s="238">
        <f t="shared" si="64"/>
        <v>1.3185173192289499</v>
      </c>
      <c r="O76" s="238">
        <f t="shared" si="64"/>
        <v>0</v>
      </c>
      <c r="P76" s="238">
        <f t="shared" si="64"/>
        <v>0</v>
      </c>
      <c r="Q76" s="238">
        <f t="shared" si="64"/>
        <v>0</v>
      </c>
      <c r="R76" s="238">
        <f t="shared" si="64"/>
        <v>121.8554649101094</v>
      </c>
      <c r="S76" s="238">
        <f t="shared" si="64"/>
        <v>0</v>
      </c>
      <c r="T76" s="238">
        <f t="shared" si="64"/>
        <v>60.171636992049535</v>
      </c>
      <c r="U76" s="238">
        <f t="shared" si="64"/>
        <v>214.71880322730664</v>
      </c>
      <c r="V76" s="203"/>
      <c r="W76" s="203"/>
      <c r="AE76" s="184" t="s">
        <v>845</v>
      </c>
      <c r="AF76" s="9">
        <f t="shared" si="37"/>
        <v>30</v>
      </c>
      <c r="AG76" s="9" t="e">
        <f>MATCH($AE76,AQ$51:AQ$83,0)</f>
        <v>#N/A</v>
      </c>
      <c r="AH76" s="46">
        <f t="shared" si="30"/>
        <v>0</v>
      </c>
      <c r="AI76" s="46">
        <f t="shared" si="31"/>
        <v>0</v>
      </c>
      <c r="AJ76" s="46">
        <f t="shared" si="32"/>
        <v>0</v>
      </c>
      <c r="AK76" s="9">
        <f>IF(ISNA($AG76),0,INDEX(AS$7:AS$39,$AG76)+INDEX(AS$51:AS$83,$AG76)+INDEX(AU$51:AU$83,$AG76))</f>
        <v>0</v>
      </c>
      <c r="AL76" s="46">
        <f t="shared" si="60"/>
        <v>0</v>
      </c>
      <c r="AM76" s="184" t="s">
        <v>950</v>
      </c>
      <c r="AN76" s="9">
        <f t="shared" si="35"/>
        <v>15</v>
      </c>
      <c r="AO76" s="542">
        <f ca="1">AL76/MAX(Tiny,INDEX(BK$49:BK$63,AN76))</f>
        <v>0</v>
      </c>
      <c r="AQ76" s="103" t="s">
        <v>953</v>
      </c>
      <c r="AR76" s="100" t="s">
        <v>193</v>
      </c>
      <c r="AS76" s="134">
        <v>7.9967880000000012E-3</v>
      </c>
      <c r="AT76" s="134">
        <v>3.5999999999999999E-3</v>
      </c>
      <c r="AU76" s="134">
        <v>0.18099536400000002</v>
      </c>
      <c r="AV76" s="134">
        <v>0.15800983200000002</v>
      </c>
    </row>
    <row r="77" spans="1:59" ht="14.25" customHeight="1">
      <c r="A77" s="203"/>
      <c r="B77" s="203"/>
      <c r="C77" s="203"/>
      <c r="D77" s="213">
        <f t="shared" ref="D77:U77" si="65">D76/$U76</f>
        <v>0</v>
      </c>
      <c r="E77" s="213">
        <f t="shared" si="65"/>
        <v>7.8666172615344476E-2</v>
      </c>
      <c r="F77" s="213">
        <f t="shared" si="65"/>
        <v>6.8659461200644943E-4</v>
      </c>
      <c r="G77" s="213">
        <f t="shared" si="65"/>
        <v>0</v>
      </c>
      <c r="H77" s="213">
        <f t="shared" si="65"/>
        <v>2.3330767705037744E-3</v>
      </c>
      <c r="I77" s="213">
        <f t="shared" si="65"/>
        <v>0</v>
      </c>
      <c r="J77" s="213">
        <f t="shared" si="65"/>
        <v>0</v>
      </c>
      <c r="K77" s="213">
        <f t="shared" si="65"/>
        <v>0</v>
      </c>
      <c r="L77" s="213">
        <f t="shared" si="65"/>
        <v>3.9623172093565522E-2</v>
      </c>
      <c r="M77" s="213">
        <f t="shared" si="65"/>
        <v>2.480386985227772E-2</v>
      </c>
      <c r="N77" s="213">
        <f t="shared" si="65"/>
        <v>6.1406700270825133E-3</v>
      </c>
      <c r="O77" s="213">
        <f t="shared" si="65"/>
        <v>0</v>
      </c>
      <c r="P77" s="213">
        <f t="shared" si="65"/>
        <v>0</v>
      </c>
      <c r="Q77" s="213">
        <f t="shared" si="65"/>
        <v>0</v>
      </c>
      <c r="R77" s="213">
        <f t="shared" si="65"/>
        <v>0.5675118484202345</v>
      </c>
      <c r="S77" s="213">
        <f t="shared" si="65"/>
        <v>0</v>
      </c>
      <c r="T77" s="213">
        <f t="shared" si="65"/>
        <v>0.28023459560898517</v>
      </c>
      <c r="U77" s="213">
        <f t="shared" si="65"/>
        <v>1</v>
      </c>
      <c r="V77" s="203"/>
      <c r="W77" s="203"/>
      <c r="AJ77" s="93">
        <f>SUM(AJ48:AJ76)</f>
        <v>30.844289584000002</v>
      </c>
      <c r="AL77" s="93">
        <f>SUM(AL48:AL76)</f>
        <v>366.9634256487754</v>
      </c>
      <c r="AQ77" s="103" t="s">
        <v>952</v>
      </c>
      <c r="AR77" s="100" t="s">
        <v>598</v>
      </c>
      <c r="AS77" s="134">
        <v>2.6000028000000001E-2</v>
      </c>
      <c r="AT77" s="134">
        <v>3.5999999999999999E-3</v>
      </c>
      <c r="AU77" s="134">
        <v>7.3980755999999995E-2</v>
      </c>
      <c r="AV77" s="134">
        <v>5.5014552000000001E-2</v>
      </c>
    </row>
    <row r="78" spans="1:59" ht="14.25" customHeight="1">
      <c r="A78" s="86" t="s">
        <v>989</v>
      </c>
      <c r="B78" s="106"/>
      <c r="C78" s="107"/>
      <c r="D78" s="88"/>
      <c r="E78" s="88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AQ78" s="103" t="s">
        <v>954</v>
      </c>
      <c r="AR78" s="100" t="s">
        <v>799</v>
      </c>
      <c r="AS78" s="134">
        <v>0</v>
      </c>
      <c r="AT78" s="134">
        <v>0</v>
      </c>
      <c r="AU78" s="134">
        <v>0</v>
      </c>
      <c r="AV78" s="134">
        <v>0</v>
      </c>
    </row>
    <row r="79" spans="1:59" ht="14.25" customHeight="1">
      <c r="A79" s="203"/>
      <c r="B79" s="203"/>
      <c r="C79" s="203"/>
      <c r="D79" s="262" t="str">
        <f t="shared" ref="D79:U79" si="66">B38</f>
        <v>INDELC</v>
      </c>
      <c r="E79" s="262" t="str">
        <f t="shared" si="66"/>
        <v>INDNGA</v>
      </c>
      <c r="F79" s="262" t="str">
        <f t="shared" si="66"/>
        <v>INDLPG</v>
      </c>
      <c r="G79" s="262" t="str">
        <f t="shared" si="66"/>
        <v>INDNGL</v>
      </c>
      <c r="H79" s="262" t="str">
        <f t="shared" si="66"/>
        <v>INDCOA</v>
      </c>
      <c r="I79" s="262" t="str">
        <f t="shared" si="66"/>
        <v>INDCOK</v>
      </c>
      <c r="J79" s="262" t="str">
        <f t="shared" si="66"/>
        <v>INDCOG</v>
      </c>
      <c r="K79" s="262" t="str">
        <f t="shared" si="66"/>
        <v>INDBFG</v>
      </c>
      <c r="L79" s="262" t="str">
        <f t="shared" si="66"/>
        <v>INDBCO</v>
      </c>
      <c r="M79" s="262" t="str">
        <f t="shared" si="66"/>
        <v>INDHFO</v>
      </c>
      <c r="N79" s="262" t="str">
        <f t="shared" si="66"/>
        <v>INDOIL</v>
      </c>
      <c r="O79" s="262" t="str">
        <f t="shared" si="66"/>
        <v>INDETH</v>
      </c>
      <c r="P79" s="262" t="str">
        <f t="shared" si="66"/>
        <v>INDNAP</v>
      </c>
      <c r="Q79" s="262" t="str">
        <f t="shared" si="66"/>
        <v>INDPTC</v>
      </c>
      <c r="R79" s="262" t="str">
        <f t="shared" si="66"/>
        <v>INDBIO</v>
      </c>
      <c r="S79" s="262" t="str">
        <f t="shared" si="66"/>
        <v>INDGEO</v>
      </c>
      <c r="T79" s="262" t="str">
        <f t="shared" si="66"/>
        <v>INDHET</v>
      </c>
      <c r="U79" s="262" t="str">
        <f t="shared" si="66"/>
        <v>TOTAL</v>
      </c>
      <c r="V79" s="203"/>
      <c r="W79" s="203"/>
      <c r="AQ79" s="99" t="s">
        <v>842</v>
      </c>
      <c r="AR79" s="100" t="s">
        <v>806</v>
      </c>
      <c r="AS79" s="134">
        <v>0</v>
      </c>
      <c r="AT79" s="134">
        <v>0</v>
      </c>
      <c r="AU79" s="134">
        <v>0</v>
      </c>
      <c r="AV79" s="134">
        <v>0</v>
      </c>
    </row>
    <row r="80" spans="1:59" ht="14.25" customHeight="1">
      <c r="A80" s="203"/>
      <c r="B80" s="203"/>
      <c r="C80" s="203" t="s">
        <v>13</v>
      </c>
      <c r="D80" s="257">
        <f t="shared" ref="D80:U80" si="67">B33</f>
        <v>27.551865994940833</v>
      </c>
      <c r="E80" s="257">
        <f t="shared" si="67"/>
        <v>2.1847280135018075</v>
      </c>
      <c r="F80" s="257">
        <f t="shared" si="67"/>
        <v>1.4742477339234175</v>
      </c>
      <c r="G80" s="257">
        <f t="shared" si="67"/>
        <v>0</v>
      </c>
      <c r="H80" s="257">
        <f t="shared" si="67"/>
        <v>0</v>
      </c>
      <c r="I80" s="257">
        <f t="shared" si="67"/>
        <v>2.9307599999997436E-2</v>
      </c>
      <c r="J80" s="257">
        <f t="shared" si="67"/>
        <v>0</v>
      </c>
      <c r="K80" s="257">
        <f t="shared" si="67"/>
        <v>0</v>
      </c>
      <c r="L80" s="257">
        <f t="shared" si="67"/>
        <v>1.0076607469881673</v>
      </c>
      <c r="M80" s="257">
        <f t="shared" si="67"/>
        <v>3.2596684670213811</v>
      </c>
      <c r="N80" s="257">
        <f t="shared" si="67"/>
        <v>18.773313880578993</v>
      </c>
      <c r="O80" s="257">
        <f t="shared" si="67"/>
        <v>0</v>
      </c>
      <c r="P80" s="257">
        <f t="shared" si="67"/>
        <v>0</v>
      </c>
      <c r="Q80" s="257">
        <f t="shared" si="67"/>
        <v>0</v>
      </c>
      <c r="R80" s="257">
        <f t="shared" si="67"/>
        <v>5.4668231121458604</v>
      </c>
      <c r="S80" s="257">
        <f t="shared" si="67"/>
        <v>0</v>
      </c>
      <c r="T80" s="257">
        <f t="shared" si="67"/>
        <v>48.29689077901255</v>
      </c>
      <c r="U80" s="257">
        <f t="shared" si="67"/>
        <v>108.04450632811302</v>
      </c>
      <c r="V80" s="203"/>
      <c r="W80" s="203"/>
      <c r="AQ80" s="99" t="s">
        <v>902</v>
      </c>
      <c r="AR80" s="100" t="s">
        <v>902</v>
      </c>
      <c r="AS80" s="137">
        <v>3.3996815999999999E-2</v>
      </c>
      <c r="AT80" s="137">
        <v>7.1999999999999998E-3</v>
      </c>
      <c r="AU80" s="137">
        <v>0.25497612000000003</v>
      </c>
      <c r="AV80" s="137">
        <v>0.21302438400000001</v>
      </c>
    </row>
    <row r="81" spans="1:48" ht="14.25" customHeight="1">
      <c r="A81" s="203"/>
      <c r="B81" s="203"/>
      <c r="C81" s="203" t="s">
        <v>14</v>
      </c>
      <c r="D81" s="257">
        <f t="shared" ref="D81:U81" si="68">D70</f>
        <v>27.551865994940833</v>
      </c>
      <c r="E81" s="257">
        <f t="shared" si="68"/>
        <v>2.1847280135018075</v>
      </c>
      <c r="F81" s="257">
        <f t="shared" si="68"/>
        <v>1.4742477339234175</v>
      </c>
      <c r="G81" s="257">
        <f t="shared" si="68"/>
        <v>0</v>
      </c>
      <c r="H81" s="257">
        <f t="shared" si="68"/>
        <v>0</v>
      </c>
      <c r="I81" s="257">
        <f t="shared" si="68"/>
        <v>2.9307599999997436E-2</v>
      </c>
      <c r="J81" s="257">
        <f t="shared" si="68"/>
        <v>0</v>
      </c>
      <c r="K81" s="257">
        <f t="shared" si="68"/>
        <v>0</v>
      </c>
      <c r="L81" s="257">
        <f t="shared" si="68"/>
        <v>1.0076607469881673</v>
      </c>
      <c r="M81" s="257">
        <f t="shared" si="68"/>
        <v>3.2596684670213811</v>
      </c>
      <c r="N81" s="257">
        <f t="shared" si="68"/>
        <v>18.773313880578993</v>
      </c>
      <c r="O81" s="257">
        <f t="shared" si="68"/>
        <v>0</v>
      </c>
      <c r="P81" s="257">
        <f t="shared" si="68"/>
        <v>0</v>
      </c>
      <c r="Q81" s="257">
        <f t="shared" si="68"/>
        <v>0</v>
      </c>
      <c r="R81" s="257">
        <f t="shared" si="68"/>
        <v>5.4668231121458604</v>
      </c>
      <c r="S81" s="257">
        <f t="shared" si="68"/>
        <v>0</v>
      </c>
      <c r="T81" s="257">
        <f t="shared" si="68"/>
        <v>48.296890779012557</v>
      </c>
      <c r="U81" s="257">
        <f t="shared" si="68"/>
        <v>108.044506328113</v>
      </c>
      <c r="V81" s="203"/>
      <c r="W81" s="203"/>
      <c r="AQ81" s="104" t="s">
        <v>599</v>
      </c>
      <c r="AR81" s="100" t="s">
        <v>600</v>
      </c>
      <c r="AS81" s="134">
        <v>0</v>
      </c>
      <c r="AT81" s="134">
        <v>0</v>
      </c>
      <c r="AU81" s="134">
        <v>0</v>
      </c>
      <c r="AV81" s="134">
        <v>0</v>
      </c>
    </row>
    <row r="82" spans="1:48" ht="14.25" customHeight="1">
      <c r="A82" s="203"/>
      <c r="B82" s="203"/>
      <c r="C82" s="203"/>
      <c r="D82" s="258">
        <f t="shared" ref="D82:U82" si="69">IF((D81-D80)/100&gt;5%,"ERROR",IF((D81-D80)/100&lt;-5%,"ERROR",(D81-D80)/100))</f>
        <v>0</v>
      </c>
      <c r="E82" s="258">
        <f t="shared" si="69"/>
        <v>0</v>
      </c>
      <c r="F82" s="258">
        <f t="shared" si="69"/>
        <v>0</v>
      </c>
      <c r="G82" s="258">
        <f t="shared" si="69"/>
        <v>0</v>
      </c>
      <c r="H82" s="258">
        <f t="shared" si="69"/>
        <v>0</v>
      </c>
      <c r="I82" s="258">
        <f t="shared" si="69"/>
        <v>0</v>
      </c>
      <c r="J82" s="258">
        <f t="shared" si="69"/>
        <v>0</v>
      </c>
      <c r="K82" s="258">
        <f t="shared" si="69"/>
        <v>0</v>
      </c>
      <c r="L82" s="258">
        <f t="shared" si="69"/>
        <v>0</v>
      </c>
      <c r="M82" s="258">
        <f t="shared" si="69"/>
        <v>0</v>
      </c>
      <c r="N82" s="258">
        <f t="shared" si="69"/>
        <v>0</v>
      </c>
      <c r="O82" s="258">
        <f t="shared" si="69"/>
        <v>0</v>
      </c>
      <c r="P82" s="258">
        <f t="shared" si="69"/>
        <v>0</v>
      </c>
      <c r="Q82" s="258">
        <f t="shared" si="69"/>
        <v>0</v>
      </c>
      <c r="R82" s="258">
        <f t="shared" si="69"/>
        <v>0</v>
      </c>
      <c r="S82" s="258">
        <f t="shared" si="69"/>
        <v>0</v>
      </c>
      <c r="T82" s="258">
        <f t="shared" si="69"/>
        <v>7.105427357601002E-17</v>
      </c>
      <c r="U82" s="258">
        <f t="shared" si="69"/>
        <v>-1.4210854715202004E-16</v>
      </c>
      <c r="V82" s="203"/>
      <c r="W82" s="203"/>
      <c r="AQ82" s="104" t="s">
        <v>601</v>
      </c>
      <c r="AR82" s="100" t="s">
        <v>602</v>
      </c>
      <c r="AS82" s="134">
        <v>0</v>
      </c>
      <c r="AT82" s="134">
        <v>0</v>
      </c>
      <c r="AU82" s="134">
        <v>0</v>
      </c>
      <c r="AV82" s="134">
        <v>0</v>
      </c>
    </row>
    <row r="83" spans="1:48" ht="14.25" customHeight="1">
      <c r="A83" s="203"/>
      <c r="B83" s="203"/>
      <c r="C83" s="203" t="s">
        <v>15</v>
      </c>
      <c r="D83" s="257">
        <f t="shared" ref="D83:U83" si="70">B34</f>
        <v>141.83334989472985</v>
      </c>
      <c r="E83" s="257">
        <f t="shared" si="70"/>
        <v>28.846877933501812</v>
      </c>
      <c r="F83" s="257">
        <f t="shared" si="70"/>
        <v>15.943186241923419</v>
      </c>
      <c r="G83" s="257">
        <f t="shared" si="70"/>
        <v>0</v>
      </c>
      <c r="H83" s="257">
        <f t="shared" si="70"/>
        <v>3.8949641480000001</v>
      </c>
      <c r="I83" s="257">
        <f t="shared" si="70"/>
        <v>8.5262925959999993</v>
      </c>
      <c r="J83" s="257">
        <f t="shared" si="70"/>
        <v>3.8544936840000004</v>
      </c>
      <c r="K83" s="257">
        <f t="shared" si="70"/>
        <v>2.1555739800000002</v>
      </c>
      <c r="L83" s="257">
        <f t="shared" si="70"/>
        <v>9.515500838988169</v>
      </c>
      <c r="M83" s="257">
        <f t="shared" si="70"/>
        <v>20.786661699021383</v>
      </c>
      <c r="N83" s="257">
        <f t="shared" si="70"/>
        <v>20.062914336578995</v>
      </c>
      <c r="O83" s="257">
        <f t="shared" si="70"/>
        <v>11.929491108000001</v>
      </c>
      <c r="P83" s="257">
        <f t="shared" si="70"/>
        <v>13.774999060000003</v>
      </c>
      <c r="Q83" s="257">
        <f t="shared" si="70"/>
        <v>0.93802039199999998</v>
      </c>
      <c r="R83" s="257">
        <f t="shared" si="70"/>
        <v>125.82471296814587</v>
      </c>
      <c r="S83" s="257">
        <f t="shared" si="70"/>
        <v>0</v>
      </c>
      <c r="T83" s="257">
        <f t="shared" si="70"/>
        <v>71.762890779012551</v>
      </c>
      <c r="U83" s="257">
        <f t="shared" si="70"/>
        <v>479.64992965990211</v>
      </c>
      <c r="V83" s="203"/>
      <c r="W83" s="203"/>
      <c r="AQ83" s="104" t="s">
        <v>603</v>
      </c>
      <c r="AR83" s="100" t="s">
        <v>604</v>
      </c>
      <c r="AS83" s="134">
        <v>0</v>
      </c>
      <c r="AT83" s="134">
        <v>0</v>
      </c>
      <c r="AU83" s="134">
        <v>0</v>
      </c>
      <c r="AV83" s="134">
        <v>0</v>
      </c>
    </row>
    <row r="84" spans="1:48" ht="14.25" customHeight="1">
      <c r="A84" s="203"/>
      <c r="B84" s="203"/>
      <c r="C84" s="203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03"/>
      <c r="W84" s="203"/>
      <c r="AQ84" s="104" t="s">
        <v>605</v>
      </c>
      <c r="AR84" s="100" t="s">
        <v>610</v>
      </c>
      <c r="AS84" s="134">
        <v>0</v>
      </c>
      <c r="AT84" s="134">
        <v>0</v>
      </c>
      <c r="AU84" s="134">
        <v>0</v>
      </c>
      <c r="AV84" s="134">
        <v>0</v>
      </c>
    </row>
    <row r="85" spans="1:48" ht="14.25" customHeight="1">
      <c r="A85" s="203"/>
      <c r="B85" s="203"/>
      <c r="C85" s="203"/>
      <c r="D85" s="258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03"/>
      <c r="W85" s="203"/>
      <c r="AQ85" s="104" t="s">
        <v>613</v>
      </c>
      <c r="AR85" s="100" t="s">
        <v>614</v>
      </c>
      <c r="AS85" s="134">
        <v>0</v>
      </c>
      <c r="AT85" s="134">
        <v>0</v>
      </c>
      <c r="AU85" s="134">
        <v>0</v>
      </c>
      <c r="AV85" s="134">
        <v>0</v>
      </c>
    </row>
    <row r="86" spans="1:48" ht="14.25" customHeight="1">
      <c r="A86" s="203"/>
      <c r="B86" s="203"/>
      <c r="C86" s="203"/>
      <c r="D86" s="257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03"/>
      <c r="W86" s="203"/>
      <c r="AQ86" s="104" t="s">
        <v>844</v>
      </c>
      <c r="AR86" s="100" t="s">
        <v>807</v>
      </c>
      <c r="AS86" s="134">
        <v>0.15198083999999845</v>
      </c>
      <c r="AT86" s="134">
        <v>0.79199999999999626</v>
      </c>
      <c r="AU86" s="134">
        <v>0</v>
      </c>
      <c r="AV86" s="134">
        <v>0.14997117600000021</v>
      </c>
    </row>
    <row r="87" spans="1:48" ht="14.25" customHeight="1">
      <c r="A87" s="203"/>
      <c r="B87" s="203"/>
      <c r="C87" s="203"/>
      <c r="D87" s="258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258"/>
      <c r="P87" s="258"/>
      <c r="Q87" s="258"/>
      <c r="R87" s="258"/>
      <c r="S87" s="258"/>
      <c r="T87" s="258"/>
      <c r="U87" s="258"/>
      <c r="V87" s="203"/>
      <c r="W87" s="203"/>
      <c r="AQ87" s="473"/>
      <c r="AR87" s="100" t="s">
        <v>615</v>
      </c>
      <c r="AS87" s="137">
        <v>10.332478115999997</v>
      </c>
      <c r="AT87" s="137">
        <v>4.0715999999999966</v>
      </c>
      <c r="AU87" s="137">
        <v>4.0143965985540007</v>
      </c>
      <c r="AV87" s="137">
        <v>3.4753708634760008</v>
      </c>
    </row>
    <row r="88" spans="1:48" ht="14.25" customHeight="1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48" ht="14.25" customHeight="1"/>
    <row r="90" spans="1:48" ht="14.25" customHeight="1"/>
  </sheetData>
  <phoneticPr fontId="0" type="noConversion"/>
  <pageMargins left="0.35433070866141736" right="0.35433070866141736" top="0.39370078740157483" bottom="0.39370078740157483" header="0.51181102362204722" footer="0.51181102362204722"/>
  <pageSetup scale="56" orientation="landscape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AB134"/>
  <sheetViews>
    <sheetView showGridLines="0" showRowColHeaders="0" showZeros="0" showOutlineSymbols="0" topLeftCell="IV65536" zoomScale="75" workbookViewId="0">
      <selection activeCell="Q8" sqref="Q8:R8 D27:G27 I27:S27 U27 G33 C34:G34 J34:R34 T34:V34 X34 X58:Y60 F58:F61 Y63 Y64:Z64 F63:F66 X66:X69 F68:F70 Y66:Y73 X74:Y74 F72:F76 Y78:Y80 F78:F81 V88:V90"/>
    </sheetView>
  </sheetViews>
  <sheetFormatPr defaultColWidth="0" defaultRowHeight="12.75" zeroHeight="1"/>
  <cols>
    <col min="1" max="16384" width="0" style="613" hidden="1"/>
  </cols>
  <sheetData>
    <row r="3" spans="2:24" hidden="1">
      <c r="B3" s="612" t="s">
        <v>260</v>
      </c>
      <c r="C3" s="612" t="str">
        <f>Region</f>
        <v>FIN</v>
      </c>
      <c r="N3" s="612" t="s">
        <v>539</v>
      </c>
      <c r="O3" s="613" t="s">
        <v>403</v>
      </c>
      <c r="P3" s="613" t="s">
        <v>675</v>
      </c>
      <c r="R3" s="612" t="s">
        <v>537</v>
      </c>
      <c r="W3" s="612" t="s">
        <v>1319</v>
      </c>
    </row>
    <row r="4" spans="2:24" hidden="1">
      <c r="B4" s="613" t="s">
        <v>465</v>
      </c>
      <c r="C4" s="614">
        <f>MATCH(C3,B9:B26,0)</f>
        <v>15</v>
      </c>
      <c r="N4" s="615">
        <v>1</v>
      </c>
      <c r="O4" s="616">
        <v>9</v>
      </c>
      <c r="P4" s="617">
        <v>1.6</v>
      </c>
      <c r="R4" s="613" t="s">
        <v>538</v>
      </c>
      <c r="S4" s="618">
        <v>0.65</v>
      </c>
      <c r="W4" s="619" t="b">
        <f>C3="FIN"</f>
        <v>1</v>
      </c>
    </row>
    <row r="5" spans="2:24" hidden="1">
      <c r="B5" s="613" t="s">
        <v>467</v>
      </c>
      <c r="C5" s="614">
        <v>2010</v>
      </c>
      <c r="N5" s="622">
        <v>2</v>
      </c>
      <c r="O5" s="623">
        <v>10.5</v>
      </c>
      <c r="P5" s="624">
        <v>1.5</v>
      </c>
    </row>
    <row r="6" spans="2:24" hidden="1">
      <c r="N6" s="625">
        <v>3</v>
      </c>
      <c r="O6" s="626">
        <v>11.3</v>
      </c>
      <c r="P6" s="627">
        <v>0.5</v>
      </c>
      <c r="W6" s="613" t="s">
        <v>501</v>
      </c>
    </row>
    <row r="7" spans="2:24" ht="18" hidden="1">
      <c r="C7" s="628" t="s">
        <v>1318</v>
      </c>
      <c r="D7" s="629" t="s">
        <v>181</v>
      </c>
      <c r="E7" s="629"/>
      <c r="F7" s="629"/>
      <c r="G7" s="629"/>
      <c r="H7" s="629"/>
      <c r="I7" s="629"/>
      <c r="J7" s="629"/>
    </row>
    <row r="8" spans="2:24" ht="15" hidden="1">
      <c r="B8" s="629" t="s">
        <v>466</v>
      </c>
      <c r="C8" s="627"/>
      <c r="D8" s="613" t="s">
        <v>213</v>
      </c>
      <c r="E8" s="613" t="s">
        <v>367</v>
      </c>
      <c r="F8" s="613" t="s">
        <v>365</v>
      </c>
      <c r="G8" s="613" t="s">
        <v>409</v>
      </c>
      <c r="H8" s="613" t="s">
        <v>215</v>
      </c>
      <c r="I8" s="613" t="s">
        <v>217</v>
      </c>
      <c r="J8" s="613" t="s">
        <v>411</v>
      </c>
      <c r="K8" s="613" t="s">
        <v>361</v>
      </c>
      <c r="L8" s="613" t="s">
        <v>363</v>
      </c>
      <c r="M8" s="613" t="s">
        <v>221</v>
      </c>
      <c r="N8" s="613" t="s">
        <v>369</v>
      </c>
      <c r="O8" s="613" t="s">
        <v>404</v>
      </c>
      <c r="P8" s="613" t="s">
        <v>405</v>
      </c>
      <c r="Q8" s="630" t="s">
        <v>359</v>
      </c>
      <c r="R8" s="630" t="s">
        <v>253</v>
      </c>
      <c r="S8" s="630" t="s">
        <v>357</v>
      </c>
      <c r="T8" s="613" t="s">
        <v>540</v>
      </c>
      <c r="U8" s="630" t="s">
        <v>354</v>
      </c>
      <c r="X8" s="613" t="s">
        <v>448</v>
      </c>
    </row>
    <row r="9" spans="2:24" hidden="1">
      <c r="B9" s="631" t="s">
        <v>264</v>
      </c>
      <c r="C9" s="632">
        <v>2.3824151810308098</v>
      </c>
      <c r="D9" s="633">
        <f t="shared" ref="D9:D26" si="0">D$27+$C9</f>
        <v>11.38241518103081</v>
      </c>
      <c r="E9" s="634"/>
      <c r="F9" s="634"/>
      <c r="G9" s="634"/>
      <c r="H9" s="634"/>
      <c r="I9" s="634"/>
      <c r="J9" s="634"/>
      <c r="K9" s="634"/>
      <c r="L9" s="635"/>
      <c r="M9" s="634"/>
      <c r="N9" s="634"/>
      <c r="O9" s="634"/>
      <c r="P9" s="617"/>
      <c r="Q9" s="616">
        <v>14.831250000000001</v>
      </c>
      <c r="R9" s="636">
        <v>7.9860576923076927</v>
      </c>
      <c r="S9" s="634">
        <v>15</v>
      </c>
      <c r="T9" s="634">
        <v>-2</v>
      </c>
      <c r="U9" s="617"/>
      <c r="W9" s="613" t="s">
        <v>264</v>
      </c>
      <c r="X9" s="637">
        <v>0.81499999999999995</v>
      </c>
    </row>
    <row r="10" spans="2:24" hidden="1">
      <c r="B10" s="638" t="s">
        <v>265</v>
      </c>
      <c r="C10" s="632">
        <v>0.44131278723404144</v>
      </c>
      <c r="D10" s="639">
        <f t="shared" si="0"/>
        <v>9.4413127872340414</v>
      </c>
      <c r="E10" s="630"/>
      <c r="F10" s="630"/>
      <c r="G10" s="630"/>
      <c r="H10" s="630"/>
      <c r="I10" s="630"/>
      <c r="J10" s="630"/>
      <c r="K10" s="630"/>
      <c r="L10" s="640"/>
      <c r="M10" s="630"/>
      <c r="N10" s="630"/>
      <c r="O10" s="630"/>
      <c r="P10" s="624"/>
      <c r="Q10" s="623">
        <v>16.118749999999999</v>
      </c>
      <c r="R10" s="641">
        <v>8.679326923076923</v>
      </c>
      <c r="S10" s="630">
        <v>15</v>
      </c>
      <c r="T10" s="630">
        <v>-2</v>
      </c>
      <c r="U10" s="624"/>
      <c r="W10" s="613" t="s">
        <v>265</v>
      </c>
      <c r="X10" s="642">
        <v>0.81499999999999995</v>
      </c>
    </row>
    <row r="11" spans="2:24" hidden="1">
      <c r="B11" s="638" t="s">
        <v>266</v>
      </c>
      <c r="C11" s="632">
        <v>6.3160634925590582</v>
      </c>
      <c r="D11" s="639">
        <f t="shared" si="0"/>
        <v>15.316063492559058</v>
      </c>
      <c r="E11" s="630"/>
      <c r="F11" s="630"/>
      <c r="G11" s="630"/>
      <c r="H11" s="630"/>
      <c r="I11" s="630"/>
      <c r="J11" s="630"/>
      <c r="K11" s="630"/>
      <c r="L11" s="640"/>
      <c r="M11" s="630"/>
      <c r="N11" s="630"/>
      <c r="O11" s="630"/>
      <c r="P11" s="624"/>
      <c r="Q11" s="623">
        <v>15.268750000000001</v>
      </c>
      <c r="R11" s="641">
        <v>8.221634615384616</v>
      </c>
      <c r="S11" s="630">
        <v>16.899999999999999</v>
      </c>
      <c r="T11" s="630">
        <v>-2</v>
      </c>
      <c r="U11" s="624"/>
      <c r="W11" s="613" t="s">
        <v>266</v>
      </c>
      <c r="X11" s="642">
        <v>0.81499999999999995</v>
      </c>
    </row>
    <row r="12" spans="2:24" hidden="1">
      <c r="B12" s="638" t="s">
        <v>267</v>
      </c>
      <c r="C12" s="632">
        <v>1.5</v>
      </c>
      <c r="D12" s="639">
        <f t="shared" si="0"/>
        <v>10.5</v>
      </c>
      <c r="E12" s="630"/>
      <c r="F12" s="630"/>
      <c r="G12" s="630"/>
      <c r="H12" s="630"/>
      <c r="I12" s="630"/>
      <c r="J12" s="630"/>
      <c r="K12" s="630"/>
      <c r="L12" s="640"/>
      <c r="M12" s="630"/>
      <c r="N12" s="630"/>
      <c r="O12" s="630"/>
      <c r="P12" s="624">
        <v>30</v>
      </c>
      <c r="Q12" s="623">
        <v>16.118749999999999</v>
      </c>
      <c r="R12" s="641">
        <v>8.679326923076923</v>
      </c>
      <c r="S12" s="630">
        <v>27.8</v>
      </c>
      <c r="T12" s="630">
        <v>-2</v>
      </c>
      <c r="U12" s="624"/>
      <c r="W12" s="613" t="s">
        <v>267</v>
      </c>
      <c r="X12" s="642">
        <v>0.81499999999999995</v>
      </c>
    </row>
    <row r="13" spans="2:24" hidden="1">
      <c r="B13" s="638" t="s">
        <v>1094</v>
      </c>
      <c r="C13" s="632">
        <v>3.0710785726744181</v>
      </c>
      <c r="D13" s="639">
        <f t="shared" si="0"/>
        <v>12.071078572674418</v>
      </c>
      <c r="E13" s="630"/>
      <c r="F13" s="630"/>
      <c r="G13" s="630"/>
      <c r="H13" s="630"/>
      <c r="I13" s="630"/>
      <c r="J13" s="630"/>
      <c r="K13" s="630"/>
      <c r="L13" s="640"/>
      <c r="M13" s="630"/>
      <c r="N13" s="630"/>
      <c r="O13" s="630"/>
      <c r="P13" s="624"/>
      <c r="Q13" s="623">
        <v>16.118749999999999</v>
      </c>
      <c r="R13" s="641">
        <v>8.679326923076923</v>
      </c>
      <c r="S13" s="630">
        <v>18.899999999999999</v>
      </c>
      <c r="T13" s="630">
        <v>-2</v>
      </c>
      <c r="U13" s="624"/>
      <c r="W13" s="613" t="s">
        <v>1094</v>
      </c>
      <c r="X13" s="642">
        <v>0.81499999999999995</v>
      </c>
    </row>
    <row r="14" spans="2:24" hidden="1">
      <c r="B14" s="638" t="s">
        <v>268</v>
      </c>
      <c r="C14" s="632">
        <v>2.8065256804612435</v>
      </c>
      <c r="D14" s="639">
        <f t="shared" si="0"/>
        <v>11.806525680461244</v>
      </c>
      <c r="E14" s="630"/>
      <c r="F14" s="630"/>
      <c r="G14" s="630"/>
      <c r="H14" s="630"/>
      <c r="I14" s="630"/>
      <c r="J14" s="630"/>
      <c r="K14" s="630"/>
      <c r="L14" s="640"/>
      <c r="M14" s="630"/>
      <c r="N14" s="630"/>
      <c r="O14" s="630"/>
      <c r="P14" s="624"/>
      <c r="Q14" s="623">
        <v>16.118749999999999</v>
      </c>
      <c r="R14" s="641">
        <v>8.679326923076923</v>
      </c>
      <c r="S14" s="630">
        <v>22.6</v>
      </c>
      <c r="T14" s="630">
        <v>-3</v>
      </c>
      <c r="U14" s="624"/>
      <c r="W14" s="613" t="s">
        <v>268</v>
      </c>
      <c r="X14" s="642">
        <v>0.81499999999999995</v>
      </c>
    </row>
    <row r="15" spans="2:24" hidden="1">
      <c r="B15" s="638" t="s">
        <v>269</v>
      </c>
      <c r="C15" s="632">
        <v>0</v>
      </c>
      <c r="D15" s="639">
        <f t="shared" si="0"/>
        <v>9</v>
      </c>
      <c r="E15" s="630"/>
      <c r="F15" s="630"/>
      <c r="G15" s="630"/>
      <c r="H15" s="630"/>
      <c r="I15" s="630"/>
      <c r="J15" s="630"/>
      <c r="K15" s="630"/>
      <c r="L15" s="640"/>
      <c r="M15" s="630"/>
      <c r="N15" s="630"/>
      <c r="O15" s="630"/>
      <c r="P15" s="624"/>
      <c r="Q15" s="623">
        <v>16.118749999999999</v>
      </c>
      <c r="R15" s="641">
        <v>8.679326923076923</v>
      </c>
      <c r="S15" s="630">
        <v>22.3</v>
      </c>
      <c r="T15" s="630">
        <v>-2</v>
      </c>
      <c r="U15" s="624"/>
      <c r="W15" s="613" t="s">
        <v>269</v>
      </c>
      <c r="X15" s="642">
        <v>0.81499999999999995</v>
      </c>
    </row>
    <row r="16" spans="2:24" hidden="1">
      <c r="B16" s="638" t="s">
        <v>1095</v>
      </c>
      <c r="C16" s="632">
        <v>0</v>
      </c>
      <c r="D16" s="639">
        <f t="shared" si="0"/>
        <v>9</v>
      </c>
      <c r="E16" s="630"/>
      <c r="F16" s="630"/>
      <c r="G16" s="630"/>
      <c r="H16" s="630"/>
      <c r="I16" s="630"/>
      <c r="J16" s="630"/>
      <c r="K16" s="630"/>
      <c r="L16" s="640"/>
      <c r="M16" s="630"/>
      <c r="N16" s="630"/>
      <c r="O16" s="630"/>
      <c r="P16" s="624">
        <v>20</v>
      </c>
      <c r="Q16" s="623">
        <v>16.118749999999999</v>
      </c>
      <c r="R16" s="641">
        <v>8.679326923076923</v>
      </c>
      <c r="S16" s="630">
        <v>16.899999999999999</v>
      </c>
      <c r="T16" s="630">
        <v>-1</v>
      </c>
      <c r="U16" s="624"/>
      <c r="W16" s="613" t="s">
        <v>1095</v>
      </c>
      <c r="X16" s="642">
        <v>0.81499999999999995</v>
      </c>
    </row>
    <row r="17" spans="2:24" hidden="1">
      <c r="B17" s="638" t="s">
        <v>1096</v>
      </c>
      <c r="C17" s="632">
        <v>4.8882345549473687</v>
      </c>
      <c r="D17" s="639">
        <f t="shared" si="0"/>
        <v>13.888234554947369</v>
      </c>
      <c r="E17" s="630"/>
      <c r="F17" s="630"/>
      <c r="G17" s="630"/>
      <c r="H17" s="630"/>
      <c r="I17" s="630"/>
      <c r="J17" s="630"/>
      <c r="K17" s="630"/>
      <c r="L17" s="640"/>
      <c r="M17" s="630"/>
      <c r="N17" s="630"/>
      <c r="O17" s="630"/>
      <c r="P17" s="624"/>
      <c r="Q17" s="623">
        <v>15.0375</v>
      </c>
      <c r="R17" s="641">
        <v>8.0971153846153836</v>
      </c>
      <c r="S17" s="630">
        <v>15</v>
      </c>
      <c r="T17" s="630">
        <v>-2</v>
      </c>
      <c r="U17" s="624"/>
      <c r="W17" s="613" t="s">
        <v>1096</v>
      </c>
      <c r="X17" s="642">
        <v>0.81499999999999995</v>
      </c>
    </row>
    <row r="18" spans="2:24" hidden="1">
      <c r="B18" s="638" t="s">
        <v>270</v>
      </c>
      <c r="C18" s="632">
        <v>0</v>
      </c>
      <c r="D18" s="639">
        <f t="shared" si="0"/>
        <v>9</v>
      </c>
      <c r="E18" s="630"/>
      <c r="F18" s="630"/>
      <c r="G18" s="630"/>
      <c r="H18" s="630"/>
      <c r="I18" s="630"/>
      <c r="J18" s="630"/>
      <c r="K18" s="630"/>
      <c r="L18" s="640"/>
      <c r="M18" s="630"/>
      <c r="N18" s="630"/>
      <c r="O18" s="630"/>
      <c r="P18" s="624"/>
      <c r="Q18" s="623">
        <v>14.96875</v>
      </c>
      <c r="R18" s="641">
        <v>8.0600961538461533</v>
      </c>
      <c r="S18" s="630">
        <v>15</v>
      </c>
      <c r="T18" s="630">
        <v>-2</v>
      </c>
      <c r="U18" s="624"/>
      <c r="W18" s="613" t="s">
        <v>270</v>
      </c>
      <c r="X18" s="642">
        <v>0.81499999999999995</v>
      </c>
    </row>
    <row r="19" spans="2:24" hidden="1">
      <c r="B19" s="638" t="s">
        <v>271</v>
      </c>
      <c r="C19" s="632">
        <v>2.9238104477611913</v>
      </c>
      <c r="D19" s="639">
        <f t="shared" si="0"/>
        <v>11.923810447761191</v>
      </c>
      <c r="E19" s="630"/>
      <c r="F19" s="630"/>
      <c r="G19" s="630"/>
      <c r="H19" s="630"/>
      <c r="I19" s="630"/>
      <c r="J19" s="630"/>
      <c r="K19" s="630"/>
      <c r="L19" s="640"/>
      <c r="M19" s="630"/>
      <c r="N19" s="630"/>
      <c r="O19" s="630"/>
      <c r="P19" s="624"/>
      <c r="Q19" s="623">
        <v>16.118749999999999</v>
      </c>
      <c r="R19" s="641">
        <v>8.679326923076923</v>
      </c>
      <c r="S19" s="630">
        <v>16</v>
      </c>
      <c r="T19" s="630">
        <v>-2</v>
      </c>
      <c r="U19" s="624"/>
      <c r="W19" s="613" t="s">
        <v>271</v>
      </c>
      <c r="X19" s="642">
        <v>0.81499999999999995</v>
      </c>
    </row>
    <row r="20" spans="2:24" hidden="1">
      <c r="B20" s="638" t="s">
        <v>563</v>
      </c>
      <c r="C20" s="632">
        <v>4.618240189720682</v>
      </c>
      <c r="D20" s="639">
        <f t="shared" si="0"/>
        <v>13.618240189720682</v>
      </c>
      <c r="E20" s="630"/>
      <c r="F20" s="630">
        <v>5.5</v>
      </c>
      <c r="G20" s="630"/>
      <c r="H20" s="630"/>
      <c r="I20" s="630"/>
      <c r="J20" s="630"/>
      <c r="K20" s="630"/>
      <c r="L20" s="640"/>
      <c r="M20" s="630"/>
      <c r="N20" s="630"/>
      <c r="O20" s="630"/>
      <c r="P20" s="624">
        <v>60</v>
      </c>
      <c r="Q20" s="623">
        <v>15.268750000000001</v>
      </c>
      <c r="R20" s="641">
        <v>8.221634615384616</v>
      </c>
      <c r="S20" s="630">
        <v>16.899999999999999</v>
      </c>
      <c r="T20" s="630">
        <v>-2</v>
      </c>
      <c r="U20" s="624"/>
      <c r="W20" s="613" t="s">
        <v>563</v>
      </c>
      <c r="X20" s="642">
        <v>0.81499999999999995</v>
      </c>
    </row>
    <row r="21" spans="2:24" hidden="1">
      <c r="B21" s="638" t="s">
        <v>705</v>
      </c>
      <c r="C21" s="632">
        <v>1.3674422515096658</v>
      </c>
      <c r="D21" s="639">
        <f t="shared" si="0"/>
        <v>10.367442251509665</v>
      </c>
      <c r="E21" s="630"/>
      <c r="F21" s="630"/>
      <c r="G21" s="630"/>
      <c r="H21" s="630"/>
      <c r="I21" s="630"/>
      <c r="J21" s="630"/>
      <c r="K21" s="630"/>
      <c r="L21" s="640"/>
      <c r="M21" s="630"/>
      <c r="N21" s="630"/>
      <c r="O21" s="630"/>
      <c r="P21" s="624"/>
      <c r="Q21" s="623">
        <v>15.956250000000001</v>
      </c>
      <c r="R21" s="641">
        <v>8.5918269230769226</v>
      </c>
      <c r="S21" s="630">
        <v>14</v>
      </c>
      <c r="T21" s="630">
        <v>-3</v>
      </c>
      <c r="U21" s="624"/>
      <c r="W21" s="613" t="s">
        <v>705</v>
      </c>
      <c r="X21" s="642">
        <v>0.81499999999999995</v>
      </c>
    </row>
    <row r="22" spans="2:24" hidden="1">
      <c r="B22" s="638" t="s">
        <v>1097</v>
      </c>
      <c r="C22" s="632">
        <v>0</v>
      </c>
      <c r="D22" s="639">
        <f t="shared" si="0"/>
        <v>9</v>
      </c>
      <c r="E22" s="630"/>
      <c r="F22" s="630">
        <v>5.9</v>
      </c>
      <c r="G22" s="630"/>
      <c r="H22" s="630"/>
      <c r="I22" s="630"/>
      <c r="J22" s="630"/>
      <c r="K22" s="630"/>
      <c r="L22" s="640"/>
      <c r="M22" s="630"/>
      <c r="N22" s="630">
        <f>N23</f>
        <v>23.3</v>
      </c>
      <c r="O22" s="630"/>
      <c r="P22" s="624"/>
      <c r="Q22" s="623">
        <v>15.956250000000001</v>
      </c>
      <c r="R22" s="641">
        <v>8.5918269230769226</v>
      </c>
      <c r="S22" s="630">
        <v>14</v>
      </c>
      <c r="T22" s="630">
        <v>-2</v>
      </c>
      <c r="U22" s="624"/>
      <c r="W22" s="613" t="s">
        <v>1097</v>
      </c>
      <c r="X22" s="642">
        <v>0.81499999999999995</v>
      </c>
    </row>
    <row r="23" spans="2:24" hidden="1">
      <c r="B23" s="638" t="s">
        <v>86</v>
      </c>
      <c r="C23" s="632">
        <v>-1.8</v>
      </c>
      <c r="D23" s="639">
        <f t="shared" si="0"/>
        <v>7.2</v>
      </c>
      <c r="E23" s="630"/>
      <c r="F23" s="630">
        <v>5.9</v>
      </c>
      <c r="G23" s="630">
        <v>33</v>
      </c>
      <c r="H23" s="630"/>
      <c r="I23" s="630"/>
      <c r="J23" s="630"/>
      <c r="K23" s="630"/>
      <c r="L23" s="640"/>
      <c r="M23" s="630"/>
      <c r="N23" s="630">
        <f>12.5+N29</f>
        <v>23.3</v>
      </c>
      <c r="O23" s="630"/>
      <c r="P23" s="624"/>
      <c r="Q23" s="623">
        <v>15.956250000000001</v>
      </c>
      <c r="R23" s="641">
        <v>8.5918269230769226</v>
      </c>
      <c r="S23" s="630">
        <v>14</v>
      </c>
      <c r="T23" s="630">
        <v>-2</v>
      </c>
      <c r="U23" s="624"/>
      <c r="W23" s="613" t="s">
        <v>86</v>
      </c>
      <c r="X23" s="642">
        <v>0.81499999999999995</v>
      </c>
    </row>
    <row r="24" spans="2:24" hidden="1">
      <c r="B24" s="638" t="s">
        <v>1098</v>
      </c>
      <c r="C24" s="632">
        <v>1</v>
      </c>
      <c r="D24" s="639">
        <f t="shared" si="0"/>
        <v>10</v>
      </c>
      <c r="E24" s="630"/>
      <c r="F24" s="630">
        <v>5.9</v>
      </c>
      <c r="G24" s="630">
        <v>31</v>
      </c>
      <c r="H24" s="630"/>
      <c r="I24" s="630"/>
      <c r="J24" s="630"/>
      <c r="K24" s="630"/>
      <c r="L24" s="640"/>
      <c r="M24" s="630">
        <v>60</v>
      </c>
      <c r="N24" s="630">
        <f>N23</f>
        <v>23.3</v>
      </c>
      <c r="O24" s="630"/>
      <c r="P24" s="624"/>
      <c r="Q24" s="623">
        <v>15.956250000000001</v>
      </c>
      <c r="R24" s="641">
        <v>8.5918269230769226</v>
      </c>
      <c r="S24" s="630">
        <v>14</v>
      </c>
      <c r="T24" s="630">
        <v>-2</v>
      </c>
      <c r="U24" s="624"/>
      <c r="W24" s="613" t="s">
        <v>1098</v>
      </c>
      <c r="X24" s="642">
        <v>0.81499999999999995</v>
      </c>
    </row>
    <row r="25" spans="2:24" hidden="1">
      <c r="B25" s="638" t="s">
        <v>1099</v>
      </c>
      <c r="C25" s="632">
        <v>-1.8</v>
      </c>
      <c r="D25" s="639">
        <f t="shared" si="0"/>
        <v>7.2</v>
      </c>
      <c r="E25" s="630"/>
      <c r="F25" s="630">
        <v>5.9</v>
      </c>
      <c r="G25" s="630">
        <v>33</v>
      </c>
      <c r="H25" s="630"/>
      <c r="I25" s="630"/>
      <c r="J25" s="630"/>
      <c r="K25" s="630"/>
      <c r="L25" s="640"/>
      <c r="M25" s="630">
        <v>65</v>
      </c>
      <c r="N25" s="630">
        <f>N23</f>
        <v>23.3</v>
      </c>
      <c r="O25" s="630"/>
      <c r="P25" s="624"/>
      <c r="Q25" s="623">
        <v>15.956250000000001</v>
      </c>
      <c r="R25" s="641">
        <v>8.5918269230769226</v>
      </c>
      <c r="S25" s="630">
        <v>14</v>
      </c>
      <c r="T25" s="630">
        <v>-2</v>
      </c>
      <c r="U25" s="624"/>
      <c r="W25" s="613" t="s">
        <v>1099</v>
      </c>
      <c r="X25" s="642">
        <v>0.81499999999999995</v>
      </c>
    </row>
    <row r="26" spans="2:24" hidden="1">
      <c r="B26" s="643" t="s">
        <v>1341</v>
      </c>
      <c r="C26" s="644">
        <v>3.0710785726744181</v>
      </c>
      <c r="D26" s="645">
        <f t="shared" si="0"/>
        <v>12.071078572674418</v>
      </c>
      <c r="E26" s="646"/>
      <c r="F26" s="646"/>
      <c r="G26" s="646"/>
      <c r="H26" s="646"/>
      <c r="I26" s="646"/>
      <c r="J26" s="646"/>
      <c r="K26" s="646"/>
      <c r="L26" s="647"/>
      <c r="M26" s="646"/>
      <c r="N26" s="646"/>
      <c r="O26" s="646"/>
      <c r="P26" s="627"/>
      <c r="Q26" s="626">
        <v>16.118749999999999</v>
      </c>
      <c r="R26" s="648">
        <v>8.679326923076923</v>
      </c>
      <c r="S26" s="646">
        <v>18.899999999999999</v>
      </c>
      <c r="T26" s="646">
        <v>-2</v>
      </c>
      <c r="U26" s="627"/>
      <c r="W26" s="613" t="s">
        <v>1341</v>
      </c>
      <c r="X26" s="649">
        <v>0.82</v>
      </c>
    </row>
    <row r="27" spans="2:24" hidden="1">
      <c r="C27" s="650" t="s">
        <v>401</v>
      </c>
      <c r="D27" s="640">
        <v>9</v>
      </c>
      <c r="E27" s="651">
        <v>16.600000000000001</v>
      </c>
      <c r="F27" s="651">
        <v>5</v>
      </c>
      <c r="G27" s="651">
        <v>32.6</v>
      </c>
      <c r="H27" s="651">
        <f>5.1+0.14*3.6</f>
        <v>5.6040000000000001</v>
      </c>
      <c r="I27" s="651">
        <f>3+0.14*3.6</f>
        <v>3.504</v>
      </c>
      <c r="J27" s="651">
        <f>4.4+0.075*3.6</f>
        <v>4.67</v>
      </c>
      <c r="K27" s="651">
        <f>3.8+0.94+0.25</f>
        <v>4.99</v>
      </c>
      <c r="L27" s="651">
        <v>3</v>
      </c>
      <c r="M27" s="651">
        <f>15*3.6 + 18 + 0.4*(2.5+0.14*3.6) + 7.4</f>
        <v>80.601600000000005</v>
      </c>
      <c r="N27" s="651">
        <f>14.3+3*3.6</f>
        <v>25.1</v>
      </c>
      <c r="O27" s="651">
        <f>4+4*3.6</f>
        <v>18.399999999999999</v>
      </c>
      <c r="P27" s="651">
        <f>10.8+0.28*3.6</f>
        <v>11.808000000000002</v>
      </c>
      <c r="Q27" s="613">
        <v>13</v>
      </c>
      <c r="R27" s="613">
        <v>7</v>
      </c>
      <c r="S27" s="613">
        <f>41.6-21</f>
        <v>20.6</v>
      </c>
      <c r="T27" s="613">
        <f>INDEX($O$4:$P$6,-INDEX(T$9:T$26,RegIndex),2)</f>
        <v>1.5</v>
      </c>
      <c r="U27" s="613">
        <v>10</v>
      </c>
      <c r="W27" s="613" t="s">
        <v>502</v>
      </c>
      <c r="X27" s="649">
        <f>INDEX(X$9:X$26,RegIndex)</f>
        <v>0.81499999999999995</v>
      </c>
    </row>
    <row r="28" spans="2:24" hidden="1">
      <c r="C28" s="613" t="s">
        <v>402</v>
      </c>
      <c r="D28" s="652">
        <f t="array" ref="D28:P28">IF(INDEX($D$9:$P$26,RegIndex,0)&gt;0,INDEX($D$9:$P$26,RegIndex,0),D27:P27)</f>
        <v>7.2</v>
      </c>
      <c r="E28" s="653">
        <v>16.600000000000001</v>
      </c>
      <c r="F28" s="653">
        <v>5.9</v>
      </c>
      <c r="G28" s="653">
        <v>33</v>
      </c>
      <c r="H28" s="653">
        <v>5.6040000000000001</v>
      </c>
      <c r="I28" s="653">
        <v>3.504</v>
      </c>
      <c r="J28" s="653">
        <v>4.67</v>
      </c>
      <c r="K28" s="653">
        <v>4.99</v>
      </c>
      <c r="L28" s="653">
        <v>3</v>
      </c>
      <c r="M28" s="653">
        <v>80.601600000000005</v>
      </c>
      <c r="N28" s="653">
        <v>23.3</v>
      </c>
      <c r="O28" s="653">
        <v>18.399999999999999</v>
      </c>
      <c r="P28" s="653">
        <v>11.808000000000002</v>
      </c>
      <c r="Q28" s="652">
        <f t="array" ref="Q28:U28">IF(INDEX($Q$9:$U$26,RegIndex,0)&gt;0,INDEX($Q$9:$U$26,RegIndex,0),Q27:U27)+IF(Q29:U29&gt;0,Q29:U29,0)</f>
        <v>16.956250000000001</v>
      </c>
      <c r="R28" s="653">
        <v>9.5918269230769226</v>
      </c>
      <c r="S28" s="653">
        <v>18.5</v>
      </c>
      <c r="T28" s="653">
        <v>12</v>
      </c>
      <c r="U28" s="654">
        <v>10.5</v>
      </c>
    </row>
    <row r="29" spans="2:24" hidden="1">
      <c r="C29" s="613" t="s">
        <v>781</v>
      </c>
      <c r="D29" s="652">
        <v>1.25</v>
      </c>
      <c r="E29" s="655">
        <v>3.3</v>
      </c>
      <c r="F29" s="653">
        <f>2.4*0+0.85*3.6</f>
        <v>3.06</v>
      </c>
      <c r="G29" s="653">
        <f>3.3*3.6</f>
        <v>11.879999999999999</v>
      </c>
      <c r="H29" s="653">
        <f>0.145*3.6</f>
        <v>0.52200000000000002</v>
      </c>
      <c r="I29" s="653">
        <f>0.145*3.6</f>
        <v>0.52200000000000002</v>
      </c>
      <c r="J29" s="653">
        <f>0.075*3.6</f>
        <v>0.27</v>
      </c>
      <c r="K29" s="656">
        <f>0.15*3.85+0.52</f>
        <v>1.0975000000000001</v>
      </c>
      <c r="L29" s="653">
        <f>L28*0.14</f>
        <v>0.42000000000000004</v>
      </c>
      <c r="M29" s="653">
        <f>15*3.6+1.4*3.6</f>
        <v>59.04</v>
      </c>
      <c r="N29" s="655">
        <f>3*3.6</f>
        <v>10.8</v>
      </c>
      <c r="O29" s="655">
        <f>4*3.6</f>
        <v>14.4</v>
      </c>
      <c r="P29" s="653">
        <f>P28*0.085</f>
        <v>1.0036800000000001</v>
      </c>
      <c r="Q29" s="657">
        <v>1</v>
      </c>
      <c r="R29" s="655">
        <v>1</v>
      </c>
      <c r="S29" s="655">
        <v>4.5</v>
      </c>
      <c r="T29" s="653">
        <f>INDEX($O$4:$P$6,-INDEX(T$9:T$26,RegIndex),1)</f>
        <v>10.5</v>
      </c>
      <c r="U29" s="658">
        <v>0.5</v>
      </c>
      <c r="W29" s="659" t="s">
        <v>414</v>
      </c>
      <c r="X29" s="660">
        <v>0.86</v>
      </c>
    </row>
    <row r="30" spans="2:24" hidden="1">
      <c r="B30" s="613" t="s">
        <v>374</v>
      </c>
    </row>
    <row r="31" spans="2:24" hidden="1">
      <c r="B31" s="613" t="s">
        <v>373</v>
      </c>
      <c r="C31" s="614">
        <f ca="1">IEA_Year</f>
        <v>2010</v>
      </c>
    </row>
    <row r="32" spans="2:24" hidden="1">
      <c r="C32" s="661" t="s">
        <v>272</v>
      </c>
      <c r="D32" s="662"/>
      <c r="E32" s="662"/>
      <c r="F32" s="662"/>
      <c r="G32" s="661" t="s">
        <v>273</v>
      </c>
      <c r="H32" s="662"/>
      <c r="I32" s="662"/>
      <c r="J32" s="662"/>
      <c r="K32" s="663"/>
      <c r="L32" s="661" t="s">
        <v>274</v>
      </c>
      <c r="M32" s="662"/>
      <c r="N32" s="662"/>
      <c r="O32" s="663"/>
      <c r="P32" s="661" t="s">
        <v>276</v>
      </c>
      <c r="Q32" s="662"/>
      <c r="R32" s="662"/>
      <c r="S32" s="662"/>
      <c r="T32" s="663"/>
      <c r="U32" s="661" t="s">
        <v>275</v>
      </c>
      <c r="V32" s="662"/>
      <c r="W32" s="662"/>
      <c r="X32" s="663"/>
    </row>
    <row r="33" spans="2:24" hidden="1">
      <c r="C33" s="623"/>
      <c r="D33" s="630"/>
      <c r="E33" s="630"/>
      <c r="F33" s="630"/>
      <c r="G33" s="664" t="s">
        <v>277</v>
      </c>
      <c r="H33" s="665"/>
      <c r="I33" s="665"/>
      <c r="J33" s="630"/>
      <c r="K33" s="624"/>
      <c r="L33" s="623"/>
      <c r="M33" s="630"/>
      <c r="N33" s="630"/>
      <c r="O33" s="624"/>
      <c r="P33" s="623"/>
      <c r="Q33" s="630"/>
      <c r="R33" s="630"/>
      <c r="S33" s="630"/>
      <c r="T33" s="624"/>
      <c r="U33" s="623"/>
      <c r="V33" s="630"/>
      <c r="W33" s="630"/>
      <c r="X33" s="624"/>
    </row>
    <row r="34" spans="2:24" hidden="1">
      <c r="B34" s="646" t="s">
        <v>573</v>
      </c>
      <c r="C34" s="626" t="s">
        <v>261</v>
      </c>
      <c r="D34" s="646" t="s">
        <v>262</v>
      </c>
      <c r="E34" s="646" t="s">
        <v>263</v>
      </c>
      <c r="F34" s="624" t="s">
        <v>408</v>
      </c>
      <c r="G34" s="626" t="s">
        <v>214</v>
      </c>
      <c r="H34" s="646" t="s">
        <v>216</v>
      </c>
      <c r="I34" s="646" t="s">
        <v>456</v>
      </c>
      <c r="J34" s="646" t="s">
        <v>218</v>
      </c>
      <c r="K34" s="627" t="s">
        <v>219</v>
      </c>
      <c r="L34" s="626" t="s">
        <v>220</v>
      </c>
      <c r="M34" s="646" t="s">
        <v>222</v>
      </c>
      <c r="N34" s="646" t="s">
        <v>407</v>
      </c>
      <c r="O34" s="627" t="s">
        <v>406</v>
      </c>
      <c r="P34" s="626" t="s">
        <v>251</v>
      </c>
      <c r="Q34" s="646" t="s">
        <v>252</v>
      </c>
      <c r="R34" s="646" t="s">
        <v>254</v>
      </c>
      <c r="S34" s="646" t="s">
        <v>539</v>
      </c>
      <c r="T34" s="627" t="s">
        <v>353</v>
      </c>
      <c r="U34" s="626" t="s">
        <v>250</v>
      </c>
      <c r="V34" s="646" t="s">
        <v>249</v>
      </c>
      <c r="W34" s="646" t="s">
        <v>247</v>
      </c>
      <c r="X34" s="627" t="s">
        <v>338</v>
      </c>
    </row>
    <row r="35" spans="2:24" hidden="1">
      <c r="B35" s="666" t="s">
        <v>264</v>
      </c>
      <c r="C35" s="667">
        <v>5.5259999999999998</v>
      </c>
      <c r="D35" s="668">
        <v>5.3550000000000004</v>
      </c>
      <c r="E35" s="668">
        <v>5.7439999999999998</v>
      </c>
      <c r="F35" s="669">
        <v>4.3011359999999996</v>
      </c>
      <c r="G35" s="667">
        <v>18.9559125</v>
      </c>
      <c r="H35" s="668">
        <v>76.970087500000005</v>
      </c>
      <c r="I35" s="668">
        <v>2.9560040000000001</v>
      </c>
      <c r="J35" s="668">
        <v>4.166693362655784</v>
      </c>
      <c r="K35" s="670">
        <v>45.534128725149159</v>
      </c>
      <c r="L35" s="667">
        <v>1.7270000000000001</v>
      </c>
      <c r="M35" s="668">
        <v>0.71289774193548383</v>
      </c>
      <c r="N35" s="668">
        <v>0.27168799999999999</v>
      </c>
      <c r="O35" s="670">
        <v>0.59699999999999998</v>
      </c>
      <c r="P35" s="671">
        <v>1.3476196248163121</v>
      </c>
      <c r="Q35" s="672">
        <v>0.55369553464237298</v>
      </c>
      <c r="R35" s="672">
        <v>5.5409168571428573</v>
      </c>
      <c r="S35" s="672">
        <v>0.75</v>
      </c>
      <c r="T35" s="669">
        <v>1.4</v>
      </c>
      <c r="U35" s="667">
        <v>3.8214769999999998</v>
      </c>
      <c r="V35" s="668">
        <v>5.9505787945341553E-2</v>
      </c>
      <c r="W35" s="668">
        <v>0.65139735238495478</v>
      </c>
      <c r="X35" s="670">
        <v>8.909685966970371E-2</v>
      </c>
    </row>
    <row r="36" spans="2:24" hidden="1">
      <c r="B36" s="666" t="s">
        <v>265</v>
      </c>
      <c r="C36" s="667">
        <v>6.6870000000000003</v>
      </c>
      <c r="D36" s="668">
        <v>0</v>
      </c>
      <c r="E36" s="668">
        <v>1.462</v>
      </c>
      <c r="F36" s="670">
        <v>0.29699999999999999</v>
      </c>
      <c r="G36" s="667">
        <v>6.3882000000000003</v>
      </c>
      <c r="H36" s="668">
        <v>3.7117999999999993</v>
      </c>
      <c r="I36" s="668">
        <v>2.3376000000000001</v>
      </c>
      <c r="J36" s="668">
        <v>1.2486477336610067</v>
      </c>
      <c r="K36" s="670">
        <v>2.5081507236915805</v>
      </c>
      <c r="L36" s="667">
        <v>2.2719999999999998</v>
      </c>
      <c r="M36" s="668">
        <v>0.41510967741935484</v>
      </c>
      <c r="N36" s="668">
        <v>0.505</v>
      </c>
      <c r="O36" s="670">
        <v>19.956</v>
      </c>
      <c r="P36" s="667">
        <v>0.38136960705938366</v>
      </c>
      <c r="Q36" s="668">
        <v>0.10938727040690761</v>
      </c>
      <c r="R36" s="668">
        <v>1.6121464285714284</v>
      </c>
      <c r="S36" s="668">
        <v>0.1</v>
      </c>
      <c r="T36" s="670">
        <v>1.32</v>
      </c>
      <c r="U36" s="667">
        <v>4.0999999999999996</v>
      </c>
      <c r="V36" s="668">
        <v>0.28048780487804881</v>
      </c>
      <c r="W36" s="668">
        <v>0.41926829268292681</v>
      </c>
      <c r="X36" s="670">
        <v>0.42975609756097549</v>
      </c>
    </row>
    <row r="37" spans="2:24" hidden="1">
      <c r="B37" s="666" t="s">
        <v>266</v>
      </c>
      <c r="C37" s="667">
        <v>7.5090000000000003</v>
      </c>
      <c r="D37" s="668">
        <v>0.6</v>
      </c>
      <c r="E37" s="668">
        <v>4.9039999999999999</v>
      </c>
      <c r="F37" s="670">
        <v>7.2305999999999995E-2</v>
      </c>
      <c r="G37" s="667">
        <v>3.045798</v>
      </c>
      <c r="H37" s="668">
        <v>11.133202000000001</v>
      </c>
      <c r="I37" s="668">
        <v>1.913</v>
      </c>
      <c r="J37" s="668">
        <v>1.8703710250079524</v>
      </c>
      <c r="K37" s="670">
        <v>3.2791692532333023</v>
      </c>
      <c r="L37" s="667">
        <v>2.9632100000000001</v>
      </c>
      <c r="M37" s="668">
        <v>0.30696451612903231</v>
      </c>
      <c r="N37" s="668">
        <v>0.691222</v>
      </c>
      <c r="O37" s="670">
        <v>1.3009999999999999</v>
      </c>
      <c r="P37" s="667">
        <v>7.3500119203127685</v>
      </c>
      <c r="Q37" s="668">
        <v>4.6339933810973699</v>
      </c>
      <c r="R37" s="668">
        <v>4.4045057142857145</v>
      </c>
      <c r="S37" s="668">
        <v>1.1000000000000001</v>
      </c>
      <c r="T37" s="670">
        <v>1.26</v>
      </c>
      <c r="U37" s="667">
        <v>12.733000000000001</v>
      </c>
      <c r="V37" s="668">
        <v>0.69575119767533178</v>
      </c>
      <c r="W37" s="668">
        <v>0.79140815204586512</v>
      </c>
      <c r="X37" s="670">
        <v>1.2840650278803101E-2</v>
      </c>
    </row>
    <row r="38" spans="2:24" hidden="1">
      <c r="B38" s="666" t="s">
        <v>267</v>
      </c>
      <c r="C38" s="667">
        <v>572.42800000000011</v>
      </c>
      <c r="D38" s="668">
        <v>1.075</v>
      </c>
      <c r="E38" s="668">
        <v>65.239999999999995</v>
      </c>
      <c r="F38" s="670">
        <v>26.085599999999999</v>
      </c>
      <c r="G38" s="667">
        <v>12.563964000000002</v>
      </c>
      <c r="H38" s="668">
        <v>1057.2910360000001</v>
      </c>
      <c r="I38" s="668">
        <v>150</v>
      </c>
      <c r="J38" s="668">
        <v>37.096770377599995</v>
      </c>
      <c r="K38" s="670">
        <v>1486.5481676111108</v>
      </c>
      <c r="L38" s="667">
        <v>16.2</v>
      </c>
      <c r="M38" s="668">
        <v>2.8603225806451613</v>
      </c>
      <c r="N38" s="668">
        <v>5.16</v>
      </c>
      <c r="O38" s="670">
        <v>29</v>
      </c>
      <c r="P38" s="667">
        <v>25.789745245519807</v>
      </c>
      <c r="Q38" s="668">
        <v>10</v>
      </c>
      <c r="R38" s="668">
        <v>49.727112857142849</v>
      </c>
      <c r="S38" s="668">
        <v>19</v>
      </c>
      <c r="T38" s="670">
        <v>13.2</v>
      </c>
      <c r="U38" s="667">
        <v>96.501000000000005</v>
      </c>
      <c r="V38" s="668">
        <v>8.9636376825110615E-3</v>
      </c>
      <c r="W38" s="668">
        <v>6.8395146164288448E-2</v>
      </c>
      <c r="X38" s="670">
        <v>0.62</v>
      </c>
    </row>
    <row r="39" spans="2:24" hidden="1">
      <c r="B39" s="666" t="s">
        <v>1094</v>
      </c>
      <c r="C39" s="667">
        <v>85.23</v>
      </c>
      <c r="D39" s="668">
        <v>4.7</v>
      </c>
      <c r="E39" s="668">
        <v>18.27</v>
      </c>
      <c r="F39" s="670">
        <v>5.2006969999999999</v>
      </c>
      <c r="G39" s="667">
        <v>38.947000000000003</v>
      </c>
      <c r="H39" s="668">
        <v>38.947000000000003</v>
      </c>
      <c r="I39" s="668">
        <v>14.807625</v>
      </c>
      <c r="J39" s="668">
        <v>3.9290357557229689</v>
      </c>
      <c r="K39" s="670">
        <v>111.03192742385076</v>
      </c>
      <c r="L39" s="667">
        <v>4.5478120000000004</v>
      </c>
      <c r="M39" s="668">
        <v>1.0351183225806453</v>
      </c>
      <c r="N39" s="668">
        <v>0.598858</v>
      </c>
      <c r="O39" s="670">
        <v>6.03</v>
      </c>
      <c r="P39" s="667">
        <v>9.2351325573264322</v>
      </c>
      <c r="Q39" s="668">
        <v>3.205633474540543</v>
      </c>
      <c r="R39" s="668">
        <v>19.516097142857141</v>
      </c>
      <c r="S39" s="668">
        <v>2.5</v>
      </c>
      <c r="T39" s="670">
        <v>3.15</v>
      </c>
      <c r="U39" s="667">
        <v>9.3232060000000008</v>
      </c>
      <c r="V39" s="668">
        <v>0.19821507751732612</v>
      </c>
      <c r="W39" s="668">
        <v>0.59836712821748228</v>
      </c>
      <c r="X39" s="670">
        <v>0.30404919723966212</v>
      </c>
    </row>
    <row r="40" spans="2:24" hidden="1">
      <c r="B40" s="666" t="s">
        <v>268</v>
      </c>
      <c r="C40" s="667">
        <v>19.078000000000003</v>
      </c>
      <c r="D40" s="668">
        <v>0</v>
      </c>
      <c r="E40" s="668">
        <v>8.827</v>
      </c>
      <c r="F40" s="670">
        <v>0.28920299999999999</v>
      </c>
      <c r="G40" s="667">
        <v>16.897198499999998</v>
      </c>
      <c r="H40" s="668">
        <v>28.567801500000005</v>
      </c>
      <c r="I40" s="668">
        <v>9.7974920000000001</v>
      </c>
      <c r="J40" s="668">
        <v>2.5973066142379886</v>
      </c>
      <c r="K40" s="670">
        <v>50.67047447001277</v>
      </c>
      <c r="L40" s="667">
        <v>0.642177</v>
      </c>
      <c r="M40" s="668">
        <v>0.7145967741935485</v>
      </c>
      <c r="N40" s="668">
        <v>0.22850000000000001</v>
      </c>
      <c r="O40" s="670">
        <v>0.89700000000000002</v>
      </c>
      <c r="P40" s="667">
        <v>1.3602233795237506</v>
      </c>
      <c r="Q40" s="668">
        <v>0.80139653230215857</v>
      </c>
      <c r="R40" s="668">
        <v>6.5507897142857141</v>
      </c>
      <c r="S40" s="668">
        <v>1.0015500000000011</v>
      </c>
      <c r="T40" s="670">
        <v>0.71399999999999997</v>
      </c>
      <c r="U40" s="667">
        <v>8.7010839999999998</v>
      </c>
      <c r="V40" s="668">
        <v>4.2667098490257072E-2</v>
      </c>
      <c r="W40" s="668">
        <v>0.31286584522112415</v>
      </c>
      <c r="X40" s="670">
        <v>0.35646705628861874</v>
      </c>
    </row>
    <row r="41" spans="2:24" hidden="1">
      <c r="B41" s="666" t="s">
        <v>269</v>
      </c>
      <c r="C41" s="667">
        <v>27.676000000000002</v>
      </c>
      <c r="D41" s="668">
        <v>24.831</v>
      </c>
      <c r="E41" s="668">
        <v>16.469000000000001</v>
      </c>
      <c r="F41" s="670">
        <v>2.5226150000000001</v>
      </c>
      <c r="G41" s="667">
        <v>24.9375</v>
      </c>
      <c r="H41" s="668">
        <v>120.0625</v>
      </c>
      <c r="I41" s="668">
        <v>14</v>
      </c>
      <c r="J41" s="668">
        <v>7.8998915677824124</v>
      </c>
      <c r="K41" s="670">
        <v>252.82868924915826</v>
      </c>
      <c r="L41" s="667">
        <v>1.607</v>
      </c>
      <c r="M41" s="668">
        <v>0.65431935483870973</v>
      </c>
      <c r="N41" s="668">
        <v>0.7</v>
      </c>
      <c r="O41" s="670">
        <v>3.64</v>
      </c>
      <c r="P41" s="667">
        <v>5.6885290373903192</v>
      </c>
      <c r="Q41" s="668">
        <v>1.4</v>
      </c>
      <c r="R41" s="668">
        <v>13.992214285714285</v>
      </c>
      <c r="S41" s="668">
        <v>2</v>
      </c>
      <c r="T41" s="670">
        <v>0.56000000000000005</v>
      </c>
      <c r="U41" s="667">
        <v>10.809244</v>
      </c>
      <c r="V41" s="668">
        <v>4.4350927779963148E-2</v>
      </c>
      <c r="W41" s="668">
        <v>0.16913301244749401</v>
      </c>
      <c r="X41" s="670">
        <v>0.48651605977254275</v>
      </c>
    </row>
    <row r="42" spans="2:24" hidden="1">
      <c r="B42" s="666" t="s">
        <v>1095</v>
      </c>
      <c r="C42" s="667">
        <v>119.869</v>
      </c>
      <c r="D42" s="668">
        <v>0</v>
      </c>
      <c r="E42" s="668">
        <v>48.643999999999998</v>
      </c>
      <c r="F42" s="670">
        <v>1.3551900000000001</v>
      </c>
      <c r="G42" s="667">
        <v>3.6305999999999998</v>
      </c>
      <c r="H42" s="668">
        <v>117.38939999999999</v>
      </c>
      <c r="I42" s="668">
        <v>12.946999999999999</v>
      </c>
      <c r="J42" s="668">
        <v>8.0394552104970316</v>
      </c>
      <c r="K42" s="670">
        <v>17.899767052941129</v>
      </c>
      <c r="L42" s="667">
        <v>5.3999999999999999E-2</v>
      </c>
      <c r="M42" s="668">
        <v>1.8572806451612904</v>
      </c>
      <c r="N42" s="668">
        <v>1.3277539999999999</v>
      </c>
      <c r="O42" s="670">
        <v>0.3</v>
      </c>
      <c r="P42" s="667">
        <v>26.140872746596283</v>
      </c>
      <c r="Q42" s="668">
        <v>21.3</v>
      </c>
      <c r="R42" s="668">
        <v>1.4941251428571427</v>
      </c>
      <c r="S42" s="668">
        <v>5</v>
      </c>
      <c r="T42" s="670">
        <v>0.58799999999999997</v>
      </c>
      <c r="U42" s="667">
        <v>39.185000000000002</v>
      </c>
      <c r="V42" s="668">
        <v>2.6615414061503126E-2</v>
      </c>
      <c r="W42" s="668">
        <v>0.23315044021947173</v>
      </c>
      <c r="X42" s="670">
        <v>0.44523414571902509</v>
      </c>
    </row>
    <row r="43" spans="2:24" hidden="1">
      <c r="B43" s="666" t="s">
        <v>1096</v>
      </c>
      <c r="C43" s="667">
        <v>33.933</v>
      </c>
      <c r="D43" s="668">
        <v>12.579000000000001</v>
      </c>
      <c r="E43" s="668">
        <v>15.439</v>
      </c>
      <c r="F43" s="670">
        <v>1.4509839999999998</v>
      </c>
      <c r="G43" s="667">
        <v>30.501324</v>
      </c>
      <c r="H43" s="668">
        <v>101.38367599999999</v>
      </c>
      <c r="I43" s="668">
        <v>16.524999999999999</v>
      </c>
      <c r="J43" s="668">
        <v>8.1831006677647249</v>
      </c>
      <c r="K43" s="670">
        <v>61.871495494949407</v>
      </c>
      <c r="L43" s="667">
        <v>2.2831000000000006</v>
      </c>
      <c r="M43" s="668">
        <v>2.841086387096774</v>
      </c>
      <c r="N43" s="668">
        <v>0.92088800000000004</v>
      </c>
      <c r="O43" s="670">
        <v>13.81</v>
      </c>
      <c r="P43" s="667">
        <v>4.0844902713487956</v>
      </c>
      <c r="Q43" s="668">
        <v>2.0693723314603845</v>
      </c>
      <c r="R43" s="668">
        <v>11.098310459142859</v>
      </c>
      <c r="S43" s="668">
        <v>1.9</v>
      </c>
      <c r="T43" s="670">
        <v>8.5798199999999998</v>
      </c>
      <c r="U43" s="667">
        <v>19.834667</v>
      </c>
      <c r="V43" s="668">
        <v>4.689768676227335E-2</v>
      </c>
      <c r="W43" s="668">
        <v>1.0245765658682346</v>
      </c>
      <c r="X43" s="670">
        <v>0.17309592341530111</v>
      </c>
    </row>
    <row r="44" spans="2:24" hidden="1">
      <c r="B44" s="666" t="s">
        <v>270</v>
      </c>
      <c r="C44" s="667">
        <v>10.388</v>
      </c>
      <c r="D44" s="668">
        <v>17.617000000000001</v>
      </c>
      <c r="E44" s="668">
        <v>21.138000000000002</v>
      </c>
      <c r="F44" s="670">
        <v>0.30360000000000004</v>
      </c>
      <c r="G44" s="667">
        <v>17.0268525</v>
      </c>
      <c r="H44" s="668">
        <v>123.64314749999998</v>
      </c>
      <c r="I44" s="668">
        <v>8.2298970000000011</v>
      </c>
      <c r="J44" s="668">
        <v>3.44756241571864</v>
      </c>
      <c r="K44" s="670">
        <v>72.581826141087987</v>
      </c>
      <c r="L44" s="667">
        <v>3.1376999999999997</v>
      </c>
      <c r="M44" s="668">
        <v>0.22690322580645164</v>
      </c>
      <c r="N44" s="668">
        <v>6.5000000000000002E-2</v>
      </c>
      <c r="O44" s="670">
        <v>0.43</v>
      </c>
      <c r="P44" s="667">
        <v>16.411678374598907</v>
      </c>
      <c r="Q44" s="668">
        <v>3.9</v>
      </c>
      <c r="R44" s="668">
        <v>11.83619657142857</v>
      </c>
      <c r="S44" s="668">
        <v>1.25</v>
      </c>
      <c r="T44" s="670">
        <v>9.92</v>
      </c>
      <c r="U44" s="667">
        <v>4.9451999999999998</v>
      </c>
      <c r="V44" s="668">
        <v>2.0221629054436625E-4</v>
      </c>
      <c r="W44" s="668">
        <v>5.5811696190245084E-2</v>
      </c>
      <c r="X44" s="670">
        <v>0.55000000000000004</v>
      </c>
    </row>
    <row r="45" spans="2:24" hidden="1">
      <c r="B45" s="666" t="s">
        <v>271</v>
      </c>
      <c r="C45" s="667">
        <v>11.347000000000001</v>
      </c>
      <c r="D45" s="668">
        <v>3.6640000000000001</v>
      </c>
      <c r="E45" s="668">
        <v>25.478999999999999</v>
      </c>
      <c r="F45" s="670">
        <v>0.39609800000000001</v>
      </c>
      <c r="G45" s="667">
        <v>14.847987000000002</v>
      </c>
      <c r="H45" s="668">
        <v>172.24701300000001</v>
      </c>
      <c r="I45" s="668">
        <v>3.714</v>
      </c>
      <c r="J45" s="668">
        <v>6.6239820537823002</v>
      </c>
      <c r="K45" s="670">
        <v>50.19947393562358</v>
      </c>
      <c r="L45" s="667">
        <v>0.252</v>
      </c>
      <c r="M45" s="668">
        <v>0.53606777419354845</v>
      </c>
      <c r="N45" s="668">
        <v>0.17499999999999999</v>
      </c>
      <c r="O45" s="670">
        <v>0</v>
      </c>
      <c r="P45" s="667">
        <v>15.145425161682041</v>
      </c>
      <c r="Q45" s="668">
        <v>3.6</v>
      </c>
      <c r="R45" s="668">
        <v>12.067980642857142</v>
      </c>
      <c r="S45" s="668">
        <v>1.2</v>
      </c>
      <c r="T45" s="670">
        <v>2.67</v>
      </c>
      <c r="U45" s="667">
        <v>21.567599999999999</v>
      </c>
      <c r="V45" s="668">
        <v>8.6704130269478295E-3</v>
      </c>
      <c r="W45" s="668">
        <v>0.34453532150076965</v>
      </c>
      <c r="X45" s="670">
        <v>0.34679426547228248</v>
      </c>
    </row>
    <row r="46" spans="2:24" hidden="1">
      <c r="B46" s="666" t="s">
        <v>563</v>
      </c>
      <c r="C46" s="667">
        <v>31.157000000000004</v>
      </c>
      <c r="D46" s="668">
        <v>0</v>
      </c>
      <c r="E46" s="668">
        <v>49.338000000000001</v>
      </c>
      <c r="F46" s="670">
        <v>0.37038099999999996</v>
      </c>
      <c r="G46" s="667">
        <v>8.0722399999999972</v>
      </c>
      <c r="H46" s="668">
        <v>92.830760000000012</v>
      </c>
      <c r="I46" s="668">
        <v>18.3</v>
      </c>
      <c r="J46" s="668">
        <v>22.081616064000002</v>
      </c>
      <c r="K46" s="670">
        <v>30.145299666292551</v>
      </c>
      <c r="L46" s="667">
        <v>1.72573</v>
      </c>
      <c r="M46" s="668">
        <v>0.76387096774193552</v>
      </c>
      <c r="N46" s="668">
        <v>0.249</v>
      </c>
      <c r="O46" s="670">
        <v>3.47</v>
      </c>
      <c r="P46" s="667">
        <v>55.109291701408431</v>
      </c>
      <c r="Q46" s="668">
        <v>34.431062668910862</v>
      </c>
      <c r="R46" s="668">
        <v>10.086561428571427</v>
      </c>
      <c r="S46" s="668">
        <v>10.755000000000001</v>
      </c>
      <c r="T46" s="670">
        <v>2.4</v>
      </c>
      <c r="U46" s="667">
        <v>77.689080000000004</v>
      </c>
      <c r="V46" s="668">
        <v>5.397858231813274E-2</v>
      </c>
      <c r="W46" s="668">
        <v>0.60627359726746666</v>
      </c>
      <c r="X46" s="670">
        <v>0.1447478204144006</v>
      </c>
    </row>
    <row r="47" spans="2:24" hidden="1">
      <c r="B47" s="666" t="s">
        <v>705</v>
      </c>
      <c r="C47" s="667">
        <v>78.447000000000003</v>
      </c>
      <c r="D47" s="668">
        <v>0.44500000000000001</v>
      </c>
      <c r="E47" s="668">
        <v>61.186</v>
      </c>
      <c r="F47" s="670">
        <v>1.067636</v>
      </c>
      <c r="G47" s="667">
        <v>36.385740000000013</v>
      </c>
      <c r="H47" s="668">
        <v>165.75725999999997</v>
      </c>
      <c r="I47" s="668">
        <v>23.622095999999999</v>
      </c>
      <c r="J47" s="668">
        <v>33.54023840867054</v>
      </c>
      <c r="K47" s="670">
        <v>164.43039057847028</v>
      </c>
      <c r="L47" s="667">
        <v>2.6623999999999999</v>
      </c>
      <c r="M47" s="668">
        <v>0.70969032258064524</v>
      </c>
      <c r="N47" s="668">
        <v>1.452</v>
      </c>
      <c r="O47" s="670">
        <v>5.6760000000000002</v>
      </c>
      <c r="P47" s="667">
        <v>38.03769037988571</v>
      </c>
      <c r="Q47" s="668">
        <v>15.717613600224769</v>
      </c>
      <c r="R47" s="668">
        <v>10.808448964714286</v>
      </c>
      <c r="S47" s="668">
        <v>8.9974499999999988</v>
      </c>
      <c r="T47" s="670">
        <v>2.3940000000000006</v>
      </c>
      <c r="U47" s="667">
        <v>64.816688999999997</v>
      </c>
      <c r="V47" s="668">
        <v>6.0548504398303962E-2</v>
      </c>
      <c r="W47" s="668">
        <v>0.13148902129203174</v>
      </c>
      <c r="X47" s="670">
        <v>0.51896247430966425</v>
      </c>
    </row>
    <row r="48" spans="2:24" hidden="1">
      <c r="B48" s="666" t="s">
        <v>1097</v>
      </c>
      <c r="C48" s="667">
        <v>0</v>
      </c>
      <c r="D48" s="668">
        <v>0</v>
      </c>
      <c r="E48" s="668">
        <v>0.3</v>
      </c>
      <c r="F48" s="670">
        <v>0</v>
      </c>
      <c r="G48" s="667">
        <v>1.05</v>
      </c>
      <c r="H48" s="668">
        <v>1.6559999999999999</v>
      </c>
      <c r="I48" s="668">
        <v>6.88E-2</v>
      </c>
      <c r="J48" s="668">
        <v>0.31530301502999997</v>
      </c>
      <c r="K48" s="670">
        <v>3.3033695657142865</v>
      </c>
      <c r="L48" s="667">
        <v>0</v>
      </c>
      <c r="M48" s="668">
        <v>0</v>
      </c>
      <c r="N48" s="668">
        <v>0</v>
      </c>
      <c r="O48" s="670">
        <v>0</v>
      </c>
      <c r="P48" s="667">
        <v>0</v>
      </c>
      <c r="Q48" s="668">
        <v>0</v>
      </c>
      <c r="R48" s="668">
        <v>1.9467428571428571E-3</v>
      </c>
      <c r="S48" s="668">
        <v>0</v>
      </c>
      <c r="T48" s="670">
        <v>0</v>
      </c>
      <c r="U48" s="667">
        <v>0.43493199999999999</v>
      </c>
      <c r="V48" s="668">
        <v>3.1496049957234692E-2</v>
      </c>
      <c r="W48" s="668">
        <v>4.5984199828938777E-3</v>
      </c>
      <c r="X48" s="670">
        <v>0.55000000000000004</v>
      </c>
    </row>
    <row r="49" spans="1:28" hidden="1">
      <c r="B49" s="666" t="s">
        <v>86</v>
      </c>
      <c r="C49" s="667">
        <v>2.7650000000000001</v>
      </c>
      <c r="D49" s="668">
        <v>0</v>
      </c>
      <c r="E49" s="668">
        <v>1.2649999999999999</v>
      </c>
      <c r="F49" s="670">
        <v>0.23799999999999999</v>
      </c>
      <c r="G49" s="667">
        <v>0</v>
      </c>
      <c r="H49" s="668">
        <v>1.357</v>
      </c>
      <c r="I49" s="668">
        <v>0.59539999999999993</v>
      </c>
      <c r="J49" s="668">
        <v>0.31530301502999997</v>
      </c>
      <c r="K49" s="670">
        <v>1.4425438399999995</v>
      </c>
      <c r="L49" s="667">
        <v>0</v>
      </c>
      <c r="M49" s="668">
        <v>0.13470000000000001</v>
      </c>
      <c r="N49" s="668">
        <v>0.30714400000000003</v>
      </c>
      <c r="O49" s="670">
        <v>0</v>
      </c>
      <c r="P49" s="667">
        <v>0.45666179637949766</v>
      </c>
      <c r="Q49" s="668">
        <v>0.1470176811051081</v>
      </c>
      <c r="R49" s="668">
        <v>7.3002857142857133E-2</v>
      </c>
      <c r="S49" s="668">
        <v>0.09</v>
      </c>
      <c r="T49" s="670">
        <v>0</v>
      </c>
      <c r="U49" s="667">
        <f>11.758</f>
        <v>11.757999999999999</v>
      </c>
      <c r="V49" s="668">
        <v>0.28432946079265181</v>
      </c>
      <c r="W49" s="668">
        <v>0.60935994216703526</v>
      </c>
      <c r="X49" s="670">
        <v>4.5210597040312939E-2</v>
      </c>
    </row>
    <row r="50" spans="1:28" hidden="1">
      <c r="B50" s="666" t="s">
        <v>1098</v>
      </c>
      <c r="C50" s="667">
        <v>0</v>
      </c>
      <c r="D50" s="668">
        <v>0</v>
      </c>
      <c r="E50" s="668">
        <v>0.52</v>
      </c>
      <c r="F50" s="670">
        <v>1.0760000000000001</v>
      </c>
      <c r="G50" s="667">
        <v>0</v>
      </c>
      <c r="H50" s="668">
        <v>1.613</v>
      </c>
      <c r="I50" s="668">
        <v>0.56759999999999999</v>
      </c>
      <c r="J50" s="668">
        <v>0.115611105511</v>
      </c>
      <c r="K50" s="670">
        <v>2.9055557600000008</v>
      </c>
      <c r="L50" s="667">
        <v>1.06</v>
      </c>
      <c r="M50" s="668">
        <v>1.4193548387096772E-2</v>
      </c>
      <c r="N50" s="668">
        <v>0.14886199999999999</v>
      </c>
      <c r="O50" s="670">
        <v>0</v>
      </c>
      <c r="P50" s="667">
        <v>0.50050091537867036</v>
      </c>
      <c r="Q50" s="668">
        <v>0.22802141004722679</v>
      </c>
      <c r="R50" s="668">
        <v>0.42584999999999995</v>
      </c>
      <c r="S50" s="668">
        <v>0.25</v>
      </c>
      <c r="T50" s="670">
        <v>0.94499999999999995</v>
      </c>
      <c r="U50" s="667">
        <v>1.6950000000000001</v>
      </c>
      <c r="V50" s="668">
        <v>0.695575221238938</v>
      </c>
      <c r="W50" s="668">
        <v>0.49675516224188793</v>
      </c>
      <c r="X50" s="670">
        <v>3.7669616519174054E-2</v>
      </c>
    </row>
    <row r="51" spans="1:28" hidden="1">
      <c r="B51" s="666" t="s">
        <v>1099</v>
      </c>
      <c r="C51" s="667">
        <v>3.3290000000000002</v>
      </c>
      <c r="D51" s="668">
        <v>0.123</v>
      </c>
      <c r="E51" s="668">
        <v>1.3939999999999999</v>
      </c>
      <c r="F51" s="670">
        <v>4.1000000000000002E-2</v>
      </c>
      <c r="G51" s="667">
        <v>0</v>
      </c>
      <c r="H51" s="668">
        <v>2.7090000000000001</v>
      </c>
      <c r="I51" s="668">
        <v>0.7</v>
      </c>
      <c r="J51" s="668">
        <v>0.39687610905846138</v>
      </c>
      <c r="K51" s="670">
        <v>1.2573312457142853</v>
      </c>
      <c r="L51" s="667">
        <v>9.2999999999999999E-2</v>
      </c>
      <c r="M51" s="668">
        <v>0.14178925806451617</v>
      </c>
      <c r="N51" s="668">
        <v>0</v>
      </c>
      <c r="O51" s="670">
        <v>0</v>
      </c>
      <c r="P51" s="667">
        <v>1.0088953447103128</v>
      </c>
      <c r="Q51" s="668">
        <v>0.36719405587424186</v>
      </c>
      <c r="R51" s="668">
        <v>0</v>
      </c>
      <c r="S51" s="668">
        <v>0.09</v>
      </c>
      <c r="T51" s="670">
        <v>0</v>
      </c>
      <c r="U51" s="667">
        <v>11.41</v>
      </c>
      <c r="V51" s="668">
        <v>0.31121822962313761</v>
      </c>
      <c r="W51" s="668">
        <v>0.72962313759859776</v>
      </c>
      <c r="X51" s="670">
        <v>6.9158632778264728E-2</v>
      </c>
    </row>
    <row r="52" spans="1:28" hidden="1">
      <c r="B52" s="673" t="s">
        <v>1341</v>
      </c>
      <c r="C52" s="674">
        <v>0</v>
      </c>
      <c r="D52" s="675">
        <v>0</v>
      </c>
      <c r="E52" s="675">
        <v>0</v>
      </c>
      <c r="F52" s="676">
        <v>0</v>
      </c>
      <c r="G52" s="674">
        <v>0</v>
      </c>
      <c r="H52" s="675">
        <v>0</v>
      </c>
      <c r="I52" s="675">
        <v>0</v>
      </c>
      <c r="J52" s="675">
        <v>0</v>
      </c>
      <c r="K52" s="676">
        <v>0</v>
      </c>
      <c r="L52" s="674">
        <v>0</v>
      </c>
      <c r="M52" s="675">
        <v>0</v>
      </c>
      <c r="N52" s="675">
        <v>0</v>
      </c>
      <c r="O52" s="676">
        <v>0</v>
      </c>
      <c r="P52" s="674">
        <v>0</v>
      </c>
      <c r="Q52" s="675">
        <v>0</v>
      </c>
      <c r="R52" s="675">
        <v>0</v>
      </c>
      <c r="S52" s="675">
        <v>0</v>
      </c>
      <c r="T52" s="676">
        <v>0</v>
      </c>
      <c r="U52" s="674">
        <v>0</v>
      </c>
      <c r="V52" s="675">
        <v>0</v>
      </c>
      <c r="W52" s="675">
        <v>0</v>
      </c>
      <c r="X52" s="676">
        <v>0</v>
      </c>
    </row>
    <row r="53" spans="1:28" hidden="1">
      <c r="B53" s="677" t="s">
        <v>278</v>
      </c>
      <c r="C53" s="678">
        <f t="shared" ref="C53:X53" si="1">SUM(C35:C51)</f>
        <v>1015.3690000000001</v>
      </c>
      <c r="D53" s="648">
        <f t="shared" si="1"/>
        <v>70.989000000000004</v>
      </c>
      <c r="E53" s="648">
        <f t="shared" si="1"/>
        <v>345.61899999999997</v>
      </c>
      <c r="F53" s="648">
        <f t="shared" si="1"/>
        <v>45.067446000000004</v>
      </c>
      <c r="G53" s="678">
        <f t="shared" si="1"/>
        <v>233.2503165</v>
      </c>
      <c r="H53" s="648">
        <f t="shared" si="1"/>
        <v>2117.2696834999997</v>
      </c>
      <c r="I53" s="648">
        <f t="shared" si="1"/>
        <v>281.08151400000003</v>
      </c>
      <c r="J53" s="648">
        <f t="shared" si="1"/>
        <v>141.86776450173079</v>
      </c>
      <c r="K53" s="679">
        <f t="shared" si="1"/>
        <v>2358.4377607370002</v>
      </c>
      <c r="L53" s="678">
        <f t="shared" si="1"/>
        <v>41.227129000000005</v>
      </c>
      <c r="M53" s="648">
        <f t="shared" si="1"/>
        <v>13.924911096774194</v>
      </c>
      <c r="N53" s="648">
        <f t="shared" si="1"/>
        <v>12.800915999999999</v>
      </c>
      <c r="O53" s="679">
        <f t="shared" si="1"/>
        <v>85.106999999999999</v>
      </c>
      <c r="P53" s="680">
        <f t="shared" si="1"/>
        <v>208.04813806393742</v>
      </c>
      <c r="Q53" s="656">
        <f t="shared" si="1"/>
        <v>102.46438794061196</v>
      </c>
      <c r="R53" s="656">
        <f t="shared" si="1"/>
        <v>159.2362058095714</v>
      </c>
      <c r="S53" s="656">
        <f t="shared" si="1"/>
        <v>55.984000000000016</v>
      </c>
      <c r="T53" s="654">
        <f t="shared" si="1"/>
        <v>49.100819999999999</v>
      </c>
      <c r="U53" s="678">
        <f t="shared" si="1"/>
        <v>399.32517899999999</v>
      </c>
      <c r="V53" s="648">
        <f t="shared" si="1"/>
        <v>2.8494733104384475</v>
      </c>
      <c r="W53" s="648">
        <f t="shared" si="1"/>
        <v>7.2470082334927692</v>
      </c>
      <c r="X53" s="679">
        <f t="shared" si="1"/>
        <v>5.1795993964787304</v>
      </c>
    </row>
    <row r="54" spans="1:28" hidden="1">
      <c r="E54" s="681"/>
      <c r="G54" s="681"/>
      <c r="H54" s="681"/>
    </row>
    <row r="55" spans="1:28" hidden="1">
      <c r="E55" s="681"/>
    </row>
    <row r="56" spans="1:28" hidden="1">
      <c r="B56" s="613" t="s">
        <v>351</v>
      </c>
      <c r="F56" s="612" t="s">
        <v>349</v>
      </c>
      <c r="I56" s="612" t="s">
        <v>246</v>
      </c>
      <c r="M56" s="612" t="s">
        <v>352</v>
      </c>
      <c r="Q56" s="612" t="s">
        <v>46</v>
      </c>
      <c r="R56" s="613">
        <v>9</v>
      </c>
      <c r="T56" s="612" t="s">
        <v>691</v>
      </c>
      <c r="AB56" s="614" t="s">
        <v>1317</v>
      </c>
    </row>
    <row r="57" spans="1:28" hidden="1">
      <c r="E57" s="613" t="s">
        <v>449</v>
      </c>
      <c r="F57" s="613" t="s">
        <v>348</v>
      </c>
      <c r="G57" s="613" t="s">
        <v>403</v>
      </c>
      <c r="H57" s="613" t="s">
        <v>284</v>
      </c>
      <c r="I57" s="613" t="s">
        <v>245</v>
      </c>
      <c r="J57" s="613" t="s">
        <v>243</v>
      </c>
      <c r="K57" s="613" t="s">
        <v>244</v>
      </c>
      <c r="M57" s="613" t="s">
        <v>245</v>
      </c>
      <c r="N57" s="613" t="s">
        <v>243</v>
      </c>
      <c r="O57" s="613" t="s">
        <v>244</v>
      </c>
      <c r="R57" s="613" t="s">
        <v>283</v>
      </c>
      <c r="U57" s="613" t="s">
        <v>243</v>
      </c>
      <c r="V57" s="613" t="s">
        <v>244</v>
      </c>
      <c r="X57" s="613" t="s">
        <v>279</v>
      </c>
      <c r="Z57" s="613" t="s">
        <v>280</v>
      </c>
      <c r="AB57" s="614" t="s">
        <v>403</v>
      </c>
    </row>
    <row r="58" spans="1:28" hidden="1">
      <c r="A58" s="613">
        <v>2</v>
      </c>
      <c r="B58" s="613" t="str">
        <f t="shared" ref="B58:B83" si="2">LEFT(C58,3)</f>
        <v>IIS</v>
      </c>
      <c r="C58" s="613" t="s">
        <v>213</v>
      </c>
      <c r="D58" s="613" t="s">
        <v>261</v>
      </c>
      <c r="E58" s="613" t="s">
        <v>961</v>
      </c>
      <c r="F58" s="682">
        <f>INDEX($D$28:$P$28,A58-1)</f>
        <v>7.2</v>
      </c>
      <c r="G58" s="683">
        <f>INDEX($D$29:$P$29,A58-1)*(F58/INDEX($D$27:$P$27,A58-1))^0.2</f>
        <v>1.1954406247375462</v>
      </c>
      <c r="H58" s="684">
        <f>INDEX($C$35:$X$52,RegIndex,$A58-1)</f>
        <v>2.7650000000000001</v>
      </c>
      <c r="I58" s="685">
        <v>0.65</v>
      </c>
      <c r="J58" s="686">
        <f ca="1">(G58-F58*I58*Calibration!C9)/(F58*Calibration!C$14)</f>
        <v>0.18448157789159661</v>
      </c>
      <c r="K58" s="685">
        <f t="shared" ref="K58:K83" si="3">1-J58-I58</f>
        <v>0.1655184221084034</v>
      </c>
      <c r="M58" s="687">
        <f t="shared" ref="M58:M83" si="4">$H58*$F58*I58</f>
        <v>12.940200000000001</v>
      </c>
      <c r="N58" s="641">
        <f t="shared" ref="N58:N83" si="5">$H58*$F58*J58</f>
        <v>3.6726592526659054</v>
      </c>
      <c r="O58" s="688">
        <f t="shared" ref="O58:O83" si="6">$H58*$F58*K58</f>
        <v>3.295140747334095</v>
      </c>
      <c r="Q58" s="623" t="s">
        <v>961</v>
      </c>
      <c r="R58" s="689">
        <f t="shared" ref="R58:R92" si="7">VLOOKUP(Q58,$E$58:$M$93,R$56,FALSE)</f>
        <v>12.940200000000001</v>
      </c>
      <c r="T58" s="613" t="s">
        <v>961</v>
      </c>
      <c r="U58" s="690">
        <f t="shared" ref="U58:V62" si="8">IF(N58,N58/SUMIF($B$58:$B$76,LEFT($T58,3),N$58:N$76),0)</f>
        <v>0.48447280945385385</v>
      </c>
      <c r="V58" s="691">
        <f t="shared" si="8"/>
        <v>0.5864376921443224</v>
      </c>
      <c r="X58" s="613">
        <v>4.2</v>
      </c>
      <c r="Y58" s="613">
        <v>1.74</v>
      </c>
      <c r="AB58" s="692">
        <f ca="1">F58*(I58*Calibration!C9+J58*Calibration!C$14)</f>
        <v>1.1954406247375462</v>
      </c>
    </row>
    <row r="59" spans="1:28" hidden="1">
      <c r="A59" s="613">
        <f>A58+1</f>
        <v>3</v>
      </c>
      <c r="B59" s="613" t="str">
        <f t="shared" si="2"/>
        <v>IIS</v>
      </c>
      <c r="C59" s="613" t="s">
        <v>367</v>
      </c>
      <c r="D59" s="613" t="s">
        <v>262</v>
      </c>
      <c r="E59" s="613" t="s">
        <v>368</v>
      </c>
      <c r="F59" s="682">
        <f>INDEX($D$28:$P$28,A59-1)</f>
        <v>16.600000000000001</v>
      </c>
      <c r="G59" s="683">
        <f>INDEX($D$29:$P$29,A59-1)*SQRT(F59/INDEX($D$27:$P$27,A59-1))</f>
        <v>3.3</v>
      </c>
      <c r="H59" s="684">
        <f>INDEX($C$35:$X$52,RegIndex,$A59-1)</f>
        <v>0</v>
      </c>
      <c r="I59" s="685">
        <v>0.8</v>
      </c>
      <c r="J59" s="686">
        <f ca="1">(G59-F59*I59*Calibration!C10)/(F59*Calibration!C$14)</f>
        <v>0.13199464524765725</v>
      </c>
      <c r="K59" s="685">
        <f t="shared" si="3"/>
        <v>6.8005354752342706E-2</v>
      </c>
      <c r="M59" s="687">
        <f t="shared" si="4"/>
        <v>0</v>
      </c>
      <c r="N59" s="641">
        <f t="shared" si="5"/>
        <v>0</v>
      </c>
      <c r="O59" s="688">
        <f t="shared" si="6"/>
        <v>0</v>
      </c>
      <c r="Q59" s="623" t="s">
        <v>368</v>
      </c>
      <c r="R59" s="689">
        <f t="shared" si="7"/>
        <v>0</v>
      </c>
      <c r="T59" s="613" t="s">
        <v>368</v>
      </c>
      <c r="U59" s="690">
        <f t="shared" si="8"/>
        <v>0</v>
      </c>
      <c r="V59" s="691">
        <f t="shared" si="8"/>
        <v>0</v>
      </c>
      <c r="X59" s="613">
        <v>12.4</v>
      </c>
      <c r="Y59" s="613">
        <f>8.36+1.483</f>
        <v>9.843</v>
      </c>
      <c r="AB59" s="692">
        <f ca="1">F59*(I59*Calibration!C10+J59*Calibration!C$14)</f>
        <v>3.3</v>
      </c>
    </row>
    <row r="60" spans="1:28" hidden="1">
      <c r="A60" s="613">
        <f>A59+1</f>
        <v>4</v>
      </c>
      <c r="B60" s="613" t="str">
        <f t="shared" si="2"/>
        <v>IIS</v>
      </c>
      <c r="C60" s="613" t="s">
        <v>365</v>
      </c>
      <c r="D60" s="613" t="s">
        <v>263</v>
      </c>
      <c r="E60" s="613" t="s">
        <v>366</v>
      </c>
      <c r="F60" s="682">
        <f>INDEX($D$28:$P$28,A60-1)</f>
        <v>5.9</v>
      </c>
      <c r="G60" s="683">
        <f>INDEX($D$29:$P$29,A60-1)*SQRT(F60/INDEX($D$27:$P$27,A60-1))</f>
        <v>3.3240108303072664</v>
      </c>
      <c r="H60" s="684">
        <f>INDEX($C$35:$X$52,RegIndex,$A60-1)</f>
        <v>1.2649999999999999</v>
      </c>
      <c r="I60" s="685">
        <v>0.5</v>
      </c>
      <c r="J60" s="686">
        <f ca="1">(G60-F60*I60*Calibration!C11)/(F60*Calibration!C$14)</f>
        <v>0.34821296239308214</v>
      </c>
      <c r="K60" s="685">
        <f t="shared" si="3"/>
        <v>0.15178703760691792</v>
      </c>
      <c r="M60" s="687">
        <f t="shared" si="4"/>
        <v>3.7317499999999999</v>
      </c>
      <c r="N60" s="641">
        <f t="shared" si="5"/>
        <v>2.5988874448207686</v>
      </c>
      <c r="O60" s="688">
        <f t="shared" si="6"/>
        <v>1.132862555179232</v>
      </c>
      <c r="Q60" s="623" t="s">
        <v>366</v>
      </c>
      <c r="R60" s="689">
        <f t="shared" si="7"/>
        <v>3.7317499999999999</v>
      </c>
      <c r="T60" s="613" t="s">
        <v>366</v>
      </c>
      <c r="U60" s="690">
        <f t="shared" si="8"/>
        <v>0.34282796612092953</v>
      </c>
      <c r="V60" s="691">
        <f t="shared" si="8"/>
        <v>0.20161606235288074</v>
      </c>
      <c r="X60" s="613">
        <v>3</v>
      </c>
      <c r="Y60" s="613">
        <v>1.2889999999999999</v>
      </c>
      <c r="AB60" s="692">
        <f ca="1">F60*(I60*Calibration!C11+J60*Calibration!C$14)</f>
        <v>3.3240108303072664</v>
      </c>
    </row>
    <row r="61" spans="1:28" hidden="1">
      <c r="A61" s="613">
        <f>A60+1</f>
        <v>5</v>
      </c>
      <c r="B61" s="613" t="str">
        <f t="shared" si="2"/>
        <v>IIS</v>
      </c>
      <c r="C61" s="613" t="s">
        <v>409</v>
      </c>
      <c r="D61" s="613" t="s">
        <v>408</v>
      </c>
      <c r="E61" s="613" t="s">
        <v>410</v>
      </c>
      <c r="F61" s="682">
        <f>INDEX($D$28:$P$28,A61-1)</f>
        <v>33</v>
      </c>
      <c r="G61" s="683">
        <f>INDEX($D$29:$P$29,A61-1)/INDEX($D$27:$P$27,A61-1)*F61</f>
        <v>12.025766871165642</v>
      </c>
      <c r="H61" s="684">
        <f>INDEX($C$35:$X$52,RegIndex,$A61-1)</f>
        <v>0.23799999999999999</v>
      </c>
      <c r="I61" s="685">
        <v>0.85</v>
      </c>
      <c r="J61" s="686">
        <f ca="1">(G61-F61*I61*Calibration!C12)/(F61*Calibration!C$14)</f>
        <v>2.7130197682344821E-2</v>
      </c>
      <c r="K61" s="685">
        <f t="shared" si="3"/>
        <v>0.12286980231765521</v>
      </c>
      <c r="M61" s="687">
        <f t="shared" si="4"/>
        <v>6.6758999999999995</v>
      </c>
      <c r="N61" s="641">
        <f t="shared" si="5"/>
        <v>0.2130805725971362</v>
      </c>
      <c r="O61" s="688">
        <f t="shared" si="6"/>
        <v>0.96501942740286395</v>
      </c>
      <c r="Q61" s="623" t="s">
        <v>410</v>
      </c>
      <c r="R61" s="689">
        <f t="shared" si="7"/>
        <v>6.6758999999999995</v>
      </c>
      <c r="T61" s="613" t="s">
        <v>410</v>
      </c>
      <c r="U61" s="690">
        <f t="shared" si="8"/>
        <v>2.8108173545159876E-2</v>
      </c>
      <c r="V61" s="691">
        <f t="shared" si="8"/>
        <v>0.17174494483685612</v>
      </c>
      <c r="AB61" s="692">
        <f ca="1">F61*(I61*Calibration!C12+J61*Calibration!C$14)</f>
        <v>12.025766871165642</v>
      </c>
    </row>
    <row r="62" spans="1:28" hidden="1">
      <c r="B62" s="613" t="str">
        <f t="shared" si="2"/>
        <v>IIS</v>
      </c>
      <c r="C62" s="613" t="s">
        <v>1285</v>
      </c>
      <c r="D62" s="613" t="s">
        <v>560</v>
      </c>
      <c r="E62" s="613" t="s">
        <v>1286</v>
      </c>
      <c r="F62" s="693">
        <f ca="1">MAX(G62,Calibration!T57-SUM(M58:O61))</f>
        <v>2.0499134938449188</v>
      </c>
      <c r="G62" s="694">
        <f ca="1">MAX(0,IEAData!B28-SUMPRODUCT(H58:H61,F58:F61,I58:I61*Calibration!C9:C12+J58:J61*Calibration!C14))</f>
        <v>1.3504554859766262</v>
      </c>
      <c r="H62" s="684">
        <v>1</v>
      </c>
      <c r="I62" s="695">
        <f ca="1">IF(F62&gt;0,MIN(1-J62,(G62-F62*J62*Calibration!C14)/Calibration!C13/F62),0)</f>
        <v>0.35509780017954884</v>
      </c>
      <c r="J62" s="696">
        <f ca="1">IF(F62&gt;0,(G62/F62)^1.5,1)</f>
        <v>0.53470852568349903</v>
      </c>
      <c r="K62" s="685">
        <f t="shared" si="3"/>
        <v>0.11019367413695214</v>
      </c>
      <c r="M62" s="687">
        <f t="shared" si="4"/>
        <v>0.72791977222270376</v>
      </c>
      <c r="N62" s="641">
        <f t="shared" si="5"/>
        <v>1.0961062220725271</v>
      </c>
      <c r="O62" s="688">
        <f t="shared" si="6"/>
        <v>0.22588749954968804</v>
      </c>
      <c r="Q62" s="623" t="s">
        <v>1286</v>
      </c>
      <c r="R62" s="689">
        <f t="shared" si="7"/>
        <v>0.72791977222270376</v>
      </c>
      <c r="T62" s="613" t="s">
        <v>1286</v>
      </c>
      <c r="U62" s="690">
        <f t="shared" si="8"/>
        <v>0.14459105088005672</v>
      </c>
      <c r="V62" s="691">
        <f t="shared" si="8"/>
        <v>4.020130066594077E-2</v>
      </c>
      <c r="AB62" s="692"/>
    </row>
    <row r="63" spans="1:28" hidden="1">
      <c r="A63" s="613">
        <f>A61+1</f>
        <v>6</v>
      </c>
      <c r="B63" s="613" t="str">
        <f t="shared" si="2"/>
        <v>INM</v>
      </c>
      <c r="C63" s="613" t="s">
        <v>215</v>
      </c>
      <c r="D63" s="613" t="s">
        <v>214</v>
      </c>
      <c r="E63" s="613" t="s">
        <v>964</v>
      </c>
      <c r="F63" s="682">
        <f ca="1">INDEX($D$28:$P$28,A63-1)</f>
        <v>5.6040000000000001</v>
      </c>
      <c r="G63" s="697">
        <f ca="1">INDEX($D$29:$P$29,A63-1)</f>
        <v>0.52200000000000002</v>
      </c>
      <c r="H63" s="684">
        <f ca="1">INDEX($C$35:$X$52,RegIndex,$A63-1)</f>
        <v>0</v>
      </c>
      <c r="I63" s="685">
        <v>0.87</v>
      </c>
      <c r="J63" s="686">
        <f ca="1">(G63-F63*I63*Calibration!C16)/(F63*Calibration!C$21)</f>
        <v>9.7028907922912216E-2</v>
      </c>
      <c r="K63" s="685">
        <f t="shared" si="3"/>
        <v>3.2971092077087816E-2</v>
      </c>
      <c r="M63" s="687">
        <f t="shared" si="4"/>
        <v>0</v>
      </c>
      <c r="N63" s="641">
        <f t="shared" si="5"/>
        <v>0</v>
      </c>
      <c r="O63" s="688">
        <f t="shared" si="6"/>
        <v>0</v>
      </c>
      <c r="Q63" s="623" t="s">
        <v>962</v>
      </c>
      <c r="R63" s="689">
        <f t="shared" si="7"/>
        <v>7.5807334921563374</v>
      </c>
      <c r="T63" s="613" t="s">
        <v>964</v>
      </c>
      <c r="U63" s="690">
        <f t="shared" ref="U63:V67" si="9">N63/SUMIF($B$58:$B$76,LEFT($T63,3),N$58:N$76)</f>
        <v>0</v>
      </c>
      <c r="V63" s="691">
        <f t="shared" si="9"/>
        <v>0</v>
      </c>
      <c r="X63" s="613">
        <v>5</v>
      </c>
      <c r="Y63" s="613">
        <v>5.8</v>
      </c>
      <c r="AB63" s="692">
        <f ca="1">F63*(I63*Calibration!C16+J63*Calibration!C$21)</f>
        <v>0.52200000000000002</v>
      </c>
    </row>
    <row r="64" spans="1:28" hidden="1">
      <c r="A64" s="613">
        <f t="shared" ref="A64:A76" si="10">A63+1</f>
        <v>7</v>
      </c>
      <c r="B64" s="613" t="str">
        <f t="shared" si="2"/>
        <v>INM</v>
      </c>
      <c r="C64" s="613" t="s">
        <v>217</v>
      </c>
      <c r="D64" s="613" t="s">
        <v>216</v>
      </c>
      <c r="E64" s="613" t="s">
        <v>965</v>
      </c>
      <c r="F64" s="682">
        <f ca="1">INDEX($D$28:$P$28,A64-1)</f>
        <v>3.504</v>
      </c>
      <c r="G64" s="697">
        <f ca="1">INDEX($D$29:$P$29,A64-1)</f>
        <v>0.52200000000000002</v>
      </c>
      <c r="H64" s="684">
        <f ca="1">INDEX($C$35:$X$52,RegIndex,$A64-1)</f>
        <v>1.357</v>
      </c>
      <c r="I64" s="685">
        <v>0.82</v>
      </c>
      <c r="J64" s="686">
        <f ca="1">(G64-F64*I64*Calibration!C17)/(F64*Calibration!C$21)</f>
        <v>0.15517979452054798</v>
      </c>
      <c r="K64" s="685">
        <f t="shared" si="3"/>
        <v>2.4820205479452073E-2</v>
      </c>
      <c r="M64" s="687">
        <f t="shared" si="4"/>
        <v>3.8990409599999993</v>
      </c>
      <c r="N64" s="641">
        <f t="shared" si="5"/>
        <v>0.73786875000000007</v>
      </c>
      <c r="O64" s="688">
        <f t="shared" si="6"/>
        <v>0.11801829000000008</v>
      </c>
      <c r="Q64" s="623" t="s">
        <v>963</v>
      </c>
      <c r="R64" s="689">
        <f t="shared" si="7"/>
        <v>5.6189102294658788</v>
      </c>
      <c r="T64" s="613" t="s">
        <v>965</v>
      </c>
      <c r="U64" s="690">
        <f t="shared" si="9"/>
        <v>0.29702508091218333</v>
      </c>
      <c r="V64" s="691">
        <f t="shared" si="9"/>
        <v>0.28178293984903929</v>
      </c>
      <c r="X64" s="613">
        <v>3</v>
      </c>
      <c r="Y64" s="613">
        <v>3.7</v>
      </c>
      <c r="Z64" s="613">
        <v>3.2</v>
      </c>
      <c r="AB64" s="692">
        <f ca="1">F64*(I64*Calibration!C17+J64*Calibration!C$21)</f>
        <v>0.52200000000000002</v>
      </c>
    </row>
    <row r="65" spans="1:28" hidden="1">
      <c r="A65" s="613">
        <f t="shared" si="10"/>
        <v>8</v>
      </c>
      <c r="B65" s="613" t="str">
        <f t="shared" si="2"/>
        <v>INM</v>
      </c>
      <c r="C65" s="613" t="s">
        <v>411</v>
      </c>
      <c r="D65" s="613" t="s">
        <v>413</v>
      </c>
      <c r="E65" s="613" t="s">
        <v>412</v>
      </c>
      <c r="F65" s="682">
        <f ca="1">INDEX($D$28:$P$28,A65-1)</f>
        <v>4.67</v>
      </c>
      <c r="G65" s="697">
        <f ca="1">INDEX($D$29:$P$29,A65-1)</f>
        <v>0.27</v>
      </c>
      <c r="H65" s="684">
        <f ca="1">INDEX($C$35:$X$52,RegIndex,$A65-1)</f>
        <v>0.59539999999999993</v>
      </c>
      <c r="I65" s="685">
        <v>0.9</v>
      </c>
      <c r="J65" s="686">
        <f ca="1">(G65-F65*I65*Calibration!C18)/(F65*Calibration!C$21)</f>
        <v>6.0224839400428269E-2</v>
      </c>
      <c r="K65" s="685">
        <f t="shared" si="3"/>
        <v>3.9775160599571757E-2</v>
      </c>
      <c r="M65" s="687">
        <f t="shared" si="4"/>
        <v>2.5024661999999998</v>
      </c>
      <c r="N65" s="641">
        <f t="shared" si="5"/>
        <v>0.16745625</v>
      </c>
      <c r="O65" s="688">
        <f t="shared" si="6"/>
        <v>0.11059555000000006</v>
      </c>
      <c r="Q65" s="623" t="s">
        <v>964</v>
      </c>
      <c r="R65" s="689">
        <f t="shared" si="7"/>
        <v>0</v>
      </c>
      <c r="T65" s="613" t="s">
        <v>412</v>
      </c>
      <c r="U65" s="690">
        <f t="shared" si="9"/>
        <v>6.7408609194386931E-2</v>
      </c>
      <c r="V65" s="691">
        <f t="shared" si="9"/>
        <v>0.26406025043424547</v>
      </c>
      <c r="AB65" s="692"/>
    </row>
    <row r="66" spans="1:28" hidden="1">
      <c r="A66" s="613">
        <f t="shared" si="10"/>
        <v>9</v>
      </c>
      <c r="B66" s="613" t="str">
        <f t="shared" si="2"/>
        <v>INM</v>
      </c>
      <c r="C66" s="613" t="s">
        <v>361</v>
      </c>
      <c r="D66" s="613" t="s">
        <v>218</v>
      </c>
      <c r="E66" s="613" t="s">
        <v>362</v>
      </c>
      <c r="F66" s="682">
        <f ca="1">INDEX($D$28:$P$28,A66-1)</f>
        <v>4.99</v>
      </c>
      <c r="G66" s="697">
        <f ca="1">INDEX($D$29:$P$29,A66-1)</f>
        <v>1.0975000000000001</v>
      </c>
      <c r="H66" s="684">
        <f ca="1">INDEX($C$35:$X$52,RegIndex,$A66-1)</f>
        <v>0.31530301502999997</v>
      </c>
      <c r="I66" s="685">
        <v>0.8</v>
      </c>
      <c r="J66" s="686">
        <f ca="1">(G66-F66*I66*Calibration!C19)/(F66*Calibration!C$21)</f>
        <v>7.9104041416165671E-2</v>
      </c>
      <c r="K66" s="685">
        <f t="shared" si="3"/>
        <v>0.12089595858383428</v>
      </c>
      <c r="M66" s="687">
        <f t="shared" si="4"/>
        <v>1.2586896359997599</v>
      </c>
      <c r="N66" s="641">
        <f t="shared" si="5"/>
        <v>0.12445929637027937</v>
      </c>
      <c r="O66" s="688">
        <f t="shared" si="6"/>
        <v>0.19021311262966054</v>
      </c>
      <c r="Q66" s="623" t="s">
        <v>965</v>
      </c>
      <c r="R66" s="689">
        <f t="shared" si="7"/>
        <v>3.8990409599999993</v>
      </c>
      <c r="T66" s="613" t="s">
        <v>362</v>
      </c>
      <c r="U66" s="690">
        <f t="shared" si="9"/>
        <v>5.0100417688993648E-2</v>
      </c>
      <c r="V66" s="691">
        <f t="shared" si="9"/>
        <v>0.45415680971671535</v>
      </c>
      <c r="X66" s="613">
        <v>3.5</v>
      </c>
      <c r="Y66" s="613">
        <v>5.75</v>
      </c>
      <c r="Z66" s="613" t="s">
        <v>281</v>
      </c>
      <c r="AB66" s="692">
        <f ca="1">F66*(I66*Calibration!C19+J66*Calibration!C$21)</f>
        <v>1.0975000000000001</v>
      </c>
    </row>
    <row r="67" spans="1:28" hidden="1">
      <c r="A67" s="613">
        <f t="shared" si="10"/>
        <v>10</v>
      </c>
      <c r="B67" s="613" t="str">
        <f t="shared" si="2"/>
        <v>INM</v>
      </c>
      <c r="C67" s="613" t="s">
        <v>363</v>
      </c>
      <c r="D67" s="613" t="s">
        <v>219</v>
      </c>
      <c r="E67" s="613" t="s">
        <v>364</v>
      </c>
      <c r="F67" s="693">
        <f ca="1">MAX(G67,Calibration!T58-SUM(M63:O66))</f>
        <v>3.8330797063811293</v>
      </c>
      <c r="G67" s="694">
        <f ca="1">MAX(0,IEAData!B32-SUMPRODUCT(H63:H66,F63:F66,I63:I66*Calibration!C16:C19+J63:J66*Calibration!C21))</f>
        <v>2.0089741382529227</v>
      </c>
      <c r="H67" s="684">
        <v>1</v>
      </c>
      <c r="I67" s="695">
        <f ca="1">IF(F67&gt;0,MIN(1-J67,(G67-F67*J67*Calibration!C21)/Calibration!C20/F67),0)</f>
        <v>0.62056294247725186</v>
      </c>
      <c r="J67" s="696">
        <f ca="1">IF(F67&gt;0,(G67/F67)^1.5,1)</f>
        <v>0.3794370575227482</v>
      </c>
      <c r="K67" s="685">
        <f t="shared" si="3"/>
        <v>0</v>
      </c>
      <c r="M67" s="687">
        <f t="shared" si="4"/>
        <v>2.3786672213417139</v>
      </c>
      <c r="N67" s="641">
        <f t="shared" si="5"/>
        <v>1.4544124850394153</v>
      </c>
      <c r="O67" s="688">
        <f t="shared" si="6"/>
        <v>0</v>
      </c>
      <c r="Q67" s="623" t="s">
        <v>412</v>
      </c>
      <c r="R67" s="689">
        <f t="shared" si="7"/>
        <v>2.5024661999999998</v>
      </c>
      <c r="T67" s="613" t="s">
        <v>364</v>
      </c>
      <c r="U67" s="690">
        <f t="shared" si="9"/>
        <v>0.58546589220443601</v>
      </c>
      <c r="V67" s="691">
        <f t="shared" si="9"/>
        <v>0</v>
      </c>
      <c r="X67" s="613">
        <v>1.1000000000000001</v>
      </c>
      <c r="Y67" s="613">
        <v>2.2999999999999998</v>
      </c>
      <c r="AB67" s="692">
        <f ca="1">F67*(I67*Calibration!C20+J67*Calibration!C$21)</f>
        <v>1.9909027909732673</v>
      </c>
    </row>
    <row r="68" spans="1:28" hidden="1">
      <c r="A68" s="613">
        <f t="shared" si="10"/>
        <v>11</v>
      </c>
      <c r="B68" s="613" t="str">
        <f t="shared" si="2"/>
        <v>INF</v>
      </c>
      <c r="C68" s="613" t="s">
        <v>221</v>
      </c>
      <c r="D68" s="613" t="s">
        <v>220</v>
      </c>
      <c r="E68" s="613" t="s">
        <v>259</v>
      </c>
      <c r="F68" s="682">
        <f ca="1">INDEX($D$28:$P$28,A68-1)</f>
        <v>80.601600000000005</v>
      </c>
      <c r="G68" s="697">
        <f ca="1">INDEX($D$29:$P$29,A68-1)</f>
        <v>59.04</v>
      </c>
      <c r="H68" s="684">
        <f ca="1">INDEX($C$35:$X$52,RegIndex,$A68-1)</f>
        <v>0</v>
      </c>
      <c r="I68" s="685">
        <v>0.8</v>
      </c>
      <c r="J68" s="686">
        <f ca="1">MIN(1-I68,(G68-F68*I68*Calibration!C23)/(F68*Calibration!C$27))</f>
        <v>9.5352229584043297E-2</v>
      </c>
      <c r="K68" s="685">
        <f t="shared" si="3"/>
        <v>0.10464777041595663</v>
      </c>
      <c r="M68" s="687">
        <f t="shared" si="4"/>
        <v>0</v>
      </c>
      <c r="N68" s="641">
        <f t="shared" si="5"/>
        <v>0</v>
      </c>
      <c r="O68" s="688">
        <f t="shared" si="6"/>
        <v>0</v>
      </c>
      <c r="Q68" s="623" t="s">
        <v>362</v>
      </c>
      <c r="R68" s="689">
        <f t="shared" si="7"/>
        <v>1.2586896359997599</v>
      </c>
      <c r="T68" s="613" t="s">
        <v>259</v>
      </c>
      <c r="U68" s="690">
        <f t="shared" ref="U68:V71" si="11">IF(N68,N68/SUMIF($B$58:$B$76,LEFT($T68,3),N$58:N$76),0)</f>
        <v>0</v>
      </c>
      <c r="V68" s="691">
        <f t="shared" si="11"/>
        <v>0</v>
      </c>
      <c r="X68" s="613">
        <v>53</v>
      </c>
      <c r="Y68" s="613">
        <f>15000*3.6/1000</f>
        <v>54</v>
      </c>
      <c r="AB68" s="613">
        <f ca="1">F68*(I68*Calibration!C23+J68*Calibration!C$27)</f>
        <v>59.04</v>
      </c>
    </row>
    <row r="69" spans="1:28" hidden="1">
      <c r="A69" s="613">
        <f t="shared" si="10"/>
        <v>12</v>
      </c>
      <c r="B69" s="613" t="str">
        <f t="shared" si="2"/>
        <v>INF</v>
      </c>
      <c r="C69" s="613" t="s">
        <v>369</v>
      </c>
      <c r="D69" s="613" t="s">
        <v>222</v>
      </c>
      <c r="E69" s="613" t="s">
        <v>370</v>
      </c>
      <c r="F69" s="682">
        <f ca="1">INDEX($D$28:$P$28,A69-1)</f>
        <v>23.3</v>
      </c>
      <c r="G69" s="697">
        <f ca="1">INDEX($D$29:$P$29,A69-1)</f>
        <v>10.8</v>
      </c>
      <c r="H69" s="684">
        <f ca="1">INDEX($C$35:$X$52,RegIndex,$A69-1)</f>
        <v>0.13470000000000001</v>
      </c>
      <c r="I69" s="685">
        <v>0.67</v>
      </c>
      <c r="J69" s="686">
        <f ca="1">(G69-F69*I69*Calibration!C24)/(F69*Calibration!C$27)</f>
        <v>9.7958054953320675E-2</v>
      </c>
      <c r="K69" s="685">
        <f t="shared" si="3"/>
        <v>0.2320419450466793</v>
      </c>
      <c r="M69" s="687">
        <f t="shared" si="4"/>
        <v>2.1028017000000006</v>
      </c>
      <c r="N69" s="641">
        <f t="shared" si="5"/>
        <v>0.30744233505154656</v>
      </c>
      <c r="O69" s="688">
        <f t="shared" si="6"/>
        <v>0.72826596494845353</v>
      </c>
      <c r="Q69" s="623" t="s">
        <v>364</v>
      </c>
      <c r="R69" s="689">
        <f t="shared" si="7"/>
        <v>2.3786672213417139</v>
      </c>
      <c r="T69" s="613" t="s">
        <v>370</v>
      </c>
      <c r="U69" s="690">
        <f t="shared" si="11"/>
        <v>0.12930576515723341</v>
      </c>
      <c r="V69" s="691">
        <f t="shared" si="11"/>
        <v>0.23524432823525498</v>
      </c>
      <c r="X69" s="613">
        <v>14</v>
      </c>
      <c r="Y69" s="613">
        <f>14.3+21.6</f>
        <v>35.900000000000006</v>
      </c>
      <c r="AB69" s="613">
        <f ca="1">F69*(I69*Calibration!C24+J69*Calibration!C$27)</f>
        <v>10.8</v>
      </c>
    </row>
    <row r="70" spans="1:28" hidden="1">
      <c r="A70" s="613">
        <f t="shared" si="10"/>
        <v>13</v>
      </c>
      <c r="B70" s="613" t="str">
        <f t="shared" si="2"/>
        <v>INF</v>
      </c>
      <c r="C70" s="613" t="s">
        <v>404</v>
      </c>
      <c r="D70" s="613" t="s">
        <v>407</v>
      </c>
      <c r="E70" s="613" t="s">
        <v>417</v>
      </c>
      <c r="F70" s="682">
        <f ca="1">INDEX($D$28:$P$28,A70-1)</f>
        <v>18.399999999999999</v>
      </c>
      <c r="G70" s="697">
        <f ca="1">INDEX($D$29:$P$29,A70-1)</f>
        <v>14.4</v>
      </c>
      <c r="H70" s="684">
        <f ca="1">INDEX($C$35:$X$52,RegIndex,$A70-1)</f>
        <v>0.30714400000000003</v>
      </c>
      <c r="I70" s="685">
        <v>0.75</v>
      </c>
      <c r="J70" s="686">
        <f ca="1">(G70-F70*I70*Calibration!C25)/(F70*Calibration!C$27)</f>
        <v>0.11093679964141644</v>
      </c>
      <c r="K70" s="685">
        <f t="shared" si="3"/>
        <v>0.13906320035858355</v>
      </c>
      <c r="M70" s="687">
        <f t="shared" si="4"/>
        <v>4.2385872000000004</v>
      </c>
      <c r="N70" s="641">
        <f t="shared" si="5"/>
        <v>0.62695373195876314</v>
      </c>
      <c r="O70" s="688">
        <f t="shared" si="6"/>
        <v>0.78590866804123694</v>
      </c>
      <c r="Q70" s="623" t="s">
        <v>966</v>
      </c>
      <c r="R70" s="689">
        <f t="shared" si="7"/>
        <v>2.484196781409695</v>
      </c>
      <c r="T70" s="613" t="s">
        <v>417</v>
      </c>
      <c r="U70" s="690">
        <f t="shared" si="11"/>
        <v>0.26368760182464362</v>
      </c>
      <c r="V70" s="691">
        <f t="shared" si="11"/>
        <v>0.2538640628094031</v>
      </c>
      <c r="Y70" s="698">
        <f>50*100/175</f>
        <v>28.571428571428573</v>
      </c>
      <c r="Z70" s="613" t="s">
        <v>282</v>
      </c>
      <c r="AB70" s="613">
        <f ca="1">F70*(I70*Calibration!C25+J70*Calibration!C$27)</f>
        <v>14.4</v>
      </c>
    </row>
    <row r="71" spans="1:28" hidden="1">
      <c r="A71" s="613">
        <f t="shared" si="10"/>
        <v>14</v>
      </c>
      <c r="B71" s="613" t="str">
        <f t="shared" si="2"/>
        <v>INF</v>
      </c>
      <c r="C71" s="613" t="s">
        <v>405</v>
      </c>
      <c r="D71" s="613" t="s">
        <v>406</v>
      </c>
      <c r="E71" s="613" t="s">
        <v>418</v>
      </c>
      <c r="F71" s="693">
        <f ca="1">MAX(G71,Calibration!T59-SUM(M68:O70))</f>
        <v>3.583875244281657</v>
      </c>
      <c r="G71" s="694">
        <f ca="1">MAX(0,IEAData!B29-SUMPRODUCT(H68:H70,F68:F70,I68:I70*Calibration!C23:C25+J68:J70*Calibration!C27))</f>
        <v>1.5676516050520544</v>
      </c>
      <c r="H71" s="684">
        <v>1</v>
      </c>
      <c r="I71" s="695">
        <f ca="1">IF(F71&gt;0,MIN(1-J71,(G71-F71*J71*Calibration!C27)/Calibration!C26/F71),0)</f>
        <v>0.15598261854047743</v>
      </c>
      <c r="J71" s="696">
        <f ca="1">IF(F71&gt;0,(G71/F71)^1.1,1)</f>
        <v>0.40270436303282287</v>
      </c>
      <c r="K71" s="685">
        <f t="shared" si="3"/>
        <v>0.44131301842669968</v>
      </c>
      <c r="M71" s="687">
        <f t="shared" si="4"/>
        <v>0.55902224512544607</v>
      </c>
      <c r="N71" s="641">
        <f t="shared" si="5"/>
        <v>1.4432421974375471</v>
      </c>
      <c r="O71" s="688">
        <f t="shared" si="6"/>
        <v>1.5816108017186636</v>
      </c>
      <c r="Q71" s="623" t="s">
        <v>967</v>
      </c>
      <c r="R71" s="689">
        <f t="shared" si="7"/>
        <v>0.41882695262966063</v>
      </c>
      <c r="T71" s="613" t="s">
        <v>418</v>
      </c>
      <c r="U71" s="690">
        <f t="shared" si="11"/>
        <v>0.60700663301812308</v>
      </c>
      <c r="V71" s="691">
        <f t="shared" si="11"/>
        <v>0.51089160895534191</v>
      </c>
      <c r="Y71" s="698">
        <f>50*100/175</f>
        <v>28.571428571428573</v>
      </c>
      <c r="Z71" s="613" t="s">
        <v>282</v>
      </c>
      <c r="AB71" s="613">
        <f ca="1">F71*(I71*Calibration!C26+J71*Calibration!C$27)</f>
        <v>1.5676516050520546</v>
      </c>
    </row>
    <row r="72" spans="1:28" hidden="1">
      <c r="A72" s="613">
        <f t="shared" si="10"/>
        <v>15</v>
      </c>
      <c r="B72" s="613" t="str">
        <f t="shared" si="2"/>
        <v>ICH</v>
      </c>
      <c r="C72" s="613" t="s">
        <v>359</v>
      </c>
      <c r="D72" s="613" t="s">
        <v>251</v>
      </c>
      <c r="E72" s="613" t="s">
        <v>360</v>
      </c>
      <c r="F72" s="693">
        <f ca="1">INDEX($Q$28:$U$28,$A72-$A$71)</f>
        <v>16.956250000000001</v>
      </c>
      <c r="G72" s="697">
        <f ca="1">INDEX($Q$29:$U$29,$A72-$A$71)</f>
        <v>1</v>
      </c>
      <c r="H72" s="684">
        <f ca="1">INDEX($C$35:$X$52,RegIndex,$A72-1)</f>
        <v>0.45666179637949766</v>
      </c>
      <c r="I72" s="685">
        <v>0.3</v>
      </c>
      <c r="J72" s="686">
        <f ca="1">(G72-F72*I72*Calibration!C29)/(F72*Calibration!C$35)</f>
        <v>3.0182608428553876E-2</v>
      </c>
      <c r="K72" s="685">
        <f t="shared" si="3"/>
        <v>0.66981739157144604</v>
      </c>
      <c r="M72" s="687">
        <f t="shared" si="4"/>
        <v>2.322981475457957</v>
      </c>
      <c r="N72" s="641">
        <f t="shared" si="5"/>
        <v>0.23371213420177286</v>
      </c>
      <c r="O72" s="688">
        <f t="shared" si="6"/>
        <v>5.1865779752001266</v>
      </c>
      <c r="Q72" s="623" t="s">
        <v>259</v>
      </c>
      <c r="R72" s="689">
        <f t="shared" si="7"/>
        <v>0</v>
      </c>
      <c r="T72" s="613" t="s">
        <v>360</v>
      </c>
      <c r="U72" s="690">
        <f t="shared" ref="U72:V77" si="12">N72/SUMIF($B$58:$B$77,LEFT($T72,3),N$58:N$77)</f>
        <v>1.9881266528595402E-2</v>
      </c>
      <c r="V72" s="691">
        <f t="shared" si="12"/>
        <v>0.27337269622039467</v>
      </c>
      <c r="Y72" s="699">
        <v>60</v>
      </c>
      <c r="AB72" s="692">
        <f ca="1">F72*(I72*Calibration!C29+J72*Calibration!C$35)</f>
        <v>1</v>
      </c>
    </row>
    <row r="73" spans="1:28" hidden="1">
      <c r="A73" s="613">
        <f t="shared" si="10"/>
        <v>16</v>
      </c>
      <c r="B73" s="613" t="str">
        <f t="shared" si="2"/>
        <v>ICH</v>
      </c>
      <c r="C73" s="613" t="s">
        <v>253</v>
      </c>
      <c r="D73" s="613" t="s">
        <v>252</v>
      </c>
      <c r="E73" s="613" t="s">
        <v>972</v>
      </c>
      <c r="F73" s="693">
        <f ca="1">INDEX($Q$28:$U$28,$A73-$A$71)</f>
        <v>9.5918269230769226</v>
      </c>
      <c r="G73" s="697">
        <f ca="1">INDEX($Q$29:$U$29,$A73-$A$71)</f>
        <v>1</v>
      </c>
      <c r="H73" s="684">
        <f ca="1">INDEX($C$35:$X$52,RegIndex,$A73-1)</f>
        <v>0.1470176811051081</v>
      </c>
      <c r="I73" s="685">
        <v>0.25</v>
      </c>
      <c r="J73" s="686">
        <f ca="1">(G73-F73*I73*Calibration!C30)/(F73*Calibration!C$35)</f>
        <v>8.2557735201243057E-2</v>
      </c>
      <c r="K73" s="685">
        <f t="shared" si="3"/>
        <v>0.6674422647987569</v>
      </c>
      <c r="M73" s="687">
        <f t="shared" si="4"/>
        <v>0.35254203794807831</v>
      </c>
      <c r="N73" s="641">
        <f t="shared" si="5"/>
        <v>0.11642028886489612</v>
      </c>
      <c r="O73" s="688">
        <f t="shared" si="6"/>
        <v>0.9412058249793388</v>
      </c>
      <c r="Q73" s="623" t="s">
        <v>370</v>
      </c>
      <c r="R73" s="689">
        <f t="shared" si="7"/>
        <v>2.1028017000000006</v>
      </c>
      <c r="T73" s="613" t="s">
        <v>972</v>
      </c>
      <c r="U73" s="690">
        <f t="shared" si="12"/>
        <v>9.9035627746259722E-3</v>
      </c>
      <c r="V73" s="691">
        <f t="shared" si="12"/>
        <v>4.9608812458471659E-2</v>
      </c>
      <c r="Y73" s="613">
        <v>7.5</v>
      </c>
      <c r="AB73" s="692">
        <f ca="1">F73*(I73*Calibration!C30+J73*Calibration!C$35)</f>
        <v>1</v>
      </c>
    </row>
    <row r="74" spans="1:28" hidden="1">
      <c r="A74" s="613">
        <f t="shared" si="10"/>
        <v>17</v>
      </c>
      <c r="B74" s="613" t="str">
        <f t="shared" si="2"/>
        <v>ICH</v>
      </c>
      <c r="C74" s="613" t="s">
        <v>357</v>
      </c>
      <c r="D74" s="613" t="s">
        <v>254</v>
      </c>
      <c r="E74" s="613" t="s">
        <v>358</v>
      </c>
      <c r="F74" s="693">
        <f ca="1">INDEX($Q$28:$U$28,$A74-$A$71)</f>
        <v>18.5</v>
      </c>
      <c r="G74" s="697">
        <f ca="1">INDEX($Q$29:$U$29,$A74-$A$71)</f>
        <v>4.5</v>
      </c>
      <c r="H74" s="684">
        <f ca="1">INDEX($C$35:$X$52,RegIndex,$A74-1)</f>
        <v>7.3002857142857133E-2</v>
      </c>
      <c r="I74" s="685">
        <v>0.3</v>
      </c>
      <c r="J74" s="686">
        <f ca="1">(G74-F74*I74*Calibration!C31)/(F74*Calibration!C$35)</f>
        <v>0.2221283783783784</v>
      </c>
      <c r="K74" s="685">
        <f t="shared" si="3"/>
        <v>0.47787162162162161</v>
      </c>
      <c r="M74" s="687">
        <f t="shared" si="4"/>
        <v>0.40516585714285708</v>
      </c>
      <c r="N74" s="641">
        <f t="shared" si="5"/>
        <v>0.29999611607142856</v>
      </c>
      <c r="O74" s="688">
        <f t="shared" si="6"/>
        <v>0.64539088392857125</v>
      </c>
      <c r="Q74" s="623" t="s">
        <v>417</v>
      </c>
      <c r="R74" s="689">
        <f t="shared" si="7"/>
        <v>4.2385872000000004</v>
      </c>
      <c r="T74" s="613" t="s">
        <v>358</v>
      </c>
      <c r="U74" s="690">
        <f t="shared" si="12"/>
        <v>2.5519867684791656E-2</v>
      </c>
      <c r="V74" s="691">
        <f t="shared" si="12"/>
        <v>3.4017081570784556E-2</v>
      </c>
      <c r="X74" s="613">
        <v>28</v>
      </c>
      <c r="Y74" s="613">
        <v>39.6</v>
      </c>
      <c r="AB74" s="692">
        <f ca="1">F74*(I74*Calibration!C31+J74*Calibration!C$35)</f>
        <v>4.5</v>
      </c>
    </row>
    <row r="75" spans="1:28" hidden="1">
      <c r="A75" s="613">
        <f t="shared" si="10"/>
        <v>18</v>
      </c>
      <c r="B75" s="613" t="str">
        <f t="shared" si="2"/>
        <v>ICH</v>
      </c>
      <c r="C75" s="613" t="s">
        <v>540</v>
      </c>
      <c r="D75" s="613" t="s">
        <v>539</v>
      </c>
      <c r="E75" s="613" t="s">
        <v>541</v>
      </c>
      <c r="F75" s="693">
        <f ca="1">INDEX($Q$28:$U$28,$A75-$A$71)</f>
        <v>12</v>
      </c>
      <c r="G75" s="697">
        <f ca="1">INDEX($Q$29:$U$29,$A75-$A$71)</f>
        <v>10.5</v>
      </c>
      <c r="H75" s="684">
        <f ca="1">INDEX($C$35:$X$52,RegIndex,$A75-1)</f>
        <v>0.09</v>
      </c>
      <c r="I75" s="685">
        <v>0.8</v>
      </c>
      <c r="J75" s="686">
        <f ca="1">(G75-F75*I75*Calibration!C32)/(F75*Calibration!C$35)</f>
        <v>7.8124999999999875E-2</v>
      </c>
      <c r="K75" s="685">
        <f t="shared" si="3"/>
        <v>0.12187500000000007</v>
      </c>
      <c r="M75" s="687">
        <f t="shared" si="4"/>
        <v>0.8640000000000001</v>
      </c>
      <c r="N75" s="641">
        <f t="shared" si="5"/>
        <v>8.4374999999999867E-2</v>
      </c>
      <c r="O75" s="688">
        <f t="shared" si="6"/>
        <v>0.13162500000000008</v>
      </c>
      <c r="Q75" s="623" t="s">
        <v>418</v>
      </c>
      <c r="R75" s="689">
        <f t="shared" si="7"/>
        <v>0.55902224512544607</v>
      </c>
      <c r="T75" s="613" t="s">
        <v>541</v>
      </c>
      <c r="U75" s="690">
        <f t="shared" si="12"/>
        <v>7.17755571005996E-3</v>
      </c>
      <c r="V75" s="691">
        <f t="shared" si="12"/>
        <v>6.9376535573286279E-3</v>
      </c>
      <c r="AB75" s="692">
        <f ca="1">F75*(I75*Calibration!C32+J75*Calibration!C$35)</f>
        <v>10.499999999999998</v>
      </c>
    </row>
    <row r="76" spans="1:28" hidden="1">
      <c r="A76" s="613">
        <f t="shared" si="10"/>
        <v>19</v>
      </c>
      <c r="B76" s="613" t="str">
        <f t="shared" si="2"/>
        <v>ICH</v>
      </c>
      <c r="C76" s="613" t="s">
        <v>354</v>
      </c>
      <c r="D76" s="613" t="s">
        <v>353</v>
      </c>
      <c r="E76" s="613" t="s">
        <v>356</v>
      </c>
      <c r="F76" s="693">
        <f ca="1">INDEX($Q$28:$U$28,A76-A$71)</f>
        <v>10.5</v>
      </c>
      <c r="G76" s="697">
        <f ca="1">INDEX($Q$29:$U$29,$A76-$A$71)</f>
        <v>0.5</v>
      </c>
      <c r="H76" s="684">
        <f ca="1">INDEX($C$35:$X$52,RegIndex,$A76-1)</f>
        <v>0</v>
      </c>
      <c r="I76" s="685">
        <v>0.3</v>
      </c>
      <c r="J76" s="686">
        <f ca="1">(G76-F76*I76*Calibration!C33)/(F76*Calibration!C$35)</f>
        <v>1.8353174603174604E-2</v>
      </c>
      <c r="K76" s="685">
        <f t="shared" si="3"/>
        <v>0.68164682539682531</v>
      </c>
      <c r="M76" s="687">
        <f t="shared" si="4"/>
        <v>0</v>
      </c>
      <c r="N76" s="641">
        <f t="shared" si="5"/>
        <v>0</v>
      </c>
      <c r="O76" s="688">
        <f t="shared" si="6"/>
        <v>0</v>
      </c>
      <c r="Q76" s="623" t="s">
        <v>968</v>
      </c>
      <c r="R76" s="689">
        <f t="shared" si="7"/>
        <v>2.3776382644478566</v>
      </c>
      <c r="T76" s="613" t="s">
        <v>356</v>
      </c>
      <c r="U76" s="690">
        <f t="shared" si="12"/>
        <v>0</v>
      </c>
      <c r="V76" s="691">
        <f t="shared" si="12"/>
        <v>0</v>
      </c>
      <c r="AB76" s="692">
        <f ca="1">F76*(I76*Calibration!C33+J76*Calibration!C$35)</f>
        <v>0.5</v>
      </c>
    </row>
    <row r="77" spans="1:28" hidden="1">
      <c r="B77" s="613" t="str">
        <f t="shared" si="2"/>
        <v>ICH</v>
      </c>
      <c r="C77" s="613" t="s">
        <v>535</v>
      </c>
      <c r="D77" s="613" t="s">
        <v>560</v>
      </c>
      <c r="E77" s="613" t="s">
        <v>536</v>
      </c>
      <c r="F77" s="693">
        <f ca="1">MAX(G77,Calibration!T60-SUM(M72:O76))</f>
        <v>33.353196938377486</v>
      </c>
      <c r="G77" s="694">
        <f ca="1">MAX(0,IEAData!B30-SUMPRODUCT(H72:H76,F72:F76,I72:I76*Calibration!C29:C33+J72:J76*Calibration!C35))</f>
        <v>14.685876460699774</v>
      </c>
      <c r="H77" s="684">
        <v>1</v>
      </c>
      <c r="I77" s="695">
        <f ca="1">IF(F77&gt;0,MIN(1-J77,(G77-F77*J77*Calibration!C35)/Calibration!C34/F77),0)</f>
        <v>0.30775318188172213</v>
      </c>
      <c r="J77" s="696">
        <f ca="1">IF(F77&gt;0,(G77/F77)^1.35,1)</f>
        <v>0.33042982752278904</v>
      </c>
      <c r="K77" s="695">
        <f t="shared" si="3"/>
        <v>0.36181699059548883</v>
      </c>
      <c r="M77" s="687">
        <f t="shared" si="4"/>
        <v>10.264552483713384</v>
      </c>
      <c r="N77" s="641">
        <f t="shared" si="5"/>
        <v>11.020891111681689</v>
      </c>
      <c r="O77" s="688">
        <f t="shared" si="6"/>
        <v>12.067753342982414</v>
      </c>
      <c r="Q77" s="623" t="s">
        <v>969</v>
      </c>
      <c r="R77" s="689">
        <f t="shared" si="7"/>
        <v>3.095785434708354</v>
      </c>
      <c r="T77" s="613" t="s">
        <v>536</v>
      </c>
      <c r="U77" s="690">
        <f t="shared" si="12"/>
        <v>0.93751774730192694</v>
      </c>
      <c r="V77" s="691">
        <f t="shared" si="12"/>
        <v>0.63606375619302058</v>
      </c>
    </row>
    <row r="78" spans="1:28" hidden="1">
      <c r="A78" s="613">
        <v>20</v>
      </c>
      <c r="B78" s="613" t="str">
        <f t="shared" si="2"/>
        <v>ILP</v>
      </c>
      <c r="C78" s="613" t="s">
        <v>454</v>
      </c>
      <c r="D78" s="613" t="s">
        <v>250</v>
      </c>
      <c r="E78" s="613" t="s">
        <v>341</v>
      </c>
      <c r="F78" s="682">
        <f ca="1">L123</f>
        <v>9.4906480381714129</v>
      </c>
      <c r="G78" s="683">
        <f ca="1">K128</f>
        <v>2.6158929936305735</v>
      </c>
      <c r="H78" s="684">
        <f ca="1">INDEX($C$35:$X$52,RegIndex,$A78-1)</f>
        <v>11.757999999999999</v>
      </c>
      <c r="I78" s="685">
        <f ca="1">0.5/F78</f>
        <v>5.2683441424547471E-2</v>
      </c>
      <c r="J78" s="686">
        <f ca="1">(G78-F78*I78*Calibration!C37)/(F78*Calibration!C$42)</f>
        <v>0.27562849060564087</v>
      </c>
      <c r="K78" s="685">
        <f t="shared" si="3"/>
        <v>0.67168806796981162</v>
      </c>
      <c r="M78" s="687">
        <f t="shared" si="4"/>
        <v>5.8789999999999996</v>
      </c>
      <c r="N78" s="641">
        <f t="shared" si="5"/>
        <v>30.757669819108276</v>
      </c>
      <c r="O78" s="688">
        <f t="shared" si="6"/>
        <v>74.954369813711182</v>
      </c>
      <c r="Q78" s="623" t="s">
        <v>360</v>
      </c>
      <c r="R78" s="689">
        <f t="shared" si="7"/>
        <v>2.322981475457957</v>
      </c>
      <c r="T78" s="613" t="s">
        <v>341</v>
      </c>
      <c r="U78" s="690">
        <f t="shared" ref="U78:U83" si="13">N78/SUMIF($B$58:$B$83,LEFT($T78,3),N$58:N$83)</f>
        <v>0.40096457235985405</v>
      </c>
      <c r="V78" s="691">
        <f t="shared" ref="V78:V83" si="14">IF(O78,O78/SUMIF($B$58:$B$83,LEFT($T78,3),O$58:O$83),0)</f>
        <v>0.47114307665403077</v>
      </c>
      <c r="Y78" s="613">
        <f>13+0.9</f>
        <v>13.9</v>
      </c>
      <c r="AB78" s="700">
        <f ca="1">F78*(I78*Calibration!C37+J78*Calibration!C$42)</f>
        <v>2.6158929936305735</v>
      </c>
    </row>
    <row r="79" spans="1:28" hidden="1">
      <c r="A79" s="613">
        <f>A78+1</f>
        <v>21</v>
      </c>
      <c r="B79" s="613" t="str">
        <f t="shared" si="2"/>
        <v>ILP</v>
      </c>
      <c r="C79" s="613" t="s">
        <v>340</v>
      </c>
      <c r="D79" s="613" t="s">
        <v>249</v>
      </c>
      <c r="E79" s="613" t="s">
        <v>342</v>
      </c>
      <c r="F79" s="682">
        <f ca="1">L124</f>
        <v>6.2934919119468509</v>
      </c>
      <c r="G79" s="683">
        <f ca="1">K129</f>
        <v>8.4771799941015953</v>
      </c>
      <c r="H79" s="684">
        <f ca="1">INDEX($C$35:$X$52,RegIndex,$A79-1)*H$78</f>
        <v>3.3431457999999998</v>
      </c>
      <c r="I79" s="685">
        <v>0</v>
      </c>
      <c r="J79" s="686">
        <f ca="1">(G79-F79*I79*Calibration!C38)/(F79*Calibration!C$42)</f>
        <v>1.3469755920412767</v>
      </c>
      <c r="K79" s="685">
        <f t="shared" si="3"/>
        <v>-0.3469755920412767</v>
      </c>
      <c r="M79" s="687">
        <f t="shared" si="4"/>
        <v>0</v>
      </c>
      <c r="N79" s="641">
        <f t="shared" si="5"/>
        <v>28.340448693124774</v>
      </c>
      <c r="O79" s="688">
        <f t="shared" si="6"/>
        <v>-7.30038764036569</v>
      </c>
      <c r="Q79" s="623" t="s">
        <v>972</v>
      </c>
      <c r="R79" s="689">
        <f t="shared" si="7"/>
        <v>0.35254203794807831</v>
      </c>
      <c r="T79" s="613" t="s">
        <v>342</v>
      </c>
      <c r="U79" s="690">
        <f t="shared" si="13"/>
        <v>0.36945308137957666</v>
      </c>
      <c r="V79" s="691">
        <f t="shared" si="14"/>
        <v>-4.5888279792057812E-2</v>
      </c>
      <c r="Y79" s="613">
        <f>0+7.3</f>
        <v>7.3</v>
      </c>
      <c r="AB79" s="613">
        <f ca="1">F79*(I79*Calibration!C38+J79*Calibration!C$42)</f>
        <v>8.4771799941015953</v>
      </c>
    </row>
    <row r="80" spans="1:28" hidden="1">
      <c r="A80" s="613">
        <f>A79+1</f>
        <v>22</v>
      </c>
      <c r="B80" s="613" t="str">
        <f t="shared" si="2"/>
        <v>ILP</v>
      </c>
      <c r="C80" s="613" t="s">
        <v>347</v>
      </c>
      <c r="D80" s="613" t="s">
        <v>247</v>
      </c>
      <c r="E80" s="613" t="s">
        <v>343</v>
      </c>
      <c r="F80" s="682">
        <f ca="1">L125</f>
        <v>16.881827068900289</v>
      </c>
      <c r="G80" s="683">
        <f ca="1">K130</f>
        <v>2.356484405408529</v>
      </c>
      <c r="H80" s="684">
        <f ca="1">INDEX($C$35:$X$52,RegIndex,$A80-1)*H$78</f>
        <v>7.1648541999999997</v>
      </c>
      <c r="I80" s="685">
        <f ca="1">1.8/F80</f>
        <v>0.10662353029998518</v>
      </c>
      <c r="J80" s="686">
        <f ca="1">(G80-F80*I80*Calibration!C39)/(F80*Calibration!C$42)</f>
        <v>0.13958704800084382</v>
      </c>
      <c r="K80" s="685">
        <f t="shared" si="3"/>
        <v>0.75378942169917096</v>
      </c>
      <c r="M80" s="687">
        <f t="shared" si="4"/>
        <v>12.89673756</v>
      </c>
      <c r="N80" s="641">
        <f t="shared" si="5"/>
        <v>16.883867189325802</v>
      </c>
      <c r="O80" s="688">
        <f t="shared" si="6"/>
        <v>91.175224828958122</v>
      </c>
      <c r="Q80" s="623" t="s">
        <v>358</v>
      </c>
      <c r="R80" s="689">
        <f t="shared" si="7"/>
        <v>0.40516585714285708</v>
      </c>
      <c r="T80" s="613" t="s">
        <v>343</v>
      </c>
      <c r="U80" s="690">
        <f t="shared" si="13"/>
        <v>0.22010225830380742</v>
      </c>
      <c r="V80" s="691">
        <f t="shared" si="14"/>
        <v>0.57310302317664719</v>
      </c>
      <c r="Y80" s="613">
        <f>5.1+2.2</f>
        <v>7.3</v>
      </c>
      <c r="AB80" s="700">
        <f ca="1">F80*(I80*Calibration!C39+J80*Calibration!C$42)</f>
        <v>2.356484405408529</v>
      </c>
    </row>
    <row r="81" spans="1:28" hidden="1">
      <c r="A81" s="613">
        <f>A80+1</f>
        <v>23</v>
      </c>
      <c r="B81" s="613" t="str">
        <f t="shared" si="2"/>
        <v>ILP</v>
      </c>
      <c r="C81" s="613" t="s">
        <v>339</v>
      </c>
      <c r="D81" s="613" t="s">
        <v>338</v>
      </c>
      <c r="E81" s="613" t="s">
        <v>344</v>
      </c>
      <c r="F81" s="682">
        <f ca="1">L126</f>
        <v>2.7094634146341465</v>
      </c>
      <c r="G81" s="694">
        <f ca="1">K131</f>
        <v>1.3680000000000001</v>
      </c>
      <c r="H81" s="684">
        <f ca="1">INDEX($C$35:$X$52,RegIndex,$A81-1)*H$78</f>
        <v>0.53158619999999945</v>
      </c>
      <c r="I81" s="685">
        <f ca="1">0.85/F81</f>
        <v>0.31371525277257667</v>
      </c>
      <c r="J81" s="686">
        <f ca="1">(G81-F81*I81*Calibration!C40)/(F81*Calibration!C$42)</f>
        <v>0.50489701857986458</v>
      </c>
      <c r="K81" s="685">
        <f t="shared" si="3"/>
        <v>0.18138772864755875</v>
      </c>
      <c r="M81" s="687">
        <f t="shared" si="4"/>
        <v>0.45184826999999955</v>
      </c>
      <c r="N81" s="641">
        <f t="shared" si="5"/>
        <v>0.72720992159999931</v>
      </c>
      <c r="O81" s="688">
        <f t="shared" si="6"/>
        <v>0.26125516902439011</v>
      </c>
      <c r="Q81" s="623" t="s">
        <v>541</v>
      </c>
      <c r="R81" s="689">
        <f t="shared" si="7"/>
        <v>0.8640000000000001</v>
      </c>
      <c r="T81" s="613" t="s">
        <v>344</v>
      </c>
      <c r="U81" s="690">
        <f t="shared" si="13"/>
        <v>9.4800879567618797E-3</v>
      </c>
      <c r="V81" s="691">
        <f t="shared" si="14"/>
        <v>1.6421799613797001E-3</v>
      </c>
    </row>
    <row r="82" spans="1:28" hidden="1">
      <c r="B82" s="613" t="str">
        <f t="shared" si="2"/>
        <v>ILP</v>
      </c>
      <c r="C82" s="613" t="s">
        <v>346</v>
      </c>
      <c r="D82" s="613" t="s">
        <v>560</v>
      </c>
      <c r="E82" s="613" t="s">
        <v>345</v>
      </c>
      <c r="F82" s="693">
        <f ca="1">MAX(G82,Calibration!U61+Calibration!C61-SUM(M78:O81)-F83*H83)</f>
        <v>0</v>
      </c>
      <c r="G82" s="694">
        <f ca="1">MAX(0,IEAData!B31-SUMPRODUCT(H78:H81,F78:F81,I78:I81*Calibration!C37:C40+J78:J81*Calibration!C42)-G83*H83)</f>
        <v>0</v>
      </c>
      <c r="H82" s="684">
        <v>1</v>
      </c>
      <c r="I82" s="695">
        <f ca="1">IF(F82&gt;0,MIN(1-J82,(G82-F82*J82*Calibration!C42)/Calibration!C41/F82),0)</f>
        <v>0</v>
      </c>
      <c r="J82" s="696">
        <f ca="1">IF(F82&gt;0,(G82/F82)^1.2,1)</f>
        <v>1</v>
      </c>
      <c r="K82" s="695">
        <f t="shared" si="3"/>
        <v>0</v>
      </c>
      <c r="M82" s="687">
        <f t="shared" si="4"/>
        <v>0</v>
      </c>
      <c r="N82" s="641">
        <f t="shared" si="5"/>
        <v>0</v>
      </c>
      <c r="O82" s="688">
        <f t="shared" si="6"/>
        <v>0</v>
      </c>
      <c r="Q82" s="623" t="s">
        <v>356</v>
      </c>
      <c r="R82" s="689">
        <f t="shared" si="7"/>
        <v>0</v>
      </c>
      <c r="T82" s="613" t="s">
        <v>345</v>
      </c>
      <c r="U82" s="690">
        <f t="shared" si="13"/>
        <v>0</v>
      </c>
      <c r="V82" s="691">
        <f t="shared" si="14"/>
        <v>0</v>
      </c>
      <c r="AB82" s="700">
        <f ca="1">F82*(I82*Calibration!C41+J82*Calibration!C$42)</f>
        <v>0</v>
      </c>
    </row>
    <row r="83" spans="1:28" hidden="1">
      <c r="B83" s="613" t="str">
        <f t="shared" si="2"/>
        <v>ILP</v>
      </c>
      <c r="C83" s="613" t="s">
        <v>1392</v>
      </c>
      <c r="D83" s="613" t="s">
        <v>1207</v>
      </c>
      <c r="E83" s="613" t="s">
        <v>1147</v>
      </c>
      <c r="F83" s="701">
        <f>L128*H83</f>
        <v>0</v>
      </c>
      <c r="G83" s="701">
        <f>L133*H83</f>
        <v>0</v>
      </c>
      <c r="H83" s="702">
        <v>0</v>
      </c>
      <c r="I83" s="695">
        <v>0</v>
      </c>
      <c r="J83" s="696" t="b">
        <f>IF(H83,G83/F83)</f>
        <v>0</v>
      </c>
      <c r="K83" s="695">
        <f t="shared" si="3"/>
        <v>1</v>
      </c>
      <c r="M83" s="687">
        <f t="shared" si="4"/>
        <v>0</v>
      </c>
      <c r="N83" s="641">
        <f t="shared" si="5"/>
        <v>0</v>
      </c>
      <c r="O83" s="688">
        <f t="shared" si="6"/>
        <v>0</v>
      </c>
      <c r="Q83" s="623" t="s">
        <v>536</v>
      </c>
      <c r="R83" s="689">
        <f t="shared" si="7"/>
        <v>10.264552483713384</v>
      </c>
      <c r="T83" s="613" t="s">
        <v>1147</v>
      </c>
      <c r="U83" s="690">
        <f t="shared" si="13"/>
        <v>0</v>
      </c>
      <c r="V83" s="691">
        <f t="shared" si="14"/>
        <v>0</v>
      </c>
    </row>
    <row r="84" spans="1:28" hidden="1">
      <c r="D84" s="613" t="s">
        <v>225</v>
      </c>
      <c r="E84" s="613" t="s">
        <v>962</v>
      </c>
      <c r="F84" s="703"/>
      <c r="M84" s="687">
        <f>SUMIF($B$58:$B$80,LEFT(E84,3),$N$58:$N$80)</f>
        <v>7.5807334921563374</v>
      </c>
      <c r="N84" s="641"/>
      <c r="O84" s="688"/>
      <c r="Q84" s="623" t="s">
        <v>973</v>
      </c>
      <c r="R84" s="689">
        <f t="shared" si="7"/>
        <v>11.755394650819786</v>
      </c>
    </row>
    <row r="85" spans="1:28" hidden="1">
      <c r="D85" s="613" t="s">
        <v>241</v>
      </c>
      <c r="E85" s="613" t="s">
        <v>966</v>
      </c>
      <c r="M85" s="687">
        <f>SUMIF($B$58:$B$80,LEFT(E85,3),$N$58:$N$80)</f>
        <v>2.484196781409695</v>
      </c>
      <c r="N85" s="641"/>
      <c r="O85" s="688"/>
      <c r="Q85" s="623" t="s">
        <v>974</v>
      </c>
      <c r="R85" s="689">
        <f t="shared" si="7"/>
        <v>18.972553027090449</v>
      </c>
    </row>
    <row r="86" spans="1:28" hidden="1">
      <c r="D86" s="613" t="s">
        <v>237</v>
      </c>
      <c r="E86" s="613" t="s">
        <v>968</v>
      </c>
      <c r="M86" s="687">
        <f>SUMIF($B$58:$B$80,LEFT(E86,3),$N$58:$N$80)</f>
        <v>2.3776382644478566</v>
      </c>
      <c r="N86" s="641"/>
      <c r="O86" s="688"/>
      <c r="Q86" s="623" t="s">
        <v>341</v>
      </c>
      <c r="R86" s="689">
        <f t="shared" si="7"/>
        <v>5.8789999999999996</v>
      </c>
      <c r="T86" s="612" t="s">
        <v>328</v>
      </c>
    </row>
    <row r="87" spans="1:28" hidden="1">
      <c r="D87" s="613" t="s">
        <v>230</v>
      </c>
      <c r="E87" s="613" t="s">
        <v>973</v>
      </c>
      <c r="M87" s="687">
        <f>SUMIF($B$58:$B$80,LEFT(E87,3),$N$58:$N$80)</f>
        <v>11.755394650819786</v>
      </c>
      <c r="N87" s="641"/>
      <c r="O87" s="688"/>
      <c r="Q87" s="623" t="s">
        <v>342</v>
      </c>
      <c r="R87" s="689">
        <f t="shared" si="7"/>
        <v>0</v>
      </c>
      <c r="V87" s="613" t="s">
        <v>329</v>
      </c>
      <c r="W87" s="613" t="s">
        <v>330</v>
      </c>
    </row>
    <row r="88" spans="1:28" hidden="1">
      <c r="D88" s="613" t="s">
        <v>233</v>
      </c>
      <c r="E88" s="613" t="s">
        <v>970</v>
      </c>
      <c r="M88" s="687">
        <f>SUMIF($B$58:$B$82,LEFT(E88,3),$N$58:$N$82)</f>
        <v>76.709195623158848</v>
      </c>
      <c r="N88" s="641"/>
      <c r="O88" s="688"/>
      <c r="Q88" s="623" t="s">
        <v>343</v>
      </c>
      <c r="R88" s="689">
        <f t="shared" si="7"/>
        <v>12.89673756</v>
      </c>
      <c r="T88" s="613" t="s">
        <v>359</v>
      </c>
      <c r="U88" s="614">
        <f>A72</f>
        <v>15</v>
      </c>
      <c r="V88" s="705">
        <v>47</v>
      </c>
      <c r="W88" s="700">
        <f>VLOOKUP($C$3,$B$35:$X$52,U88,FALSE)*V88</f>
        <v>21.463104429836392</v>
      </c>
    </row>
    <row r="89" spans="1:28" hidden="1">
      <c r="D89" s="613" t="s">
        <v>226</v>
      </c>
      <c r="E89" s="613" t="s">
        <v>963</v>
      </c>
      <c r="M89" s="687">
        <f>SUMIF($B$58:$B$80,LEFT(E89,3),$O$58:$O$80)</f>
        <v>5.6189102294658788</v>
      </c>
      <c r="N89" s="641"/>
      <c r="O89" s="688"/>
      <c r="Q89" s="623" t="s">
        <v>344</v>
      </c>
      <c r="R89" s="689">
        <f t="shared" si="7"/>
        <v>0.45184826999999955</v>
      </c>
      <c r="T89" s="613" t="s">
        <v>253</v>
      </c>
      <c r="U89" s="614">
        <f>A73</f>
        <v>16</v>
      </c>
      <c r="V89" s="705">
        <v>42.5</v>
      </c>
      <c r="W89" s="700">
        <f>VLOOKUP($C$3,$B$35:$X$52,U89,FALSE)*V89</f>
        <v>6.2482514469670942</v>
      </c>
    </row>
    <row r="90" spans="1:28" hidden="1">
      <c r="D90" s="613" t="s">
        <v>242</v>
      </c>
      <c r="E90" s="613" t="s">
        <v>967</v>
      </c>
      <c r="M90" s="687">
        <f>SUMIF($B$58:$B$80,LEFT(E90,3),$O$58:$O$80)</f>
        <v>0.41882695262966063</v>
      </c>
      <c r="N90" s="641"/>
      <c r="O90" s="688"/>
      <c r="Q90" s="623" t="s">
        <v>345</v>
      </c>
      <c r="R90" s="689">
        <f t="shared" si="7"/>
        <v>0</v>
      </c>
      <c r="T90" s="613" t="s">
        <v>357</v>
      </c>
      <c r="U90" s="614">
        <f>A74</f>
        <v>17</v>
      </c>
      <c r="V90" s="705">
        <v>21</v>
      </c>
      <c r="W90" s="700">
        <f>VLOOKUP($C$3,$B$35:$X$52,U90,FALSE)*V90</f>
        <v>1.5330599999999999</v>
      </c>
    </row>
    <row r="91" spans="1:28" hidden="1">
      <c r="D91" s="613" t="s">
        <v>238</v>
      </c>
      <c r="E91" s="613" t="s">
        <v>969</v>
      </c>
      <c r="M91" s="687">
        <f>SUMIF($B$58:$B$80,LEFT(E91,3),$O$58:$O$80)</f>
        <v>3.095785434708354</v>
      </c>
      <c r="N91" s="641"/>
      <c r="O91" s="688"/>
      <c r="Q91" s="623" t="s">
        <v>970</v>
      </c>
      <c r="R91" s="689">
        <f t="shared" si="7"/>
        <v>76.709195623158848</v>
      </c>
      <c r="T91" s="613" t="s">
        <v>354</v>
      </c>
      <c r="U91" s="614">
        <f>A76</f>
        <v>19</v>
      </c>
      <c r="V91" s="705">
        <v>20</v>
      </c>
      <c r="W91" s="700">
        <f>VLOOKUP($C$3,$B$35:$X$52,U91,FALSE)*V91</f>
        <v>0</v>
      </c>
    </row>
    <row r="92" spans="1:28" hidden="1">
      <c r="D92" s="613" t="s">
        <v>229</v>
      </c>
      <c r="E92" s="613" t="s">
        <v>974</v>
      </c>
      <c r="M92" s="687">
        <f>SUMIF($B$58:$B$80,LEFT(E92,3),$O$58:$O$80)</f>
        <v>18.972553027090449</v>
      </c>
      <c r="N92" s="641"/>
      <c r="O92" s="688"/>
      <c r="Q92" s="623" t="s">
        <v>971</v>
      </c>
      <c r="R92" s="689">
        <f t="shared" si="7"/>
        <v>159.09046217132803</v>
      </c>
      <c r="T92" s="613" t="s">
        <v>535</v>
      </c>
      <c r="U92" s="614">
        <f>A77</f>
        <v>0</v>
      </c>
      <c r="V92" s="706">
        <f ca="1">MAX(0,IEAData!$S$37-SUM(W88:W91))</f>
        <v>1.5998737071965152</v>
      </c>
      <c r="W92" s="700">
        <f>V92</f>
        <v>1.5998737071965152</v>
      </c>
    </row>
    <row r="93" spans="1:28" hidden="1">
      <c r="D93" s="613" t="s">
        <v>234</v>
      </c>
      <c r="E93" s="613" t="s">
        <v>971</v>
      </c>
      <c r="M93" s="687">
        <f>SUMIF($B$58:$B$83,LEFT(E93,3),$O$58:$O$83)</f>
        <v>159.09046217132803</v>
      </c>
      <c r="N93" s="641"/>
      <c r="O93" s="688"/>
      <c r="Q93" s="704"/>
      <c r="R93" s="704"/>
    </row>
    <row r="94" spans="1:28" hidden="1"/>
    <row r="95" spans="1:28" hidden="1"/>
    <row r="96" spans="1:28" hidden="1"/>
    <row r="97" spans="1:21" hidden="1"/>
    <row r="98" spans="1:21" ht="18" hidden="1">
      <c r="A98" s="707" t="s">
        <v>1128</v>
      </c>
      <c r="B98" s="708"/>
      <c r="C98" s="708"/>
      <c r="D98" s="708"/>
      <c r="E98" s="708"/>
      <c r="F98" s="708"/>
      <c r="G98" s="708"/>
      <c r="H98" s="708"/>
      <c r="I98" s="708"/>
      <c r="J98" s="708"/>
      <c r="K98" s="708"/>
      <c r="L98" s="708"/>
      <c r="M98" s="708"/>
      <c r="N98" s="708"/>
      <c r="O98" s="708"/>
      <c r="P98" s="708"/>
    </row>
    <row r="99" spans="1:21" hidden="1">
      <c r="H99" s="681"/>
      <c r="I99" s="681"/>
    </row>
    <row r="100" spans="1:21" hidden="1">
      <c r="B100" s="709">
        <f ca="1">BaseYear</f>
        <v>2010</v>
      </c>
      <c r="C100" s="613" t="s">
        <v>446</v>
      </c>
      <c r="L100" s="710">
        <f>MATCH(Region,$G$101:$K$101,0)</f>
        <v>3</v>
      </c>
      <c r="P100" s="614" t="s">
        <v>50</v>
      </c>
    </row>
    <row r="101" spans="1:21" hidden="1">
      <c r="C101" s="613" t="s">
        <v>447</v>
      </c>
      <c r="G101" s="613" t="s">
        <v>1341</v>
      </c>
      <c r="H101" s="613" t="s">
        <v>1097</v>
      </c>
      <c r="I101" s="613" t="s">
        <v>86</v>
      </c>
      <c r="J101" s="613" t="s">
        <v>1098</v>
      </c>
      <c r="K101" s="613" t="s">
        <v>1099</v>
      </c>
      <c r="L101" s="613" t="s">
        <v>1194</v>
      </c>
      <c r="N101" s="613" t="s">
        <v>983</v>
      </c>
      <c r="O101" s="613" t="s">
        <v>450</v>
      </c>
      <c r="P101" s="711">
        <v>0.81</v>
      </c>
      <c r="S101" s="612" t="s">
        <v>1215</v>
      </c>
    </row>
    <row r="102" spans="1:21" hidden="1">
      <c r="B102" s="631" t="s">
        <v>264</v>
      </c>
      <c r="C102" s="712">
        <v>2.2870539999999999</v>
      </c>
      <c r="E102" s="613" t="s">
        <v>446</v>
      </c>
      <c r="F102" s="613" t="s">
        <v>284</v>
      </c>
      <c r="G102" s="681">
        <v>0</v>
      </c>
      <c r="H102" s="713">
        <v>0.154636</v>
      </c>
      <c r="I102" s="636">
        <v>7.2658569999999996</v>
      </c>
      <c r="J102" s="636">
        <v>0.81599999999999995</v>
      </c>
      <c r="K102" s="714">
        <v>3.2549999999999999</v>
      </c>
      <c r="L102" s="638">
        <f t="shared" ref="L102:L126" si="15">INDEX($G102:$K102,$L$100)</f>
        <v>7.2658569999999996</v>
      </c>
      <c r="N102" s="613" t="s">
        <v>451</v>
      </c>
      <c r="O102" s="613" t="s">
        <v>913</v>
      </c>
      <c r="P102" s="715">
        <v>0.9</v>
      </c>
      <c r="S102" s="613" t="s">
        <v>1182</v>
      </c>
      <c r="T102" s="681">
        <f>L102</f>
        <v>7.2658569999999996</v>
      </c>
      <c r="U102" s="681">
        <f>T102*L121</f>
        <v>4.9312285808873533</v>
      </c>
    </row>
    <row r="103" spans="1:21" hidden="1">
      <c r="B103" s="638" t="s">
        <v>265</v>
      </c>
      <c r="C103" s="716">
        <v>2.6005050000000001</v>
      </c>
      <c r="E103" s="613" t="s">
        <v>1131</v>
      </c>
      <c r="F103" s="613" t="s">
        <v>1132</v>
      </c>
      <c r="G103" s="651">
        <v>0</v>
      </c>
      <c r="H103" s="645">
        <v>0</v>
      </c>
      <c r="I103" s="647">
        <v>1.7529999999999999</v>
      </c>
      <c r="J103" s="647">
        <v>0.37203000000000003</v>
      </c>
      <c r="K103" s="717">
        <v>2.5973809999999999</v>
      </c>
      <c r="L103" s="638">
        <f t="shared" si="15"/>
        <v>1.7529999999999999</v>
      </c>
      <c r="N103" s="613" t="s">
        <v>451</v>
      </c>
      <c r="O103" s="613" t="s">
        <v>906</v>
      </c>
      <c r="P103" s="715">
        <v>0.9</v>
      </c>
      <c r="S103" s="613" t="s">
        <v>1183</v>
      </c>
      <c r="T103" s="681">
        <f>H78-T102</f>
        <v>4.4921429999999996</v>
      </c>
      <c r="U103" s="681">
        <f>T103*L122</f>
        <v>4.3553576191126444</v>
      </c>
    </row>
    <row r="104" spans="1:21" hidden="1">
      <c r="B104" s="638" t="s">
        <v>266</v>
      </c>
      <c r="C104" s="716">
        <v>3.3400129999999999</v>
      </c>
      <c r="E104" s="613" t="s">
        <v>1388</v>
      </c>
      <c r="F104" s="613" t="s">
        <v>1389</v>
      </c>
      <c r="H104" s="613">
        <v>0</v>
      </c>
      <c r="I104" s="613">
        <v>0</v>
      </c>
      <c r="J104" s="613">
        <v>0</v>
      </c>
      <c r="K104" s="613">
        <v>0</v>
      </c>
      <c r="L104" s="638">
        <f t="shared" si="15"/>
        <v>0</v>
      </c>
      <c r="N104" s="613" t="s">
        <v>451</v>
      </c>
      <c r="O104" s="613" t="s">
        <v>655</v>
      </c>
      <c r="P104" s="649">
        <v>0.8</v>
      </c>
    </row>
    <row r="105" spans="1:21" hidden="1">
      <c r="B105" s="638" t="s">
        <v>267</v>
      </c>
      <c r="C105" s="716">
        <v>18.723914000000001</v>
      </c>
      <c r="E105" s="613" t="s">
        <v>1133</v>
      </c>
      <c r="F105" s="613" t="s">
        <v>1134</v>
      </c>
      <c r="G105" s="681">
        <v>0.1</v>
      </c>
      <c r="H105" s="681">
        <v>0.53862999999999994</v>
      </c>
      <c r="I105" s="681">
        <v>10.499821000000001</v>
      </c>
      <c r="J105" s="681">
        <v>2.1475040000000001</v>
      </c>
      <c r="K105" s="681">
        <v>16.866182999999999</v>
      </c>
      <c r="L105" s="689">
        <f t="shared" si="15"/>
        <v>10.499821000000001</v>
      </c>
      <c r="N105" s="613" t="s">
        <v>1391</v>
      </c>
      <c r="P105" s="718">
        <f>SUM(L103:L104)</f>
        <v>1.7529999999999999</v>
      </c>
      <c r="S105" s="612" t="s">
        <v>1188</v>
      </c>
    </row>
    <row r="106" spans="1:21" hidden="1">
      <c r="B106" s="638" t="s">
        <v>1094</v>
      </c>
      <c r="C106" s="716">
        <v>1.9302619999999999</v>
      </c>
      <c r="E106" s="613" t="s">
        <v>1129</v>
      </c>
      <c r="F106" s="613" t="s">
        <v>1130</v>
      </c>
      <c r="G106" s="651">
        <v>15</v>
      </c>
      <c r="H106" s="651">
        <v>16.104803544529247</v>
      </c>
      <c r="I106" s="651">
        <v>18.936882204804672</v>
      </c>
      <c r="J106" s="651">
        <v>16.104803544529247</v>
      </c>
      <c r="K106" s="651">
        <v>16.441081081081084</v>
      </c>
      <c r="L106" s="689">
        <f t="shared" si="15"/>
        <v>18.936882204804672</v>
      </c>
      <c r="N106" s="613" t="s">
        <v>1143</v>
      </c>
      <c r="P106" s="719">
        <f>INDEX($G108:$K108,L$100)</f>
        <v>5.0999999999999996</v>
      </c>
      <c r="S106" s="613" t="s">
        <v>1174</v>
      </c>
      <c r="T106" s="700">
        <f>L113*H$79</f>
        <v>1.0824305483712624</v>
      </c>
      <c r="U106" s="700">
        <f>IF(U$102,T106/U$102,0)</f>
        <v>0.21950524714400557</v>
      </c>
    </row>
    <row r="107" spans="1:21" hidden="1">
      <c r="B107" s="638" t="s">
        <v>268</v>
      </c>
      <c r="C107" s="716">
        <v>4.0889009999999999</v>
      </c>
      <c r="E107" s="613" t="s">
        <v>1135</v>
      </c>
      <c r="F107" s="613" t="s">
        <v>1187</v>
      </c>
      <c r="G107" s="681">
        <f>I107</f>
        <v>0.77</v>
      </c>
      <c r="H107" s="681">
        <v>0.8</v>
      </c>
      <c r="I107" s="681">
        <v>0.77</v>
      </c>
      <c r="J107" s="681">
        <v>0.8</v>
      </c>
      <c r="K107" s="681">
        <v>0.61381314545513455</v>
      </c>
      <c r="L107" s="689">
        <f t="shared" si="15"/>
        <v>0.77</v>
      </c>
      <c r="N107" s="613" t="s">
        <v>1144</v>
      </c>
      <c r="P107" s="719">
        <v>2.8</v>
      </c>
      <c r="S107" s="613" t="s">
        <v>1177</v>
      </c>
      <c r="T107" s="700">
        <f>L112*H$79</f>
        <v>0.91215786105295005</v>
      </c>
      <c r="U107" s="700">
        <f>IF(U$102,T107/U$102,0)</f>
        <v>0.18497578161116415</v>
      </c>
    </row>
    <row r="108" spans="1:21" hidden="1">
      <c r="B108" s="638" t="s">
        <v>269</v>
      </c>
      <c r="C108" s="716">
        <v>2.9841229999999999</v>
      </c>
      <c r="E108" s="613" t="s">
        <v>1136</v>
      </c>
      <c r="F108" s="613" t="s">
        <v>1186</v>
      </c>
      <c r="G108" s="613">
        <v>5.0999999999999996</v>
      </c>
      <c r="H108" s="651">
        <v>5.2</v>
      </c>
      <c r="I108" s="651">
        <v>5.0999999999999996</v>
      </c>
      <c r="J108" s="651">
        <v>5.2</v>
      </c>
      <c r="K108" s="651">
        <v>5.3949999999999996</v>
      </c>
      <c r="L108" s="638">
        <f t="shared" si="15"/>
        <v>5.0999999999999996</v>
      </c>
      <c r="N108" s="613" t="s">
        <v>1145</v>
      </c>
      <c r="P108" s="719">
        <f>2.3</f>
        <v>2.2999999999999998</v>
      </c>
      <c r="S108" s="613" t="s">
        <v>1178</v>
      </c>
      <c r="T108" s="700">
        <f>L116*(H$80-P$105)*(L118)</f>
        <v>0.87214808633176133</v>
      </c>
      <c r="U108" s="700">
        <f>IF(U$102,T108/U$102,0)</f>
        <v>0.17686223058328032</v>
      </c>
    </row>
    <row r="109" spans="1:21" hidden="1">
      <c r="B109" s="638" t="s">
        <v>1095</v>
      </c>
      <c r="C109" s="716">
        <v>15.977</v>
      </c>
      <c r="E109" s="613" t="s">
        <v>1133</v>
      </c>
      <c r="F109" s="613" t="s">
        <v>502</v>
      </c>
      <c r="G109" s="613">
        <v>0.4</v>
      </c>
      <c r="H109" s="652">
        <v>3</v>
      </c>
      <c r="I109" s="653">
        <v>52</v>
      </c>
      <c r="J109" s="653">
        <v>12</v>
      </c>
      <c r="K109" s="654">
        <v>70</v>
      </c>
      <c r="L109" s="638">
        <f t="shared" si="15"/>
        <v>52</v>
      </c>
      <c r="N109" s="613" t="s">
        <v>1137</v>
      </c>
      <c r="P109" s="719">
        <v>0.73167969326058102</v>
      </c>
      <c r="S109" s="613" t="s">
        <v>1179</v>
      </c>
      <c r="T109" s="700">
        <f>L117*(H$80-P$105)*(L119)</f>
        <v>2.0409919274135433</v>
      </c>
      <c r="U109" s="700">
        <f>IF(U$102,T109/U$102,0)</f>
        <v>0.41389116199644421</v>
      </c>
    </row>
    <row r="110" spans="1:21" hidden="1">
      <c r="B110" s="638" t="s">
        <v>1096</v>
      </c>
      <c r="C110" s="716">
        <v>7.5017509999999996</v>
      </c>
      <c r="E110" s="613" t="s">
        <v>1133</v>
      </c>
      <c r="F110" s="613" t="s">
        <v>1214</v>
      </c>
      <c r="G110" s="613">
        <v>0.5</v>
      </c>
      <c r="H110" s="720">
        <v>3.0818181818181811</v>
      </c>
      <c r="I110" s="721">
        <v>75</v>
      </c>
      <c r="J110" s="721">
        <v>25</v>
      </c>
      <c r="K110" s="722">
        <v>86</v>
      </c>
      <c r="L110" s="638">
        <f t="shared" si="15"/>
        <v>75</v>
      </c>
      <c r="N110" s="613" t="s">
        <v>1228</v>
      </c>
      <c r="P110" s="723">
        <v>1.968</v>
      </c>
      <c r="S110" s="613" t="s">
        <v>1181</v>
      </c>
      <c r="T110" s="700">
        <f>L115*(H80-P$105)</f>
        <v>0.43185420000000002</v>
      </c>
      <c r="U110" s="700">
        <f t="shared" ref="U110:U115" si="16">IF(U$103,T110/U$103,0)</f>
        <v>9.9154705024655468E-2</v>
      </c>
    </row>
    <row r="111" spans="1:21" hidden="1">
      <c r="B111" s="638" t="s">
        <v>270</v>
      </c>
      <c r="C111" s="716">
        <v>3.1178680000000001</v>
      </c>
      <c r="E111" s="613" t="s">
        <v>1133</v>
      </c>
      <c r="F111" s="613" t="s">
        <v>1295</v>
      </c>
      <c r="G111" s="613">
        <v>0</v>
      </c>
      <c r="H111" s="613">
        <v>0</v>
      </c>
      <c r="I111" s="613">
        <v>8</v>
      </c>
      <c r="J111" s="613">
        <v>0</v>
      </c>
      <c r="K111" s="613">
        <v>4</v>
      </c>
      <c r="L111" s="638">
        <f t="shared" si="15"/>
        <v>8</v>
      </c>
      <c r="N111" s="613" t="s">
        <v>1346</v>
      </c>
      <c r="P111" s="723">
        <v>1.3321025641025641</v>
      </c>
      <c r="S111" s="613" t="s">
        <v>1175</v>
      </c>
      <c r="T111" s="700">
        <f>L114*H$79</f>
        <v>0.61071525162873763</v>
      </c>
      <c r="U111" s="700">
        <f t="shared" si="16"/>
        <v>0.14022160865705538</v>
      </c>
    </row>
    <row r="112" spans="1:21" hidden="1">
      <c r="B112" s="638" t="s">
        <v>271</v>
      </c>
      <c r="C112" s="716">
        <v>6.479851</v>
      </c>
      <c r="E112" s="613" t="s">
        <v>1188</v>
      </c>
      <c r="F112" s="613" t="s">
        <v>1177</v>
      </c>
      <c r="G112" s="681">
        <v>0.35558999638957894</v>
      </c>
      <c r="H112" s="713">
        <v>1</v>
      </c>
      <c r="I112" s="636">
        <v>0.27284417600122318</v>
      </c>
      <c r="J112" s="636">
        <v>4.6451465380170684E-2</v>
      </c>
      <c r="K112" s="714">
        <v>4.3260426807429947E-2</v>
      </c>
      <c r="L112" s="689">
        <f t="shared" si="15"/>
        <v>0.27284417600122318</v>
      </c>
      <c r="N112" s="613" t="s">
        <v>1142</v>
      </c>
      <c r="P112" s="637">
        <v>1.4</v>
      </c>
      <c r="S112" s="613" t="s">
        <v>1176</v>
      </c>
      <c r="T112" s="700">
        <f>(1-SUM(L112:L114))*H79</f>
        <v>0.73784213894704986</v>
      </c>
      <c r="U112" s="700">
        <f t="shared" si="16"/>
        <v>0.16941023067983496</v>
      </c>
    </row>
    <row r="113" spans="2:21" hidden="1">
      <c r="B113" s="638" t="s">
        <v>563</v>
      </c>
      <c r="C113" s="716">
        <v>37.200888999999997</v>
      </c>
      <c r="F113" s="724" t="s">
        <v>1174</v>
      </c>
      <c r="G113" s="681">
        <v>0.31418599945406628</v>
      </c>
      <c r="H113" s="687">
        <v>0</v>
      </c>
      <c r="I113" s="641">
        <v>0.32377605199607579</v>
      </c>
      <c r="J113" s="641">
        <v>0.38855336003498869</v>
      </c>
      <c r="K113" s="688">
        <v>0.24778502909318473</v>
      </c>
      <c r="L113" s="689">
        <f t="shared" si="15"/>
        <v>0.32377605199607579</v>
      </c>
      <c r="N113" s="613" t="s">
        <v>182</v>
      </c>
      <c r="P113" s="637">
        <v>0.25</v>
      </c>
      <c r="Q113" s="613" t="s">
        <v>183</v>
      </c>
      <c r="S113" s="613" t="s">
        <v>1178</v>
      </c>
      <c r="T113" s="700">
        <f>L116*(H$80-P$105)*(1-L118)</f>
        <v>0.79685191366823871</v>
      </c>
      <c r="U113" s="700">
        <f t="shared" si="16"/>
        <v>0.18295900896206738</v>
      </c>
    </row>
    <row r="114" spans="2:21" hidden="1">
      <c r="B114" s="638" t="s">
        <v>705</v>
      </c>
      <c r="C114" s="716">
        <v>35.601367000000003</v>
      </c>
      <c r="F114" s="724" t="s">
        <v>1175</v>
      </c>
      <c r="G114" s="681">
        <v>0.1238136495505601</v>
      </c>
      <c r="H114" s="687">
        <v>0</v>
      </c>
      <c r="I114" s="641">
        <v>0.18267682241939243</v>
      </c>
      <c r="J114" s="641">
        <v>0.48422017686068564</v>
      </c>
      <c r="K114" s="688">
        <v>0.56522539050692788</v>
      </c>
      <c r="L114" s="689">
        <f t="shared" si="15"/>
        <v>0.18267682241939243</v>
      </c>
      <c r="N114" s="613" t="s">
        <v>180</v>
      </c>
      <c r="P114" s="637">
        <v>1.1100000000000001</v>
      </c>
      <c r="Q114" s="613" t="s">
        <v>183</v>
      </c>
      <c r="S114" s="613" t="s">
        <v>1179</v>
      </c>
      <c r="T114" s="700">
        <f>L117*(H$80-P$105)*(1-L119)</f>
        <v>0.8100080725864568</v>
      </c>
      <c r="U114" s="700">
        <f t="shared" si="16"/>
        <v>0.18597969292622335</v>
      </c>
    </row>
    <row r="115" spans="2:21" hidden="1">
      <c r="B115" s="638" t="s">
        <v>1097</v>
      </c>
      <c r="C115" s="716">
        <v>0.73101700000000003</v>
      </c>
      <c r="F115" s="724" t="s">
        <v>1181</v>
      </c>
      <c r="G115" s="681">
        <v>8.226691042047532E-2</v>
      </c>
      <c r="H115" s="687">
        <v>1</v>
      </c>
      <c r="I115" s="641">
        <v>7.9797826038994185E-2</v>
      </c>
      <c r="J115" s="641">
        <v>2.1277953911951826E-3</v>
      </c>
      <c r="K115" s="688">
        <v>4.8362155373812395E-2</v>
      </c>
      <c r="L115" s="689">
        <f t="shared" si="15"/>
        <v>7.9797826038994185E-2</v>
      </c>
      <c r="N115" s="613" t="s">
        <v>1139</v>
      </c>
      <c r="P115" s="725">
        <v>7</v>
      </c>
      <c r="Q115" s="613" t="s">
        <v>1141</v>
      </c>
      <c r="S115" s="613" t="s">
        <v>1180</v>
      </c>
      <c r="T115" s="700">
        <f>(1-SUM(L115:L117))*(H$80-P$105)</f>
        <v>0.45999999999999969</v>
      </c>
      <c r="U115" s="700">
        <f t="shared" si="16"/>
        <v>0.10561704462140575</v>
      </c>
    </row>
    <row r="116" spans="2:21" hidden="1">
      <c r="B116" s="638" t="s">
        <v>86</v>
      </c>
      <c r="C116" s="716">
        <v>0.74436800000000003</v>
      </c>
      <c r="F116" s="613" t="s">
        <v>1178</v>
      </c>
      <c r="G116" s="681">
        <v>0.39213893967093238</v>
      </c>
      <c r="H116" s="687">
        <v>0</v>
      </c>
      <c r="I116" s="641">
        <v>0.30839707396403993</v>
      </c>
      <c r="J116" s="641">
        <v>0.5257930928905501</v>
      </c>
      <c r="K116" s="688">
        <v>0.18956623244262913</v>
      </c>
      <c r="L116" s="689">
        <f t="shared" si="15"/>
        <v>0.30839707396403993</v>
      </c>
    </row>
    <row r="117" spans="2:21" hidden="1">
      <c r="B117" s="638" t="s">
        <v>1098</v>
      </c>
      <c r="C117" s="716">
        <v>0.56794599999999995</v>
      </c>
      <c r="F117" s="613" t="s">
        <v>1179</v>
      </c>
      <c r="G117" s="681">
        <v>0.42943327239488116</v>
      </c>
      <c r="H117" s="687">
        <v>0</v>
      </c>
      <c r="I117" s="641">
        <v>0.52680650561502562</v>
      </c>
      <c r="J117" s="641">
        <v>0.22980190224907973</v>
      </c>
      <c r="K117" s="688">
        <v>0.41672741243842876</v>
      </c>
      <c r="L117" s="689">
        <f t="shared" si="15"/>
        <v>0.52680650561502562</v>
      </c>
      <c r="N117" s="613" t="s">
        <v>1140</v>
      </c>
      <c r="P117" s="719">
        <f>SQRT($I$106*L106)</f>
        <v>18.936882204804672</v>
      </c>
      <c r="Q117" s="613" t="s">
        <v>183</v>
      </c>
      <c r="S117" s="612" t="s">
        <v>1209</v>
      </c>
    </row>
    <row r="118" spans="2:21" hidden="1">
      <c r="B118" s="638" t="s">
        <v>1099</v>
      </c>
      <c r="C118" s="716">
        <v>0.70685699999999996</v>
      </c>
      <c r="E118" s="613" t="s">
        <v>1195</v>
      </c>
      <c r="F118" s="613" t="s">
        <v>1178</v>
      </c>
      <c r="G118" s="681">
        <v>0.60230754275499221</v>
      </c>
      <c r="H118" s="687">
        <v>0</v>
      </c>
      <c r="I118" s="641">
        <v>0.52255727161879051</v>
      </c>
      <c r="J118" s="641">
        <v>0.33899804240859482</v>
      </c>
      <c r="K118" s="688">
        <v>0.20971968847403119</v>
      </c>
      <c r="L118" s="689">
        <f t="shared" si="15"/>
        <v>0.52255727161879051</v>
      </c>
      <c r="N118" s="613" t="s">
        <v>1146</v>
      </c>
      <c r="P118" s="719">
        <f>INDEX($G107:$K107,L$100)</f>
        <v>0.77</v>
      </c>
      <c r="S118" s="724" t="s">
        <v>1181</v>
      </c>
      <c r="T118" s="700">
        <f>T110</f>
        <v>0.43185420000000002</v>
      </c>
      <c r="U118" s="692">
        <f>IF(T118&gt;0,T118/T$122,0)</f>
        <v>6.0273969008329584E-2</v>
      </c>
    </row>
    <row r="119" spans="2:21" hidden="1">
      <c r="B119" s="643" t="s">
        <v>1341</v>
      </c>
      <c r="C119" s="716">
        <f>C116*0.3</f>
        <v>0.22331039999999999</v>
      </c>
      <c r="F119" s="613" t="s">
        <v>1179</v>
      </c>
      <c r="G119" s="681">
        <v>0.78951126890674816</v>
      </c>
      <c r="H119" s="687">
        <v>0</v>
      </c>
      <c r="I119" s="641">
        <v>0.71588633020468018</v>
      </c>
      <c r="J119" s="641">
        <v>0.52376089342608956</v>
      </c>
      <c r="K119" s="688">
        <v>0.38925811970784829</v>
      </c>
      <c r="L119" s="689">
        <f t="shared" si="15"/>
        <v>0.71588633020468018</v>
      </c>
      <c r="N119" s="613" t="s">
        <v>350</v>
      </c>
      <c r="P119" s="725">
        <f>INDEX($C$102:$C$119,RegIndex)</f>
        <v>0.74436800000000003</v>
      </c>
      <c r="Q119" s="613" t="s">
        <v>976</v>
      </c>
      <c r="S119" s="613" t="s">
        <v>1178</v>
      </c>
      <c r="T119" s="700">
        <f>T108+T113+L120*L$103</f>
        <v>2.3040000000000003</v>
      </c>
      <c r="U119" s="692">
        <f>IF(T119&gt;0,T119/T$122,0)</f>
        <v>0.32156969781743783</v>
      </c>
    </row>
    <row r="120" spans="2:21" hidden="1">
      <c r="E120" s="613" t="s">
        <v>1206</v>
      </c>
      <c r="F120" s="613" t="s">
        <v>1178</v>
      </c>
      <c r="H120" s="678">
        <v>0</v>
      </c>
      <c r="I120" s="648">
        <v>0.36223616657159158</v>
      </c>
      <c r="J120" s="648">
        <v>0.63175012767787542</v>
      </c>
      <c r="K120" s="679">
        <v>0.20067785407808131</v>
      </c>
      <c r="L120" s="689">
        <f t="shared" si="15"/>
        <v>0.36223616657159158</v>
      </c>
      <c r="N120" s="613" t="s">
        <v>1138</v>
      </c>
      <c r="P120" s="725">
        <f>INDEX($G102:$K102,L$100)</f>
        <v>7.2658569999999996</v>
      </c>
      <c r="S120" s="613" t="s">
        <v>1179</v>
      </c>
      <c r="T120" s="700">
        <f>T109+T114+(1-L120)*L$103</f>
        <v>3.9689999999999999</v>
      </c>
      <c r="U120" s="692">
        <f>IF(T120&gt;0,T120/T$122,0)</f>
        <v>0.55395404975582052</v>
      </c>
    </row>
    <row r="121" spans="2:21" hidden="1">
      <c r="E121" s="613" t="s">
        <v>1189</v>
      </c>
      <c r="F121" s="613" t="s">
        <v>1182</v>
      </c>
      <c r="G121" s="681">
        <v>0.69849146767329739</v>
      </c>
      <c r="H121" s="713">
        <v>0.69722335752296005</v>
      </c>
      <c r="I121" s="636">
        <v>0.67868505819579905</v>
      </c>
      <c r="J121" s="636">
        <v>0.80077161770790239</v>
      </c>
      <c r="K121" s="714">
        <v>0.67551955719557188</v>
      </c>
      <c r="L121" s="689">
        <f t="shared" si="15"/>
        <v>0.67868505819579905</v>
      </c>
      <c r="N121" s="613" t="s">
        <v>452</v>
      </c>
      <c r="P121" s="726">
        <v>0.04</v>
      </c>
      <c r="S121" s="613" t="s">
        <v>1180</v>
      </c>
      <c r="T121" s="700">
        <f>T115</f>
        <v>0.45999999999999969</v>
      </c>
      <c r="U121" s="692">
        <f>IF(T121&gt;0,T121/T$122,0)</f>
        <v>6.4202283418412012E-2</v>
      </c>
    </row>
    <row r="122" spans="2:21" hidden="1">
      <c r="F122" s="613" t="s">
        <v>1183</v>
      </c>
      <c r="G122" s="681">
        <v>0.99784495381899641</v>
      </c>
      <c r="H122" s="678">
        <v>0.99603336788994312</v>
      </c>
      <c r="I122" s="648">
        <v>0.96955008313685576</v>
      </c>
      <c r="J122" s="648">
        <v>1.1439594538684321</v>
      </c>
      <c r="K122" s="679">
        <v>0.96502793885081706</v>
      </c>
      <c r="L122" s="689">
        <f t="shared" si="15"/>
        <v>0.96955008313685576</v>
      </c>
      <c r="N122" s="613" t="s">
        <v>182</v>
      </c>
      <c r="P122" s="727">
        <v>0</v>
      </c>
      <c r="T122" s="700">
        <f>SUM(T118:T121)</f>
        <v>7.1648541999999997</v>
      </c>
      <c r="U122" s="692"/>
    </row>
    <row r="123" spans="2:21" hidden="1">
      <c r="E123" s="613" t="s">
        <v>1193</v>
      </c>
      <c r="F123" s="613" t="s">
        <v>250</v>
      </c>
      <c r="G123" s="681">
        <v>9.4906480381714129</v>
      </c>
      <c r="H123" s="681">
        <v>9.4730392665628784</v>
      </c>
      <c r="I123" s="681">
        <v>9.4906480381714129</v>
      </c>
      <c r="J123" s="681">
        <v>9.4782969619169872</v>
      </c>
      <c r="K123" s="681">
        <v>9.4678507379213919</v>
      </c>
      <c r="L123" s="689">
        <f t="shared" si="15"/>
        <v>9.4906480381714129</v>
      </c>
      <c r="N123" s="613" t="s">
        <v>180</v>
      </c>
      <c r="P123" s="727">
        <f>MAX(0,P117-INDEX($G106:$K106,L$100))</f>
        <v>0</v>
      </c>
    </row>
    <row r="124" spans="2:21" hidden="1">
      <c r="F124" s="613" t="s">
        <v>1190</v>
      </c>
      <c r="G124" s="681">
        <v>6.2934919119468509</v>
      </c>
      <c r="H124" s="681">
        <v>7.3880975609756092</v>
      </c>
      <c r="I124" s="681">
        <v>6.2934919119468509</v>
      </c>
      <c r="J124" s="681">
        <v>5.282953378607445</v>
      </c>
      <c r="K124" s="681">
        <v>5.1013825247513971</v>
      </c>
      <c r="L124" s="689">
        <f t="shared" si="15"/>
        <v>6.2934919119468509</v>
      </c>
      <c r="U124" s="700"/>
    </row>
    <row r="125" spans="2:21" hidden="1">
      <c r="F125" s="613" t="s">
        <v>1136</v>
      </c>
      <c r="G125" s="681">
        <v>16.881827068900289</v>
      </c>
      <c r="H125" s="681">
        <v>10</v>
      </c>
      <c r="I125" s="681">
        <v>16.881827068900289</v>
      </c>
      <c r="J125" s="681">
        <v>17.239439904687796</v>
      </c>
      <c r="K125" s="681">
        <v>17.379380975498581</v>
      </c>
      <c r="L125" s="689">
        <f t="shared" si="15"/>
        <v>16.881827068900289</v>
      </c>
      <c r="N125" s="613" t="s">
        <v>1127</v>
      </c>
    </row>
    <row r="126" spans="2:21" hidden="1">
      <c r="F126" s="613" t="s">
        <v>1191</v>
      </c>
      <c r="G126" s="681">
        <v>2.7094634146341465</v>
      </c>
      <c r="H126" s="681">
        <v>2.7094634146341465</v>
      </c>
      <c r="I126" s="681">
        <v>2.7094634146341465</v>
      </c>
      <c r="J126" s="681">
        <v>2.7094634146341465</v>
      </c>
      <c r="K126" s="681">
        <v>2.7094634146341465</v>
      </c>
      <c r="L126" s="689">
        <f t="shared" si="15"/>
        <v>2.7094634146341465</v>
      </c>
      <c r="N126" s="613" t="s">
        <v>1165</v>
      </c>
      <c r="P126" s="727">
        <f>P117*H80</f>
        <v>135.68</v>
      </c>
    </row>
    <row r="127" spans="2:21" hidden="1">
      <c r="F127" s="613" t="s">
        <v>1207</v>
      </c>
      <c r="G127" s="613">
        <v>0</v>
      </c>
      <c r="H127" s="681">
        <v>0</v>
      </c>
      <c r="I127" s="681">
        <v>4.492390243902439</v>
      </c>
      <c r="J127" s="681">
        <v>4.492390243902439</v>
      </c>
      <c r="K127" s="681">
        <v>4.492390243902439</v>
      </c>
      <c r="L127" s="689">
        <f>(INDEX($G127:$K127,$L$100)-L132)*X$27</f>
        <v>3.3332768487804878</v>
      </c>
      <c r="N127" s="613" t="s">
        <v>1166</v>
      </c>
      <c r="P127" s="727">
        <f ca="1">MIN(1,$P$126/IEAData!$BJ$62)*SUM(IEAData!AY19:AY20)*Q127</f>
        <v>56.829879744941863</v>
      </c>
      <c r="Q127" s="613">
        <v>0.77</v>
      </c>
    </row>
    <row r="128" spans="2:21" hidden="1">
      <c r="E128" s="613" t="s">
        <v>1192</v>
      </c>
      <c r="F128" s="613" t="s">
        <v>250</v>
      </c>
      <c r="G128" s="681">
        <v>2.6401706380526733</v>
      </c>
      <c r="H128" s="681">
        <v>2.6214184397163125</v>
      </c>
      <c r="I128" s="681">
        <v>2.6401706380526733</v>
      </c>
      <c r="J128" s="681">
        <v>2.6270175438596493</v>
      </c>
      <c r="K128" s="681">
        <v>2.6158929936305735</v>
      </c>
      <c r="L128" s="689">
        <f>INDEX($G128:$K128,$L$100)</f>
        <v>2.6401706380526733</v>
      </c>
      <c r="N128" s="613" t="s">
        <v>1169</v>
      </c>
      <c r="P128" s="727">
        <f ca="1">Calibration!Q224-P129</f>
        <v>39.056075289959409</v>
      </c>
    </row>
    <row r="129" spans="5:16" hidden="1">
      <c r="E129" s="724"/>
      <c r="F129" s="613" t="s">
        <v>1190</v>
      </c>
      <c r="G129" s="681">
        <v>8.4656594492968811</v>
      </c>
      <c r="H129" s="681">
        <v>7.6319999999999997</v>
      </c>
      <c r="I129" s="681">
        <v>8.4656594492968811</v>
      </c>
      <c r="J129" s="681">
        <v>9.1770154354902722</v>
      </c>
      <c r="K129" s="681">
        <v>8.4771799941015953</v>
      </c>
      <c r="L129" s="689">
        <f>INDEX($G129:$K129,$L$100)</f>
        <v>8.4656594492968811</v>
      </c>
      <c r="N129" s="613" t="s">
        <v>1170</v>
      </c>
      <c r="P129" s="727">
        <f ca="1">MIN(Calibration!Q224,P126-P127)</f>
        <v>78.850120255058144</v>
      </c>
    </row>
    <row r="130" spans="5:16" hidden="1">
      <c r="E130" s="724"/>
      <c r="F130" s="613" t="s">
        <v>1136</v>
      </c>
      <c r="G130" s="681">
        <v>2.3684590890211825</v>
      </c>
      <c r="H130" s="681">
        <v>1</v>
      </c>
      <c r="I130" s="681">
        <v>2.3684590890211825</v>
      </c>
      <c r="J130" s="681">
        <v>2.3481942325581397</v>
      </c>
      <c r="K130" s="681">
        <v>2.356484405408529</v>
      </c>
      <c r="L130" s="689">
        <f>INDEX($G130:$K130,$L$100)</f>
        <v>2.3684590890211825</v>
      </c>
    </row>
    <row r="131" spans="5:16" hidden="1">
      <c r="E131" s="724"/>
      <c r="F131" s="613" t="s">
        <v>1191</v>
      </c>
      <c r="G131" s="681">
        <v>1.3680000000000001</v>
      </c>
      <c r="H131" s="681">
        <v>1.3680000000000001</v>
      </c>
      <c r="I131" s="681">
        <v>1.3680000000000001</v>
      </c>
      <c r="J131" s="681">
        <v>1.3680000000000001</v>
      </c>
      <c r="K131" s="681">
        <v>1.3680000000000001</v>
      </c>
      <c r="L131" s="689">
        <f>INDEX($G131:$K131,$L$100)</f>
        <v>1.3680000000000001</v>
      </c>
    </row>
    <row r="132" spans="5:16" hidden="1">
      <c r="F132" s="613" t="s">
        <v>1207</v>
      </c>
      <c r="G132" s="613">
        <v>0</v>
      </c>
      <c r="H132" s="681">
        <v>0</v>
      </c>
      <c r="I132" s="681">
        <v>0.46799999999999997</v>
      </c>
      <c r="J132" s="681">
        <v>0.46800000000000003</v>
      </c>
      <c r="K132" s="681">
        <v>0.46800000000000003</v>
      </c>
      <c r="L132" s="689">
        <f>INDEX($G132:$K132,$L$100)*$X$29</f>
        <v>0.40247999999999995</v>
      </c>
    </row>
    <row r="133" spans="5:16" hidden="1">
      <c r="E133" s="613" t="s">
        <v>1283</v>
      </c>
      <c r="F133" s="613" t="s">
        <v>284</v>
      </c>
      <c r="G133" s="613">
        <v>0</v>
      </c>
      <c r="H133" s="613">
        <v>0</v>
      </c>
      <c r="I133" s="613">
        <v>1.1240000000000001</v>
      </c>
      <c r="J133" s="613">
        <v>0</v>
      </c>
      <c r="K133" s="613">
        <v>0.68</v>
      </c>
      <c r="L133" s="689">
        <f>INDEX($G133:$K133,$L$100)</f>
        <v>1.1240000000000001</v>
      </c>
    </row>
    <row r="134" spans="5:16" hidden="1">
      <c r="E134" s="613" t="s">
        <v>1325</v>
      </c>
      <c r="F134" s="613" t="s">
        <v>1326</v>
      </c>
      <c r="G134" s="613">
        <v>0</v>
      </c>
      <c r="H134" s="613">
        <v>30</v>
      </c>
      <c r="I134" s="613">
        <v>50</v>
      </c>
      <c r="J134" s="613">
        <v>50</v>
      </c>
      <c r="K134" s="724">
        <v>135.14400923870599</v>
      </c>
      <c r="L134" s="689">
        <f>INDEX($G134:$K134,$L$100)</f>
        <v>50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2:AM271"/>
  <sheetViews>
    <sheetView showGridLines="0" showRowColHeaders="0" showZeros="0" showOutlineSymbols="0" topLeftCell="IV65536" zoomScale="75" workbookViewId="0">
      <selection activeCell="B16" sqref="B16:B17 B19:B20 B23:B24 S56 B60"/>
    </sheetView>
  </sheetViews>
  <sheetFormatPr defaultColWidth="0" defaultRowHeight="12.75" zeroHeight="1"/>
  <cols>
    <col min="1" max="16384" width="0" style="613" hidden="1"/>
  </cols>
  <sheetData>
    <row r="2" spans="1:20" hidden="1">
      <c r="B2" s="613" t="s">
        <v>291</v>
      </c>
    </row>
    <row r="3" spans="1:20" hidden="1">
      <c r="C3" s="613" t="s">
        <v>905</v>
      </c>
      <c r="D3" s="613" t="s">
        <v>906</v>
      </c>
      <c r="E3" s="613" t="s">
        <v>907</v>
      </c>
      <c r="F3" s="613" t="s">
        <v>908</v>
      </c>
      <c r="G3" s="613" t="s">
        <v>909</v>
      </c>
      <c r="H3" s="613" t="s">
        <v>910</v>
      </c>
      <c r="I3" s="613" t="s">
        <v>911</v>
      </c>
      <c r="J3" s="613" t="s">
        <v>912</v>
      </c>
      <c r="K3" s="613" t="s">
        <v>1150</v>
      </c>
      <c r="L3" s="613" t="s">
        <v>913</v>
      </c>
      <c r="M3" s="613" t="s">
        <v>826</v>
      </c>
      <c r="N3" s="613" t="s">
        <v>914</v>
      </c>
      <c r="O3" s="613" t="s">
        <v>915</v>
      </c>
      <c r="P3" s="613" t="s">
        <v>916</v>
      </c>
      <c r="Q3" s="613" t="s">
        <v>917</v>
      </c>
      <c r="R3" s="613" t="s">
        <v>950</v>
      </c>
      <c r="S3" s="613" t="s">
        <v>946</v>
      </c>
      <c r="T3" s="613" t="s">
        <v>888</v>
      </c>
    </row>
    <row r="4" spans="1:20" hidden="1">
      <c r="C4" s="613">
        <v>2</v>
      </c>
      <c r="D4" s="613">
        <v>3</v>
      </c>
      <c r="E4" s="613">
        <v>4</v>
      </c>
      <c r="F4" s="613">
        <v>5</v>
      </c>
      <c r="G4" s="613">
        <v>6</v>
      </c>
      <c r="H4" s="613">
        <v>7</v>
      </c>
      <c r="I4" s="613">
        <v>8</v>
      </c>
      <c r="J4" s="613">
        <v>9</v>
      </c>
      <c r="K4" s="613">
        <v>10</v>
      </c>
      <c r="L4" s="613">
        <v>11</v>
      </c>
      <c r="M4" s="613">
        <v>12</v>
      </c>
      <c r="N4" s="613">
        <v>13</v>
      </c>
      <c r="O4" s="613">
        <v>14</v>
      </c>
      <c r="P4" s="613">
        <v>15</v>
      </c>
      <c r="Q4" s="613">
        <v>16</v>
      </c>
      <c r="R4" s="613">
        <v>17</v>
      </c>
      <c r="S4" s="613">
        <v>18</v>
      </c>
      <c r="T4" s="613">
        <v>19</v>
      </c>
    </row>
    <row r="5" spans="1:20" hidden="1"/>
    <row r="6" spans="1:20" ht="18" hidden="1">
      <c r="B6" s="728" t="s">
        <v>212</v>
      </c>
      <c r="C6" s="729"/>
      <c r="D6" s="708"/>
      <c r="E6" s="729"/>
      <c r="F6" s="708"/>
      <c r="G6" s="708"/>
    </row>
    <row r="7" spans="1:20" hidden="1"/>
    <row r="8" spans="1:20" hidden="1">
      <c r="C8" s="613" t="s">
        <v>905</v>
      </c>
      <c r="D8" s="613" t="s">
        <v>906</v>
      </c>
      <c r="E8" s="613" t="s">
        <v>907</v>
      </c>
      <c r="F8" s="613" t="s">
        <v>908</v>
      </c>
      <c r="G8" s="613" t="s">
        <v>909</v>
      </c>
      <c r="H8" s="613" t="s">
        <v>910</v>
      </c>
      <c r="I8" s="613" t="s">
        <v>911</v>
      </c>
      <c r="J8" s="613" t="s">
        <v>912</v>
      </c>
      <c r="K8" s="613" t="s">
        <v>1150</v>
      </c>
      <c r="L8" s="613" t="s">
        <v>913</v>
      </c>
      <c r="M8" s="613" t="s">
        <v>826</v>
      </c>
      <c r="N8" s="613" t="s">
        <v>914</v>
      </c>
      <c r="O8" s="613" t="s">
        <v>915</v>
      </c>
      <c r="P8" s="613" t="s">
        <v>916</v>
      </c>
      <c r="Q8" s="613" t="s">
        <v>917</v>
      </c>
      <c r="R8" s="613" t="s">
        <v>950</v>
      </c>
      <c r="S8" s="613" t="s">
        <v>946</v>
      </c>
      <c r="T8" s="613" t="s">
        <v>888</v>
      </c>
    </row>
    <row r="9" spans="1:20" hidden="1">
      <c r="A9" s="613" t="s">
        <v>568</v>
      </c>
      <c r="B9" s="613" t="s">
        <v>213</v>
      </c>
      <c r="C9" s="730"/>
      <c r="D9" s="731">
        <v>0.1</v>
      </c>
      <c r="E9" s="730"/>
      <c r="F9" s="730"/>
      <c r="G9" s="731">
        <v>0.05</v>
      </c>
      <c r="H9" s="731">
        <v>0.35</v>
      </c>
      <c r="I9" s="731">
        <v>0.05</v>
      </c>
      <c r="J9" s="731">
        <v>0.35</v>
      </c>
      <c r="K9" s="731">
        <v>0</v>
      </c>
      <c r="L9" s="731">
        <v>0.05</v>
      </c>
      <c r="M9" s="730"/>
      <c r="N9" s="730"/>
      <c r="O9" s="730"/>
      <c r="P9" s="730">
        <v>0.05</v>
      </c>
      <c r="Q9" s="730"/>
      <c r="R9" s="730"/>
      <c r="S9" s="730"/>
      <c r="T9" s="732">
        <f t="shared" ref="T9:T43" si="0">SUM(C9:S9)</f>
        <v>1</v>
      </c>
    </row>
    <row r="10" spans="1:20" hidden="1">
      <c r="A10" s="613" t="s">
        <v>568</v>
      </c>
      <c r="B10" s="613" t="s">
        <v>367</v>
      </c>
      <c r="C10" s="731">
        <v>0.1</v>
      </c>
      <c r="D10" s="731">
        <v>0.82499999999999996</v>
      </c>
      <c r="E10" s="730"/>
      <c r="F10" s="730"/>
      <c r="G10" s="731">
        <v>0.05</v>
      </c>
      <c r="H10" s="730"/>
      <c r="I10" s="730"/>
      <c r="J10" s="730"/>
      <c r="K10" s="730"/>
      <c r="L10" s="730"/>
      <c r="M10" s="731">
        <v>2.5000000000000001E-2</v>
      </c>
      <c r="N10" s="730"/>
      <c r="O10" s="730"/>
      <c r="P10" s="730"/>
      <c r="Q10" s="730"/>
      <c r="R10" s="730"/>
      <c r="S10" s="730"/>
      <c r="T10" s="732">
        <f t="shared" si="0"/>
        <v>1</v>
      </c>
    </row>
    <row r="11" spans="1:20" hidden="1">
      <c r="A11" s="613" t="s">
        <v>568</v>
      </c>
      <c r="B11" s="613" t="s">
        <v>365</v>
      </c>
      <c r="C11" s="731">
        <v>0.5</v>
      </c>
      <c r="D11" s="731">
        <v>0.3</v>
      </c>
      <c r="E11" s="730"/>
      <c r="F11" s="730"/>
      <c r="G11" s="731">
        <v>0.15</v>
      </c>
      <c r="H11" s="730"/>
      <c r="I11" s="730"/>
      <c r="J11" s="730"/>
      <c r="K11" s="730"/>
      <c r="L11" s="730"/>
      <c r="M11" s="731">
        <v>0.05</v>
      </c>
      <c r="N11" s="730"/>
      <c r="O11" s="730"/>
      <c r="P11" s="730"/>
      <c r="Q11" s="730"/>
      <c r="R11" s="730"/>
      <c r="S11" s="730"/>
      <c r="T11" s="732">
        <f t="shared" si="0"/>
        <v>1</v>
      </c>
    </row>
    <row r="12" spans="1:20" hidden="1">
      <c r="A12" s="613" t="s">
        <v>568</v>
      </c>
      <c r="B12" s="613" t="s">
        <v>409</v>
      </c>
      <c r="C12" s="731">
        <v>0.4</v>
      </c>
      <c r="D12" s="730"/>
      <c r="E12" s="730"/>
      <c r="F12" s="730"/>
      <c r="G12" s="731">
        <v>0.2</v>
      </c>
      <c r="H12" s="731">
        <v>0.4</v>
      </c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2">
        <f t="shared" si="0"/>
        <v>1</v>
      </c>
    </row>
    <row r="13" spans="1:20" hidden="1">
      <c r="A13" s="613" t="s">
        <v>568</v>
      </c>
      <c r="B13" s="613" t="s">
        <v>560</v>
      </c>
      <c r="C13" s="731">
        <v>0.5</v>
      </c>
      <c r="D13" s="730"/>
      <c r="E13" s="731">
        <v>0.1</v>
      </c>
      <c r="F13" s="730"/>
      <c r="G13" s="731"/>
      <c r="H13" s="731">
        <v>0.4</v>
      </c>
      <c r="I13" s="730"/>
      <c r="J13" s="730"/>
      <c r="K13" s="730"/>
      <c r="L13" s="731">
        <v>0</v>
      </c>
      <c r="M13" s="731">
        <v>0</v>
      </c>
      <c r="N13" s="730"/>
      <c r="O13" s="730"/>
      <c r="P13" s="730"/>
      <c r="Q13" s="730"/>
      <c r="R13" s="730"/>
      <c r="S13" s="730"/>
      <c r="T13" s="732">
        <f t="shared" si="0"/>
        <v>1</v>
      </c>
    </row>
    <row r="14" spans="1:20" hidden="1">
      <c r="A14" s="613" t="s">
        <v>568</v>
      </c>
      <c r="B14" s="613" t="s">
        <v>224</v>
      </c>
      <c r="C14" s="686">
        <v>0.9</v>
      </c>
      <c r="D14" s="733"/>
      <c r="E14" s="686">
        <v>2.5000000000000001E-2</v>
      </c>
      <c r="F14" s="734"/>
      <c r="G14" s="734"/>
      <c r="H14" s="734"/>
      <c r="I14" s="734"/>
      <c r="J14" s="734"/>
      <c r="K14" s="734"/>
      <c r="L14" s="734"/>
      <c r="M14" s="686">
        <v>0.05</v>
      </c>
      <c r="N14" s="734"/>
      <c r="O14" s="686">
        <v>2.5000000000000001E-2</v>
      </c>
      <c r="P14" s="734"/>
      <c r="Q14" s="734"/>
      <c r="R14" s="734"/>
      <c r="S14" s="734"/>
      <c r="T14" s="732">
        <f t="shared" si="0"/>
        <v>1</v>
      </c>
    </row>
    <row r="15" spans="1:20" hidden="1">
      <c r="A15" s="613" t="s">
        <v>568</v>
      </c>
      <c r="B15" s="613" t="s">
        <v>223</v>
      </c>
      <c r="C15" s="734"/>
      <c r="D15" s="686">
        <v>0.1</v>
      </c>
      <c r="E15" s="686">
        <v>0.05</v>
      </c>
      <c r="F15" s="686">
        <v>0.01</v>
      </c>
      <c r="G15" s="686">
        <v>0.15</v>
      </c>
      <c r="H15" s="686">
        <v>0.05</v>
      </c>
      <c r="I15" s="686">
        <v>0.1</v>
      </c>
      <c r="J15" s="686">
        <v>0.25</v>
      </c>
      <c r="K15" s="686">
        <v>0.01</v>
      </c>
      <c r="L15" s="686">
        <v>0.1</v>
      </c>
      <c r="M15" s="686">
        <v>0.04</v>
      </c>
      <c r="N15" s="686">
        <v>0.01</v>
      </c>
      <c r="O15" s="686">
        <v>0</v>
      </c>
      <c r="P15" s="686">
        <v>0.01</v>
      </c>
      <c r="Q15" s="686">
        <v>0.01</v>
      </c>
      <c r="R15" s="686">
        <v>0.01</v>
      </c>
      <c r="S15" s="686">
        <v>0.1</v>
      </c>
      <c r="T15" s="732">
        <f t="shared" si="0"/>
        <v>1.0000000000000002</v>
      </c>
    </row>
    <row r="16" spans="1:20" hidden="1">
      <c r="A16" s="613" t="s">
        <v>879</v>
      </c>
      <c r="B16" s="613" t="s">
        <v>214</v>
      </c>
      <c r="C16" s="731">
        <v>0</v>
      </c>
      <c r="D16" s="731">
        <v>0.25</v>
      </c>
      <c r="E16" s="730"/>
      <c r="F16" s="730"/>
      <c r="G16" s="731">
        <v>0.25</v>
      </c>
      <c r="H16" s="730"/>
      <c r="I16" s="730"/>
      <c r="J16" s="730"/>
      <c r="K16" s="730"/>
      <c r="L16" s="731">
        <v>0.2</v>
      </c>
      <c r="M16" s="730"/>
      <c r="N16" s="730"/>
      <c r="O16" s="730"/>
      <c r="P16" s="731">
        <v>0.3</v>
      </c>
      <c r="Q16" s="730"/>
      <c r="R16" s="730"/>
      <c r="S16" s="730"/>
      <c r="T16" s="732">
        <f t="shared" si="0"/>
        <v>1</v>
      </c>
    </row>
    <row r="17" spans="1:20" hidden="1">
      <c r="A17" s="613" t="s">
        <v>879</v>
      </c>
      <c r="B17" s="613" t="s">
        <v>216</v>
      </c>
      <c r="C17" s="731">
        <v>0</v>
      </c>
      <c r="D17" s="731">
        <v>0.25</v>
      </c>
      <c r="E17" s="730"/>
      <c r="F17" s="730"/>
      <c r="G17" s="731">
        <v>0.25</v>
      </c>
      <c r="H17" s="730"/>
      <c r="I17" s="730"/>
      <c r="J17" s="730"/>
      <c r="K17" s="730"/>
      <c r="L17" s="731">
        <v>0.15</v>
      </c>
      <c r="M17" s="730"/>
      <c r="N17" s="730"/>
      <c r="O17" s="730"/>
      <c r="P17" s="731">
        <v>0.25</v>
      </c>
      <c r="Q17" s="731">
        <v>0.1</v>
      </c>
      <c r="R17" s="730"/>
      <c r="S17" s="730"/>
      <c r="T17" s="732">
        <f t="shared" si="0"/>
        <v>1</v>
      </c>
    </row>
    <row r="18" spans="1:20" hidden="1">
      <c r="A18" s="613" t="s">
        <v>879</v>
      </c>
      <c r="B18" s="613" t="s">
        <v>456</v>
      </c>
      <c r="C18" s="731">
        <v>0</v>
      </c>
      <c r="D18" s="731">
        <v>0.45</v>
      </c>
      <c r="E18" s="730"/>
      <c r="F18" s="730"/>
      <c r="G18" s="731">
        <v>0.35</v>
      </c>
      <c r="H18" s="730"/>
      <c r="I18" s="730"/>
      <c r="J18" s="730"/>
      <c r="K18" s="730"/>
      <c r="L18" s="731">
        <v>0.2</v>
      </c>
      <c r="M18" s="730"/>
      <c r="N18" s="730"/>
      <c r="O18" s="730"/>
      <c r="P18" s="730"/>
      <c r="Q18" s="730"/>
      <c r="R18" s="730"/>
      <c r="S18" s="730"/>
      <c r="T18" s="732">
        <f t="shared" si="0"/>
        <v>1</v>
      </c>
    </row>
    <row r="19" spans="1:20" hidden="1">
      <c r="A19" s="613" t="s">
        <v>879</v>
      </c>
      <c r="B19" s="613" t="s">
        <v>218</v>
      </c>
      <c r="C19" s="731">
        <v>0.18</v>
      </c>
      <c r="D19" s="686">
        <v>0.55000000000000004</v>
      </c>
      <c r="E19" s="730"/>
      <c r="F19" s="730"/>
      <c r="G19" s="686">
        <v>0.1</v>
      </c>
      <c r="H19" s="730"/>
      <c r="I19" s="730"/>
      <c r="J19" s="730"/>
      <c r="K19" s="730"/>
      <c r="L19" s="686">
        <v>0.17</v>
      </c>
      <c r="M19" s="730"/>
      <c r="N19" s="730"/>
      <c r="O19" s="730"/>
      <c r="P19" s="730"/>
      <c r="Q19" s="730"/>
      <c r="R19" s="730"/>
      <c r="S19" s="730"/>
      <c r="T19" s="732">
        <f t="shared" si="0"/>
        <v>1</v>
      </c>
    </row>
    <row r="20" spans="1:20" hidden="1">
      <c r="A20" s="613" t="s">
        <v>879</v>
      </c>
      <c r="B20" s="613" t="s">
        <v>219</v>
      </c>
      <c r="C20" s="731">
        <v>0.25</v>
      </c>
      <c r="D20" s="686">
        <v>0.4</v>
      </c>
      <c r="E20" s="730"/>
      <c r="F20" s="730"/>
      <c r="G20" s="731">
        <v>0.1</v>
      </c>
      <c r="H20" s="730"/>
      <c r="I20" s="730"/>
      <c r="J20" s="730"/>
      <c r="K20" s="730"/>
      <c r="L20" s="731">
        <v>0.25</v>
      </c>
      <c r="M20" s="730"/>
      <c r="N20" s="730"/>
      <c r="O20" s="730"/>
      <c r="P20" s="730"/>
      <c r="Q20" s="730"/>
      <c r="R20" s="730"/>
      <c r="S20" s="730"/>
      <c r="T20" s="732">
        <f t="shared" si="0"/>
        <v>1</v>
      </c>
    </row>
    <row r="21" spans="1:20" hidden="1">
      <c r="A21" s="613" t="s">
        <v>879</v>
      </c>
      <c r="B21" s="613" t="s">
        <v>239</v>
      </c>
      <c r="C21" s="686">
        <v>0.96</v>
      </c>
      <c r="D21" s="733"/>
      <c r="E21" s="686">
        <v>0.02</v>
      </c>
      <c r="F21" s="734"/>
      <c r="G21" s="734"/>
      <c r="H21" s="734"/>
      <c r="I21" s="734"/>
      <c r="J21" s="734"/>
      <c r="K21" s="734"/>
      <c r="L21" s="734"/>
      <c r="M21" s="686">
        <v>0.01</v>
      </c>
      <c r="N21" s="734"/>
      <c r="O21" s="686">
        <v>0.01</v>
      </c>
      <c r="P21" s="734"/>
      <c r="Q21" s="734"/>
      <c r="R21" s="734"/>
      <c r="S21" s="734"/>
      <c r="T21" s="732">
        <f t="shared" si="0"/>
        <v>1</v>
      </c>
    </row>
    <row r="22" spans="1:20" hidden="1">
      <c r="A22" s="613" t="s">
        <v>879</v>
      </c>
      <c r="B22" s="613" t="s">
        <v>240</v>
      </c>
      <c r="C22" s="734"/>
      <c r="D22" s="686">
        <v>0.15</v>
      </c>
      <c r="E22" s="686">
        <v>0.05</v>
      </c>
      <c r="F22" s="686">
        <v>0.01</v>
      </c>
      <c r="G22" s="686">
        <v>0.15</v>
      </c>
      <c r="H22" s="686">
        <v>0.05</v>
      </c>
      <c r="I22" s="686">
        <v>0.1</v>
      </c>
      <c r="J22" s="686">
        <v>0.05</v>
      </c>
      <c r="K22" s="686">
        <v>0.05</v>
      </c>
      <c r="L22" s="686">
        <v>0.15</v>
      </c>
      <c r="M22" s="686">
        <v>0.05</v>
      </c>
      <c r="N22" s="686">
        <v>0.01</v>
      </c>
      <c r="O22" s="686">
        <v>0</v>
      </c>
      <c r="P22" s="686">
        <v>0.01</v>
      </c>
      <c r="Q22" s="686">
        <v>0.06</v>
      </c>
      <c r="R22" s="686">
        <v>0.01</v>
      </c>
      <c r="S22" s="686">
        <v>0.1</v>
      </c>
      <c r="T22" s="732">
        <f t="shared" si="0"/>
        <v>1.0000000000000002</v>
      </c>
    </row>
    <row r="23" spans="1:20" hidden="1">
      <c r="A23" s="613" t="s">
        <v>880</v>
      </c>
      <c r="B23" s="613" t="s">
        <v>220</v>
      </c>
      <c r="C23" s="731">
        <v>0.8</v>
      </c>
      <c r="D23" s="686">
        <v>0.06</v>
      </c>
      <c r="E23" s="730"/>
      <c r="F23" s="730"/>
      <c r="G23" s="686">
        <v>0.05</v>
      </c>
      <c r="H23" s="686">
        <v>0.05</v>
      </c>
      <c r="I23" s="730"/>
      <c r="J23" s="730"/>
      <c r="K23" s="730"/>
      <c r="L23" s="686">
        <v>0.04</v>
      </c>
      <c r="M23" s="734"/>
      <c r="N23" s="730"/>
      <c r="O23" s="730"/>
      <c r="P23" s="730"/>
      <c r="Q23" s="730"/>
      <c r="R23" s="730"/>
      <c r="S23" s="730"/>
      <c r="T23" s="732">
        <f t="shared" si="0"/>
        <v>1.0000000000000002</v>
      </c>
    </row>
    <row r="24" spans="1:20" hidden="1">
      <c r="A24" s="613" t="s">
        <v>880</v>
      </c>
      <c r="B24" s="613" t="s">
        <v>222</v>
      </c>
      <c r="C24" s="731">
        <v>0.55000000000000004</v>
      </c>
      <c r="D24" s="686">
        <v>0.1</v>
      </c>
      <c r="E24" s="730"/>
      <c r="F24" s="730"/>
      <c r="G24" s="686">
        <v>0.05</v>
      </c>
      <c r="H24" s="686">
        <v>0.1</v>
      </c>
      <c r="I24" s="730"/>
      <c r="J24" s="730"/>
      <c r="K24" s="730"/>
      <c r="L24" s="686">
        <v>0.2</v>
      </c>
      <c r="M24" s="734"/>
      <c r="N24" s="730"/>
      <c r="O24" s="730"/>
      <c r="P24" s="730"/>
      <c r="Q24" s="730"/>
      <c r="R24" s="730"/>
      <c r="S24" s="730"/>
      <c r="T24" s="732">
        <f t="shared" si="0"/>
        <v>1</v>
      </c>
    </row>
    <row r="25" spans="1:20" hidden="1">
      <c r="A25" s="613" t="s">
        <v>880</v>
      </c>
      <c r="B25" s="613" t="s">
        <v>407</v>
      </c>
      <c r="C25" s="731">
        <v>0.9</v>
      </c>
      <c r="D25" s="686">
        <v>0.05</v>
      </c>
      <c r="E25" s="730"/>
      <c r="F25" s="730"/>
      <c r="G25" s="730"/>
      <c r="H25" s="730"/>
      <c r="I25" s="730"/>
      <c r="J25" s="730"/>
      <c r="K25" s="730"/>
      <c r="L25" s="686">
        <v>0.05</v>
      </c>
      <c r="M25" s="734"/>
      <c r="N25" s="730"/>
      <c r="O25" s="730"/>
      <c r="P25" s="730"/>
      <c r="Q25" s="730"/>
      <c r="R25" s="730"/>
      <c r="S25" s="730"/>
      <c r="T25" s="732">
        <f t="shared" si="0"/>
        <v>1</v>
      </c>
    </row>
    <row r="26" spans="1:20" hidden="1">
      <c r="A26" s="613" t="s">
        <v>880</v>
      </c>
      <c r="B26" s="613" t="s">
        <v>406</v>
      </c>
      <c r="C26" s="731">
        <v>0.3</v>
      </c>
      <c r="D26" s="686">
        <v>0.35</v>
      </c>
      <c r="E26" s="686">
        <v>0.05</v>
      </c>
      <c r="F26" s="730"/>
      <c r="G26" s="686"/>
      <c r="H26" s="686">
        <v>0.05</v>
      </c>
      <c r="I26" s="730"/>
      <c r="J26" s="730"/>
      <c r="K26" s="730"/>
      <c r="L26" s="686">
        <v>0.25</v>
      </c>
      <c r="M26" s="734"/>
      <c r="N26" s="730"/>
      <c r="O26" s="730"/>
      <c r="P26" s="730"/>
      <c r="Q26" s="730"/>
      <c r="R26" s="730"/>
      <c r="S26" s="730"/>
      <c r="T26" s="732">
        <f t="shared" si="0"/>
        <v>1</v>
      </c>
    </row>
    <row r="27" spans="1:20" hidden="1">
      <c r="A27" s="613" t="s">
        <v>880</v>
      </c>
      <c r="B27" s="613" t="s">
        <v>235</v>
      </c>
      <c r="C27" s="686">
        <v>0.97</v>
      </c>
      <c r="D27" s="733"/>
      <c r="E27" s="686">
        <v>0.03</v>
      </c>
      <c r="F27" s="734"/>
      <c r="G27" s="734"/>
      <c r="H27" s="734"/>
      <c r="I27" s="734"/>
      <c r="J27" s="734"/>
      <c r="K27" s="734"/>
      <c r="L27" s="734"/>
      <c r="M27" s="686">
        <v>0</v>
      </c>
      <c r="N27" s="734"/>
      <c r="O27" s="686">
        <v>0</v>
      </c>
      <c r="P27" s="734"/>
      <c r="Q27" s="734"/>
      <c r="R27" s="734"/>
      <c r="S27" s="734"/>
      <c r="T27" s="732">
        <f t="shared" si="0"/>
        <v>1</v>
      </c>
    </row>
    <row r="28" spans="1:20" hidden="1">
      <c r="A28" s="613" t="s">
        <v>880</v>
      </c>
      <c r="B28" s="613" t="s">
        <v>236</v>
      </c>
      <c r="C28" s="734"/>
      <c r="D28" s="686">
        <v>0.3</v>
      </c>
      <c r="E28" s="686">
        <v>0.05</v>
      </c>
      <c r="F28" s="686">
        <v>0.01</v>
      </c>
      <c r="G28" s="686">
        <v>0.1</v>
      </c>
      <c r="H28" s="686">
        <v>0.05</v>
      </c>
      <c r="I28" s="686">
        <v>0.1</v>
      </c>
      <c r="J28" s="686">
        <v>0.05</v>
      </c>
      <c r="K28" s="686">
        <v>0.01</v>
      </c>
      <c r="L28" s="686">
        <v>0.12</v>
      </c>
      <c r="M28" s="686">
        <v>0.05</v>
      </c>
      <c r="N28" s="686">
        <v>0.01</v>
      </c>
      <c r="O28" s="686">
        <v>0</v>
      </c>
      <c r="P28" s="686">
        <v>0.01</v>
      </c>
      <c r="Q28" s="686">
        <v>0.03</v>
      </c>
      <c r="R28" s="686">
        <v>0.01</v>
      </c>
      <c r="S28" s="686">
        <v>0.1</v>
      </c>
      <c r="T28" s="732">
        <f t="shared" si="0"/>
        <v>1.0000000000000002</v>
      </c>
    </row>
    <row r="29" spans="1:20" hidden="1">
      <c r="A29" s="613" t="s">
        <v>787</v>
      </c>
      <c r="B29" s="613" t="s">
        <v>251</v>
      </c>
      <c r="C29" s="731">
        <v>0.1</v>
      </c>
      <c r="D29" s="731">
        <v>0.2</v>
      </c>
      <c r="E29" s="731">
        <v>0.05</v>
      </c>
      <c r="F29" s="730"/>
      <c r="G29" s="730"/>
      <c r="H29" s="730"/>
      <c r="I29" s="730"/>
      <c r="J29" s="730"/>
      <c r="K29" s="730"/>
      <c r="L29" s="731">
        <v>0.05</v>
      </c>
      <c r="M29" s="731">
        <v>0.05</v>
      </c>
      <c r="N29" s="731">
        <v>0.05</v>
      </c>
      <c r="O29" s="731">
        <v>0.5</v>
      </c>
      <c r="P29" s="730"/>
      <c r="Q29" s="730"/>
      <c r="R29" s="730"/>
      <c r="S29" s="730"/>
      <c r="T29" s="732">
        <f t="shared" si="0"/>
        <v>1</v>
      </c>
    </row>
    <row r="30" spans="1:20" hidden="1">
      <c r="A30" s="613" t="s">
        <v>787</v>
      </c>
      <c r="B30" s="613" t="s">
        <v>252</v>
      </c>
      <c r="C30" s="731">
        <v>0.1</v>
      </c>
      <c r="D30" s="731">
        <v>0.15</v>
      </c>
      <c r="E30" s="731">
        <v>0.05</v>
      </c>
      <c r="F30" s="730"/>
      <c r="G30" s="730"/>
      <c r="H30" s="730"/>
      <c r="I30" s="730"/>
      <c r="J30" s="730"/>
      <c r="K30" s="730"/>
      <c r="L30" s="731">
        <v>0.05</v>
      </c>
      <c r="M30" s="731">
        <v>0.05</v>
      </c>
      <c r="N30" s="731">
        <v>0.1</v>
      </c>
      <c r="O30" s="731">
        <v>0.5</v>
      </c>
      <c r="P30" s="730"/>
      <c r="Q30" s="730"/>
      <c r="R30" s="730"/>
      <c r="S30" s="730"/>
      <c r="T30" s="732">
        <f t="shared" si="0"/>
        <v>1</v>
      </c>
    </row>
    <row r="31" spans="1:20" hidden="1">
      <c r="A31" s="613" t="s">
        <v>787</v>
      </c>
      <c r="B31" s="613" t="s">
        <v>254</v>
      </c>
      <c r="C31" s="731">
        <v>0.1</v>
      </c>
      <c r="D31" s="731">
        <v>0.75</v>
      </c>
      <c r="E31" s="730"/>
      <c r="F31" s="730"/>
      <c r="G31" s="731">
        <v>0.05</v>
      </c>
      <c r="H31" s="730"/>
      <c r="I31" s="730"/>
      <c r="J31" s="730"/>
      <c r="K31" s="730"/>
      <c r="L31" s="730"/>
      <c r="M31" s="730"/>
      <c r="N31" s="730"/>
      <c r="O31" s="731">
        <v>0.1</v>
      </c>
      <c r="P31" s="730"/>
      <c r="Q31" s="730"/>
      <c r="R31" s="730"/>
      <c r="S31" s="730"/>
      <c r="T31" s="732">
        <f t="shared" si="0"/>
        <v>1</v>
      </c>
    </row>
    <row r="32" spans="1:20" hidden="1">
      <c r="A32" s="613" t="s">
        <v>787</v>
      </c>
      <c r="B32" s="613" t="s">
        <v>539</v>
      </c>
      <c r="C32" s="731">
        <v>1</v>
      </c>
      <c r="D32" s="731">
        <v>0</v>
      </c>
      <c r="E32" s="730"/>
      <c r="F32" s="730"/>
      <c r="G32" s="731"/>
      <c r="H32" s="730"/>
      <c r="I32" s="730"/>
      <c r="J32" s="730"/>
      <c r="K32" s="730"/>
      <c r="L32" s="730"/>
      <c r="M32" s="730"/>
      <c r="N32" s="730"/>
      <c r="O32" s="731"/>
      <c r="P32" s="730"/>
      <c r="Q32" s="730"/>
      <c r="R32" s="730"/>
      <c r="S32" s="730"/>
      <c r="T32" s="732">
        <f t="shared" si="0"/>
        <v>1</v>
      </c>
    </row>
    <row r="33" spans="1:21" hidden="1">
      <c r="A33" s="613" t="s">
        <v>787</v>
      </c>
      <c r="B33" s="613" t="s">
        <v>353</v>
      </c>
      <c r="C33" s="731">
        <v>0.1</v>
      </c>
      <c r="D33" s="731">
        <v>0.85</v>
      </c>
      <c r="E33" s="735"/>
      <c r="F33" s="735"/>
      <c r="G33" s="731">
        <v>0.05</v>
      </c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2">
        <f t="shared" si="0"/>
        <v>1</v>
      </c>
    </row>
    <row r="34" spans="1:21" hidden="1">
      <c r="A34" s="613" t="s">
        <v>787</v>
      </c>
      <c r="B34" s="613" t="s">
        <v>560</v>
      </c>
      <c r="C34" s="731">
        <v>0.4</v>
      </c>
      <c r="D34" s="731">
        <v>0.25</v>
      </c>
      <c r="E34" s="731">
        <v>0.05</v>
      </c>
      <c r="F34" s="735"/>
      <c r="G34" s="731">
        <v>0.02</v>
      </c>
      <c r="H34" s="735">
        <v>0.01</v>
      </c>
      <c r="I34" s="735"/>
      <c r="J34" s="735"/>
      <c r="K34" s="735"/>
      <c r="L34" s="731">
        <v>0.14000000000000001</v>
      </c>
      <c r="M34" s="731">
        <v>0.05</v>
      </c>
      <c r="N34" s="731">
        <v>7.0000000000000007E-2</v>
      </c>
      <c r="O34" s="735">
        <v>0.01</v>
      </c>
      <c r="P34" s="735"/>
      <c r="Q34" s="735"/>
      <c r="R34" s="735"/>
      <c r="S34" s="735"/>
      <c r="T34" s="732">
        <f t="shared" si="0"/>
        <v>1.0000000000000002</v>
      </c>
    </row>
    <row r="35" spans="1:21" hidden="1">
      <c r="A35" s="613" t="s">
        <v>787</v>
      </c>
      <c r="B35" s="613" t="s">
        <v>227</v>
      </c>
      <c r="C35" s="686">
        <v>0.96</v>
      </c>
      <c r="D35" s="733"/>
      <c r="E35" s="686">
        <v>0.02</v>
      </c>
      <c r="F35" s="734"/>
      <c r="G35" s="734"/>
      <c r="H35" s="734"/>
      <c r="I35" s="734"/>
      <c r="J35" s="734"/>
      <c r="K35" s="734"/>
      <c r="L35" s="734"/>
      <c r="M35" s="686">
        <v>0.01</v>
      </c>
      <c r="N35" s="734"/>
      <c r="O35" s="686">
        <v>0.01</v>
      </c>
      <c r="P35" s="734"/>
      <c r="Q35" s="734"/>
      <c r="R35" s="734"/>
      <c r="S35" s="734"/>
      <c r="T35" s="732">
        <f t="shared" si="0"/>
        <v>1</v>
      </c>
    </row>
    <row r="36" spans="1:21" hidden="1">
      <c r="A36" s="613" t="s">
        <v>787</v>
      </c>
      <c r="B36" s="613" t="s">
        <v>228</v>
      </c>
      <c r="C36" s="734"/>
      <c r="D36" s="686">
        <v>0.4</v>
      </c>
      <c r="E36" s="734"/>
      <c r="F36" s="686">
        <v>0.03</v>
      </c>
      <c r="G36" s="686">
        <v>0.05</v>
      </c>
      <c r="H36" s="686">
        <v>0.03</v>
      </c>
      <c r="I36" s="686">
        <v>0.03</v>
      </c>
      <c r="J36" s="686">
        <v>0.01</v>
      </c>
      <c r="K36" s="686">
        <v>0.03</v>
      </c>
      <c r="L36" s="686">
        <v>0.1</v>
      </c>
      <c r="M36" s="686">
        <v>0.03</v>
      </c>
      <c r="N36" s="686">
        <v>0.02</v>
      </c>
      <c r="O36" s="734"/>
      <c r="P36" s="686">
        <v>0.05</v>
      </c>
      <c r="Q36" s="686">
        <v>0.01</v>
      </c>
      <c r="R36" s="686">
        <v>0.01</v>
      </c>
      <c r="S36" s="686">
        <v>0.2</v>
      </c>
      <c r="T36" s="732">
        <f t="shared" si="0"/>
        <v>1.0000000000000002</v>
      </c>
    </row>
    <row r="37" spans="1:21" hidden="1">
      <c r="A37" s="613" t="s">
        <v>978</v>
      </c>
      <c r="B37" s="613" t="s">
        <v>250</v>
      </c>
      <c r="C37" s="730">
        <v>0</v>
      </c>
      <c r="D37" s="730">
        <v>0.4</v>
      </c>
      <c r="E37" s="730">
        <v>0.25</v>
      </c>
      <c r="F37" s="730"/>
      <c r="G37" s="730"/>
      <c r="H37" s="730"/>
      <c r="I37" s="730"/>
      <c r="J37" s="730"/>
      <c r="K37" s="730"/>
      <c r="L37" s="730"/>
      <c r="M37" s="730">
        <v>0.35</v>
      </c>
      <c r="N37" s="730"/>
      <c r="O37" s="730"/>
      <c r="P37" s="730"/>
      <c r="Q37" s="730"/>
      <c r="S37" s="730"/>
      <c r="T37" s="732">
        <f t="shared" si="0"/>
        <v>1</v>
      </c>
    </row>
    <row r="38" spans="1:21" s="736" customFormat="1" hidden="1">
      <c r="A38" s="613" t="s">
        <v>978</v>
      </c>
      <c r="B38" s="613" t="s">
        <v>249</v>
      </c>
      <c r="C38" s="730">
        <v>1</v>
      </c>
      <c r="D38" s="730">
        <v>0</v>
      </c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2">
        <f t="shared" si="0"/>
        <v>1</v>
      </c>
    </row>
    <row r="39" spans="1:21" s="736" customFormat="1" hidden="1">
      <c r="A39" s="613" t="s">
        <v>978</v>
      </c>
      <c r="B39" s="613" t="s">
        <v>247</v>
      </c>
      <c r="C39" s="730">
        <v>0</v>
      </c>
      <c r="D39" s="730">
        <v>0.4</v>
      </c>
      <c r="E39" s="730"/>
      <c r="F39" s="730"/>
      <c r="G39" s="730">
        <v>0.05</v>
      </c>
      <c r="H39" s="730"/>
      <c r="I39" s="730"/>
      <c r="J39" s="730"/>
      <c r="K39" s="730"/>
      <c r="L39" s="730">
        <v>0.5</v>
      </c>
      <c r="M39" s="730"/>
      <c r="N39" s="730"/>
      <c r="O39" s="730"/>
      <c r="P39" s="730"/>
      <c r="Q39" s="730">
        <v>0.05</v>
      </c>
      <c r="R39" s="730"/>
      <c r="S39" s="730"/>
      <c r="T39" s="732">
        <f t="shared" si="0"/>
        <v>1</v>
      </c>
    </row>
    <row r="40" spans="1:21" s="736" customFormat="1" hidden="1">
      <c r="A40" s="613" t="s">
        <v>978</v>
      </c>
      <c r="B40" s="613" t="s">
        <v>338</v>
      </c>
      <c r="C40" s="730">
        <v>0</v>
      </c>
      <c r="D40" s="730">
        <v>0.5</v>
      </c>
      <c r="E40" s="730">
        <v>0.2</v>
      </c>
      <c r="F40" s="730"/>
      <c r="G40" s="730"/>
      <c r="H40" s="730"/>
      <c r="I40" s="730"/>
      <c r="J40" s="730"/>
      <c r="K40" s="730"/>
      <c r="L40" s="730"/>
      <c r="M40" s="730">
        <v>0.3</v>
      </c>
      <c r="N40" s="730"/>
      <c r="O40" s="730"/>
      <c r="P40" s="730"/>
      <c r="Q40" s="730"/>
      <c r="R40" s="730"/>
      <c r="S40" s="730"/>
      <c r="T40" s="732">
        <f t="shared" si="0"/>
        <v>1</v>
      </c>
    </row>
    <row r="41" spans="1:21" s="736" customFormat="1" hidden="1">
      <c r="A41" s="613" t="s">
        <v>978</v>
      </c>
      <c r="B41" s="613" t="s">
        <v>560</v>
      </c>
      <c r="C41" s="730">
        <v>0.12</v>
      </c>
      <c r="D41" s="730">
        <v>0.34</v>
      </c>
      <c r="E41" s="730">
        <v>0.05</v>
      </c>
      <c r="F41" s="730"/>
      <c r="G41" s="730">
        <v>0.03</v>
      </c>
      <c r="H41" s="730">
        <v>0.01</v>
      </c>
      <c r="I41" s="730"/>
      <c r="J41" s="730"/>
      <c r="K41" s="730"/>
      <c r="L41" s="730">
        <v>0.22</v>
      </c>
      <c r="M41" s="730">
        <v>0.2</v>
      </c>
      <c r="N41" s="730"/>
      <c r="O41" s="730"/>
      <c r="P41" s="730"/>
      <c r="Q41" s="730">
        <v>0.01</v>
      </c>
      <c r="R41" s="730"/>
      <c r="S41" s="730"/>
      <c r="T41" s="732">
        <f t="shared" si="0"/>
        <v>0.98</v>
      </c>
    </row>
    <row r="42" spans="1:21" hidden="1">
      <c r="A42" s="613" t="s">
        <v>978</v>
      </c>
      <c r="B42" s="613" t="s">
        <v>231</v>
      </c>
      <c r="C42" s="686">
        <v>1</v>
      </c>
      <c r="D42" s="733"/>
      <c r="E42" s="686">
        <v>0</v>
      </c>
      <c r="F42" s="734"/>
      <c r="G42" s="734"/>
      <c r="H42" s="734"/>
      <c r="I42" s="734"/>
      <c r="J42" s="734"/>
      <c r="K42" s="734"/>
      <c r="L42" s="734"/>
      <c r="M42" s="686">
        <v>0</v>
      </c>
      <c r="N42" s="734"/>
      <c r="O42" s="686">
        <v>0</v>
      </c>
      <c r="P42" s="734"/>
      <c r="Q42" s="734"/>
      <c r="R42" s="734"/>
      <c r="S42" s="734"/>
      <c r="T42" s="732">
        <f t="shared" si="0"/>
        <v>1</v>
      </c>
    </row>
    <row r="43" spans="1:21" hidden="1">
      <c r="A43" s="613" t="s">
        <v>978</v>
      </c>
      <c r="B43" s="613" t="s">
        <v>232</v>
      </c>
      <c r="C43" s="734"/>
      <c r="D43" s="686">
        <v>0.19</v>
      </c>
      <c r="E43" s="686">
        <v>0.01</v>
      </c>
      <c r="F43" s="686">
        <v>0.01</v>
      </c>
      <c r="G43" s="686">
        <v>5.8000000000000003E-2</v>
      </c>
      <c r="H43" s="686">
        <v>0.01</v>
      </c>
      <c r="I43" s="686">
        <v>2E-3</v>
      </c>
      <c r="J43" s="686">
        <v>0</v>
      </c>
      <c r="K43" s="686">
        <v>0.03</v>
      </c>
      <c r="L43" s="686">
        <v>0.08</v>
      </c>
      <c r="M43" s="686">
        <v>0.01</v>
      </c>
      <c r="N43" s="686">
        <v>0</v>
      </c>
      <c r="O43" s="686">
        <v>0.01</v>
      </c>
      <c r="P43" s="686">
        <v>0</v>
      </c>
      <c r="Q43" s="686">
        <v>0.46</v>
      </c>
      <c r="R43" s="686">
        <v>0.01</v>
      </c>
      <c r="S43" s="686">
        <v>0.12</v>
      </c>
      <c r="T43" s="732">
        <f t="shared" si="0"/>
        <v>1</v>
      </c>
    </row>
    <row r="44" spans="1:21" hidden="1"/>
    <row r="45" spans="1:21" hidden="1"/>
    <row r="46" spans="1:21" hidden="1"/>
    <row r="47" spans="1:21" hidden="1">
      <c r="B47" s="612" t="s">
        <v>81</v>
      </c>
      <c r="U47" s="710">
        <f ca="1">Drivers!$X$27</f>
        <v>0.81499999999999995</v>
      </c>
    </row>
    <row r="48" spans="1:21" hidden="1">
      <c r="C48" s="613" t="s">
        <v>905</v>
      </c>
      <c r="D48" s="613" t="s">
        <v>906</v>
      </c>
      <c r="E48" s="613" t="s">
        <v>907</v>
      </c>
      <c r="F48" s="613" t="s">
        <v>908</v>
      </c>
      <c r="G48" s="613" t="s">
        <v>909</v>
      </c>
      <c r="H48" s="613" t="s">
        <v>910</v>
      </c>
      <c r="I48" s="613" t="s">
        <v>911</v>
      </c>
      <c r="J48" s="613" t="s">
        <v>912</v>
      </c>
      <c r="K48" s="613" t="s">
        <v>1150</v>
      </c>
      <c r="L48" s="613" t="s">
        <v>913</v>
      </c>
      <c r="M48" s="613" t="s">
        <v>826</v>
      </c>
      <c r="N48" s="613" t="s">
        <v>914</v>
      </c>
      <c r="O48" s="613" t="s">
        <v>915</v>
      </c>
      <c r="P48" s="613" t="s">
        <v>916</v>
      </c>
      <c r="Q48" s="613" t="s">
        <v>917</v>
      </c>
      <c r="R48" s="613" t="s">
        <v>950</v>
      </c>
      <c r="S48" s="613" t="s">
        <v>946</v>
      </c>
      <c r="T48" s="613" t="s">
        <v>888</v>
      </c>
      <c r="U48" s="613" t="s">
        <v>378</v>
      </c>
    </row>
    <row r="49" spans="1:21" hidden="1">
      <c r="B49" s="613" t="s">
        <v>568</v>
      </c>
      <c r="C49" s="613">
        <f t="array" aca="1" ref="C49" ca="1">SUM(IF($A$9:$A$43=$B49,Drivers!$R$58:$R$92*C$9:C$43))</f>
        <v>11.722855029052056</v>
      </c>
      <c r="D49" s="613">
        <f t="array" aca="1" ref="D49" ca="1">SUM(IF($A$9:$A$43=$B49,Drivers!$R$58:$R$92*D$9:D$43))</f>
        <v>2.9754360229465879</v>
      </c>
      <c r="E49" s="613">
        <f t="array" aca="1" ref="E49" ca="1">SUM(IF($A$9:$A$43=$B49,Drivers!$R$58:$R$92*E$9:E$43))</f>
        <v>0.54325582599947275</v>
      </c>
      <c r="F49" s="613">
        <f t="array" aca="1" ref="F49" ca="1">SUM(IF($A$9:$A$43=$B49,Drivers!$R$58:$R$92*F$9:F$43))</f>
        <v>5.6189102294658788E-2</v>
      </c>
      <c r="G49" s="613">
        <f t="array" aca="1" ref="G49" ca="1">SUM(IF($A$9:$A$43=$B49,Drivers!$R$58:$R$92*G$9:G$43))</f>
        <v>3.3847890344198817</v>
      </c>
      <c r="H49" s="613">
        <f t="array" aca="1" ref="H49" ca="1">SUM(IF($A$9:$A$43=$B49,Drivers!$R$58:$R$92*H$9:H$43))</f>
        <v>7.7715434203623746</v>
      </c>
      <c r="I49" s="613">
        <f t="array" aca="1" ref="I49" ca="1">SUM(IF($A$9:$A$43=$B49,Drivers!$R$58:$R$92*I$9:I$43))</f>
        <v>1.208901022946588</v>
      </c>
      <c r="J49" s="613">
        <f t="array" aca="1" ref="J49" ca="1">SUM(IF($A$9:$A$43=$B49,Drivers!$R$58:$R$92*J$9:J$43))</f>
        <v>5.9337975573664696</v>
      </c>
      <c r="K49" s="613">
        <f t="array" aca="1" ref="K49" ca="1">SUM(IF($A$9:$A$43=$B49,Drivers!$R$58:$R$92*K$9:K$43))</f>
        <v>5.6189102294658788E-2</v>
      </c>
      <c r="L49" s="613">
        <f t="array" aca="1" ref="L49" ca="1">SUM(IF($A$9:$A$43=$B49,Drivers!$R$58:$R$92*L$9:L$43))</f>
        <v>1.208901022946588</v>
      </c>
      <c r="M49" s="613">
        <f t="array" aca="1" ref="M49" ca="1">SUM(IF($A$9:$A$43=$B49,Drivers!$R$58:$R$92*M$9:M$43))</f>
        <v>0.79038058378645204</v>
      </c>
      <c r="N49" s="613">
        <f t="array" aca="1" ref="N49" ca="1">SUM(IF($A$9:$A$43=$B49,Drivers!$R$58:$R$92*N$9:N$43))</f>
        <v>5.6189102294658788E-2</v>
      </c>
      <c r="O49" s="613">
        <f t="array" aca="1" ref="O49" ca="1">SUM(IF($A$9:$A$43=$B49,Drivers!$R$58:$R$92*O$9:O$43))</f>
        <v>0.18951833730390844</v>
      </c>
      <c r="P49" s="613">
        <f t="array" aca="1" ref="P49" ca="1">SUM(IF($A$9:$A$43=$B49,Drivers!$R$58:$R$92*P$9:P$43))</f>
        <v>0.70319910229465887</v>
      </c>
      <c r="Q49" s="613">
        <f t="array" aca="1" ref="Q49" ca="1">SUM(IF($A$9:$A$43=$B49,Drivers!$R$58:$R$92*Q$9:Q$43))</f>
        <v>5.6189102294658788E-2</v>
      </c>
      <c r="R49" s="613">
        <f t="array" aca="1" ref="R49" ca="1">SUM(IF($A$9:$A$43=$B49,Drivers!$R$58:$R$92*R$9:R$43))</f>
        <v>5.6189102294658788E-2</v>
      </c>
      <c r="S49" s="613">
        <f t="array" aca="1" ref="S49" ca="1">SUM(IF($A$9:$A$43=$B49,Drivers!$R$58:$R$92*S$9:S$43))</f>
        <v>0.56189102294658788</v>
      </c>
      <c r="T49" s="651">
        <f>SUM(C49:S49)</f>
        <v>37.27541349384493</v>
      </c>
      <c r="U49" s="613">
        <f>SUM(D49:S49)</f>
        <v>25.552558464792867</v>
      </c>
    </row>
    <row r="50" spans="1:21" hidden="1">
      <c r="B50" s="613" t="s">
        <v>879</v>
      </c>
      <c r="C50" s="613">
        <f t="array" aca="1" ref="C50" ca="1">SUM(IF($A$9:$A$43=$B50,Drivers!$R$58:$R$92*C$9:C$43))</f>
        <v>3.2060598499686925</v>
      </c>
      <c r="D50" s="613">
        <f t="array" aca="1" ref="D50" ca="1">SUM(IF($A$9:$A$43=$B50,Drivers!$R$58:$R$92*D$9:D$43))</f>
        <v>3.8074402612310028</v>
      </c>
      <c r="E50" s="613">
        <f t="array" aca="1" ref="E50" ca="1">SUM(IF($A$9:$A$43=$B50,Drivers!$R$58:$R$92*E$9:E$43))</f>
        <v>7.062528325967693E-2</v>
      </c>
      <c r="F50" s="613">
        <f t="array" aca="1" ref="F50" ca="1">SUM(IF($A$9:$A$43=$B50,Drivers!$R$58:$R$92*F$9:F$43))</f>
        <v>4.1882695262966067E-3</v>
      </c>
      <c r="G50" s="613">
        <f t="array" aca="1" ref="G50" ca="1">SUM(IF($A$9:$A$43=$B50,Drivers!$R$58:$R$92*G$9:G$43))</f>
        <v>2.2771831386285957</v>
      </c>
      <c r="H50" s="613">
        <f t="array" aca="1" ref="H50" ca="1">SUM(IF($A$9:$A$43=$B50,Drivers!$R$58:$R$92*H$9:H$43))</f>
        <v>2.0941347631483032E-2</v>
      </c>
      <c r="I50" s="613">
        <f t="array" aca="1" ref="I50" ca="1">SUM(IF($A$9:$A$43=$B50,Drivers!$R$58:$R$92*I$9:I$43))</f>
        <v>4.1882695262966063E-2</v>
      </c>
      <c r="J50" s="613">
        <f t="array" aca="1" ref="J50" ca="1">SUM(IF($A$9:$A$43=$B50,Drivers!$R$58:$R$92*J$9:J$43))</f>
        <v>2.0941347631483032E-2</v>
      </c>
      <c r="K50" s="613">
        <f t="array" aca="1" ref="K50" ca="1">SUM(IF($A$9:$A$43=$B50,Drivers!$R$58:$R$92*K$9:K$43))</f>
        <v>2.0941347631483032E-2</v>
      </c>
      <c r="L50" s="613">
        <f t="array" aca="1" ref="L50" ca="1">SUM(IF($A$9:$A$43=$B50,Drivers!$R$58:$R$92*L$9:L$43))</f>
        <v>1.9568174703498364</v>
      </c>
      <c r="M50" s="613">
        <f t="array" aca="1" ref="M50" ca="1">SUM(IF($A$9:$A$43=$B50,Drivers!$R$58:$R$92*M$9:M$43))</f>
        <v>4.5783315445579981E-2</v>
      </c>
      <c r="N50" s="613">
        <f t="array" aca="1" ref="N50" ca="1">SUM(IF($A$9:$A$43=$B50,Drivers!$R$58:$R$92*N$9:N$43))</f>
        <v>4.1882695262966067E-3</v>
      </c>
      <c r="O50" s="613">
        <f t="array" aca="1" ref="O50" ca="1">SUM(IF($A$9:$A$43=$B50,Drivers!$R$58:$R$92*O$9:O$43))</f>
        <v>2.4841967814096949E-2</v>
      </c>
      <c r="P50" s="613">
        <f t="array" aca="1" ref="P50" ca="1">SUM(IF($A$9:$A$43=$B50,Drivers!$R$58:$R$92*P$9:P$43))</f>
        <v>0.97894850952629642</v>
      </c>
      <c r="Q50" s="613">
        <f t="array" aca="1" ref="Q50" ca="1">SUM(IF($A$9:$A$43=$B50,Drivers!$R$58:$R$92*Q$9:Q$43))</f>
        <v>0.41503371315777959</v>
      </c>
      <c r="R50" s="613">
        <f t="array" aca="1" ref="R50" ca="1">SUM(IF($A$9:$A$43=$B50,Drivers!$R$58:$R$92*R$9:R$43))</f>
        <v>4.1882695262966067E-3</v>
      </c>
      <c r="S50" s="613">
        <f t="array" aca="1" ref="S50" ca="1">SUM(IF($A$9:$A$43=$B50,Drivers!$R$58:$R$92*S$9:S$43))</f>
        <v>4.1882695262966063E-2</v>
      </c>
      <c r="T50" s="651">
        <f>SUM(C50:S50)</f>
        <v>12.941887751380829</v>
      </c>
      <c r="U50" s="613">
        <f>SUM(D50:S50)</f>
        <v>9.7358279014121365</v>
      </c>
    </row>
    <row r="51" spans="1:21" hidden="1">
      <c r="B51" s="613" t="s">
        <v>880</v>
      </c>
      <c r="C51" s="613">
        <f t="array" aca="1" ref="C51" ca="1">SUM(IF($A$9:$A$43=$B51,Drivers!$R$58:$R$92*C$9:C$43))</f>
        <v>7.4452852050520555</v>
      </c>
      <c r="D51" s="613">
        <f t="array" aca="1" ref="D51" ca="1">SUM(IF($A$9:$A$43=$B51,Drivers!$R$58:$R$92*D$9:D$43))</f>
        <v>1.5466029462064124</v>
      </c>
      <c r="E51" s="613">
        <f t="array" aca="1" ref="E51" ca="1">SUM(IF($A$9:$A$43=$B51,Drivers!$R$58:$R$92*E$9:E$43))</f>
        <v>0.25406953192512571</v>
      </c>
      <c r="F51" s="613">
        <f t="array" aca="1" ref="F51" ca="1">SUM(IF($A$9:$A$43=$B51,Drivers!$R$58:$R$92*F$9:F$43))</f>
        <v>3.0957854347083539E-2</v>
      </c>
      <c r="G51" s="613">
        <f t="array" aca="1" ref="G51" ca="1">SUM(IF($A$9:$A$43=$B51,Drivers!$R$58:$R$92*G$9:G$43))</f>
        <v>0.41471862847083546</v>
      </c>
      <c r="H51" s="613">
        <f t="array" aca="1" ref="H51" ca="1">SUM(IF($A$9:$A$43=$B51,Drivers!$R$58:$R$92*H$9:H$43))</f>
        <v>0.39302055399169011</v>
      </c>
      <c r="I51" s="613">
        <f t="array" aca="1" ref="I51" ca="1">SUM(IF($A$9:$A$43=$B51,Drivers!$R$58:$R$92*I$9:I$43))</f>
        <v>0.30957854347083541</v>
      </c>
      <c r="J51" s="613">
        <f t="array" aca="1" ref="J51" ca="1">SUM(IF($A$9:$A$43=$B51,Drivers!$R$58:$R$92*J$9:J$43))</f>
        <v>0.15478927173541771</v>
      </c>
      <c r="K51" s="613">
        <f t="array" aca="1" ref="K51" ca="1">SUM(IF($A$9:$A$43=$B51,Drivers!$R$58:$R$92*K$9:K$43))</f>
        <v>3.0957854347083539E-2</v>
      </c>
      <c r="L51" s="613">
        <f t="array" aca="1" ref="L51" ca="1">SUM(IF($A$9:$A$43=$B51,Drivers!$R$58:$R$92*L$9:L$43))</f>
        <v>1.1437395134463642</v>
      </c>
      <c r="M51" s="613">
        <f t="array" aca="1" ref="M51" ca="1">SUM(IF($A$9:$A$43=$B51,Drivers!$R$58:$R$92*M$9:M$43))</f>
        <v>0.15478927173541771</v>
      </c>
      <c r="N51" s="613">
        <f t="array" aca="1" ref="N51" ca="1">SUM(IF($A$9:$A$43=$B51,Drivers!$R$58:$R$92*N$9:N$43))</f>
        <v>3.0957854347083539E-2</v>
      </c>
      <c r="O51" s="613">
        <f t="array" aca="1" ref="O51" ca="1">SUM(IF($A$9:$A$43=$B51,Drivers!$R$58:$R$92*O$9:O$43))</f>
        <v>0</v>
      </c>
      <c r="P51" s="613">
        <f t="array" aca="1" ref="P51" ca="1">SUM(IF($A$9:$A$43=$B51,Drivers!$R$58:$R$92*P$9:P$43))</f>
        <v>3.0957854347083539E-2</v>
      </c>
      <c r="Q51" s="613">
        <f t="array" aca="1" ref="Q51" ca="1">SUM(IF($A$9:$A$43=$B51,Drivers!$R$58:$R$92*Q$9:Q$43))</f>
        <v>9.287356304125062E-2</v>
      </c>
      <c r="R51" s="613">
        <f t="array" aca="1" ref="R51" ca="1">SUM(IF($A$9:$A$43=$B51,Drivers!$R$58:$R$92*R$9:R$43))</f>
        <v>3.0957854347083539E-2</v>
      </c>
      <c r="S51" s="613">
        <f t="array" aca="1" ref="S51" ca="1">SUM(IF($A$9:$A$43=$B51,Drivers!$R$58:$R$92*S$9:S$43))</f>
        <v>0.30957854347083541</v>
      </c>
      <c r="T51" s="651">
        <f>SUM(C51:S51)</f>
        <v>12.373834844281651</v>
      </c>
      <c r="U51" s="613">
        <f>SUM(D51:S51)</f>
        <v>4.9285496392296038</v>
      </c>
    </row>
    <row r="52" spans="1:21" hidden="1">
      <c r="B52" s="613" t="s">
        <v>787</v>
      </c>
      <c r="C52" s="613">
        <f t="array" aca="1" ref="C52" ca="1">SUM(IF($A$9:$A$43=$B52,Drivers!$R$58:$R$92*C$9:C$43))</f>
        <v>16.563068795327236</v>
      </c>
      <c r="D52" s="613">
        <f t="array" aca="1" ref="D52" ca="1">SUM(IF($A$9:$A$43=$B52,Drivers!$R$58:$R$92*D$9:D$43))</f>
        <v>10.976511325405472</v>
      </c>
      <c r="E52" s="613">
        <f t="array" aca="1" ref="E52" ca="1">SUM(IF($A$9:$A$43=$B52,Drivers!$R$58:$R$92*E$9:E$43))</f>
        <v>0.88211169287236668</v>
      </c>
      <c r="F52" s="613">
        <f t="array" aca="1" ref="F52" ca="1">SUM(IF($A$9:$A$43=$B52,Drivers!$R$58:$R$92*F$9:F$43))</f>
        <v>0.56917659081271343</v>
      </c>
      <c r="G52" s="613">
        <f t="array" aca="1" ref="G52" ca="1">SUM(IF($A$9:$A$43=$B52,Drivers!$R$58:$R$92*G$9:G$43))</f>
        <v>1.174176993885933</v>
      </c>
      <c r="H52" s="613">
        <f t="array" aca="1" ref="H52" ca="1">SUM(IF($A$9:$A$43=$B52,Drivers!$R$58:$R$92*H$9:H$43))</f>
        <v>0.67182211564984728</v>
      </c>
      <c r="I52" s="613">
        <f t="array" aca="1" ref="I52" ca="1">SUM(IF($A$9:$A$43=$B52,Drivers!$R$58:$R$92*I$9:I$43))</f>
        <v>0.56917659081271343</v>
      </c>
      <c r="J52" s="613">
        <f t="array" aca="1" ref="J52" ca="1">SUM(IF($A$9:$A$43=$B52,Drivers!$R$58:$R$92*J$9:J$43))</f>
        <v>0.1897255302709045</v>
      </c>
      <c r="K52" s="613">
        <f t="array" aca="1" ref="K52" ca="1">SUM(IF($A$9:$A$43=$B52,Drivers!$R$58:$R$92*K$9:K$43))</f>
        <v>0.56917659081271343</v>
      </c>
      <c r="L52" s="613">
        <f t="array" aca="1" ref="L52" ca="1">SUM(IF($A$9:$A$43=$B52,Drivers!$R$58:$R$92*L$9:L$43))</f>
        <v>3.4680688260992207</v>
      </c>
      <c r="M52" s="613">
        <f t="array" aca="1" ref="M52" ca="1">SUM(IF($A$9:$A$43=$B52,Drivers!$R$58:$R$92*M$9:M$43))</f>
        <v>1.3337343371768822</v>
      </c>
      <c r="N52" s="613">
        <f t="array" aca="1" ref="N52" ca="1">SUM(IF($A$9:$A$43=$B52,Drivers!$R$58:$R$92*N$9:N$43))</f>
        <v>1.2493730119694515</v>
      </c>
      <c r="O52" s="613">
        <f t="array" aca="1" ref="O52" ca="1">SUM(IF($A$9:$A$43=$B52,Drivers!$R$58:$R$92*O$9:O$43))</f>
        <v>1.598477813762635</v>
      </c>
      <c r="P52" s="613">
        <f t="array" aca="1" ref="P52" ca="1">SUM(IF($A$9:$A$43=$B52,Drivers!$R$58:$R$92*P$9:P$43))</f>
        <v>0.94862765135452243</v>
      </c>
      <c r="Q52" s="613">
        <f t="array" aca="1" ref="Q52" ca="1">SUM(IF($A$9:$A$43=$B52,Drivers!$R$58:$R$92*Q$9:Q$43))</f>
        <v>0.1897255302709045</v>
      </c>
      <c r="R52" s="613">
        <f t="array" aca="1" ref="R52" ca="1">SUM(IF($A$9:$A$43=$B52,Drivers!$R$58:$R$92*R$9:R$43))</f>
        <v>0.1897255302709045</v>
      </c>
      <c r="S52" s="613">
        <f t="array" aca="1" ref="S52" ca="1">SUM(IF($A$9:$A$43=$B52,Drivers!$R$58:$R$92*S$9:S$43))</f>
        <v>3.7945106054180897</v>
      </c>
      <c r="T52" s="651">
        <f>SUM(C52:S52)</f>
        <v>44.937189532172518</v>
      </c>
      <c r="U52" s="613">
        <f>SUM(D52:S52)</f>
        <v>28.374120736845271</v>
      </c>
    </row>
    <row r="53" spans="1:21" hidden="1">
      <c r="B53" s="613" t="s">
        <v>978</v>
      </c>
      <c r="C53" s="613">
        <f t="array" aca="1" ref="C53" ca="1">SUM(IF($A$9:$A$43=$B53,Drivers!$R$58:$R$92*C$9:C$43))</f>
        <v>76.709195623158848</v>
      </c>
      <c r="D53" s="613">
        <f t="array" aca="1" ref="D53" ca="1">SUM(IF($A$9:$A$43=$B53,Drivers!$R$58:$R$92*D$9:D$43))</f>
        <v>37.963406971552324</v>
      </c>
      <c r="E53" s="613">
        <f t="array" aca="1" ref="E53" ca="1">SUM(IF($A$9:$A$43=$B53,Drivers!$R$58:$R$92*E$9:E$43))</f>
        <v>3.1510242757132803</v>
      </c>
      <c r="F53" s="613">
        <f t="array" aca="1" ref="F53" ca="1">SUM(IF($A$9:$A$43=$B53,Drivers!$R$58:$R$92*F$9:F$43))</f>
        <v>1.5909046217132803</v>
      </c>
      <c r="G53" s="613">
        <f t="array" aca="1" ref="G53" ca="1">SUM(IF($A$9:$A$43=$B53,Drivers!$R$58:$R$92*G$9:G$43))</f>
        <v>9.8720836839370261</v>
      </c>
      <c r="H53" s="613">
        <f t="array" aca="1" ref="H53" ca="1">SUM(IF($A$9:$A$43=$B53,Drivers!$R$58:$R$92*H$9:H$43))</f>
        <v>1.5909046217132803</v>
      </c>
      <c r="I53" s="613">
        <f t="array" aca="1" ref="I53" ca="1">SUM(IF($A$9:$A$43=$B53,Drivers!$R$58:$R$92*I$9:I$43))</f>
        <v>0.31818092434265605</v>
      </c>
      <c r="J53" s="613">
        <f t="array" aca="1" ref="J53" ca="1">SUM(IF($A$9:$A$43=$B53,Drivers!$R$58:$R$92*J$9:J$43))</f>
        <v>0</v>
      </c>
      <c r="K53" s="613">
        <f t="array" aca="1" ref="K53" ca="1">SUM(IF($A$9:$A$43=$B53,Drivers!$R$58:$R$92*K$9:K$43))</f>
        <v>4.7727138651398411</v>
      </c>
      <c r="L53" s="613">
        <f t="array" aca="1" ref="L53" ca="1">SUM(IF($A$9:$A$43=$B53,Drivers!$R$58:$R$92*L$9:L$43))</f>
        <v>19.175605753706243</v>
      </c>
      <c r="M53" s="613">
        <f t="array" aca="1" ref="M53" ca="1">SUM(IF($A$9:$A$43=$B53,Drivers!$R$58:$R$92*M$9:M$43))</f>
        <v>3.7841091027132796</v>
      </c>
      <c r="N53" s="613">
        <f t="array" aca="1" ref="N53" ca="1">SUM(IF($A$9:$A$43=$B53,Drivers!$R$58:$R$92*N$9:N$43))</f>
        <v>0</v>
      </c>
      <c r="O53" s="613">
        <f t="array" aca="1" ref="O53" ca="1">SUM(IF($A$9:$A$43=$B53,Drivers!$R$58:$R$92*O$9:O$43))</f>
        <v>1.5909046217132803</v>
      </c>
      <c r="P53" s="613">
        <f t="array" aca="1" ref="P53" ca="1">SUM(IF($A$9:$A$43=$B53,Drivers!$R$58:$R$92*P$9:P$43))</f>
        <v>0</v>
      </c>
      <c r="Q53" s="613">
        <f t="array" aca="1" ref="Q53" ca="1">SUM(IF($A$9:$A$43=$B53,Drivers!$R$58:$R$92*Q$9:Q$43))</f>
        <v>73.826449476810907</v>
      </c>
      <c r="R53" s="613">
        <f t="array" aca="1" ref="R53" ca="1">SUM(IF($A$9:$A$43=$B53,Drivers!$R$58:$R$92*R$9:R$43))</f>
        <v>1.5909046217132803</v>
      </c>
      <c r="S53" s="613">
        <f t="array" aca="1" ref="S53" ca="1">SUM(IF($A$9:$A$43=$B53,Drivers!$R$58:$R$92*S$9:S$43))</f>
        <v>19.090855460559364</v>
      </c>
      <c r="T53" s="651">
        <f>SUM(C53:S53)</f>
        <v>255.02724362448697</v>
      </c>
      <c r="U53" s="613">
        <f>SUM(D53:S53)</f>
        <v>178.31804800132807</v>
      </c>
    </row>
    <row r="54" spans="1:21" hidden="1">
      <c r="T54" s="737">
        <f>SUM(T49:T53)</f>
        <v>362.5555692461669</v>
      </c>
    </row>
    <row r="55" spans="1:21" hidden="1">
      <c r="B55" s="612" t="s">
        <v>82</v>
      </c>
    </row>
    <row r="56" spans="1:21" hidden="1">
      <c r="C56" s="613" t="s">
        <v>905</v>
      </c>
      <c r="D56" s="613" t="s">
        <v>906</v>
      </c>
      <c r="E56" s="613" t="s">
        <v>907</v>
      </c>
      <c r="F56" s="613" t="s">
        <v>908</v>
      </c>
      <c r="G56" s="613" t="s">
        <v>909</v>
      </c>
      <c r="H56" s="613" t="s">
        <v>910</v>
      </c>
      <c r="I56" s="613" t="s">
        <v>911</v>
      </c>
      <c r="J56" s="613" t="s">
        <v>912</v>
      </c>
      <c r="K56" s="613" t="s">
        <v>1150</v>
      </c>
      <c r="L56" s="613" t="s">
        <v>913</v>
      </c>
      <c r="M56" s="613" t="s">
        <v>826</v>
      </c>
      <c r="N56" s="613" t="s">
        <v>914</v>
      </c>
      <c r="O56" s="613" t="s">
        <v>915</v>
      </c>
      <c r="P56" s="613" t="s">
        <v>916</v>
      </c>
      <c r="Q56" s="613" t="s">
        <v>917</v>
      </c>
      <c r="R56" s="613" t="s">
        <v>950</v>
      </c>
      <c r="S56" s="613" t="s">
        <v>946</v>
      </c>
      <c r="T56" s="613" t="s">
        <v>888</v>
      </c>
      <c r="U56" s="613" t="s">
        <v>378</v>
      </c>
    </row>
    <row r="57" spans="1:21" hidden="1">
      <c r="A57" s="613">
        <f ca="1">MATCH(B57,IEAData!$A$28:$A$33,0)</f>
        <v>1</v>
      </c>
      <c r="B57" s="613" t="s">
        <v>568</v>
      </c>
      <c r="C57" s="738">
        <f t="array" aca="1" ref="C57:R57" ca="1">INDEX(IEAData!$B$28:$Q$33,$A57,0)</f>
        <v>11.722855029052054</v>
      </c>
      <c r="D57" s="738">
        <f ca="1"/>
        <v>2.0708122280000003</v>
      </c>
      <c r="E57" s="738">
        <f ca="1"/>
        <v>5.1199830039999998</v>
      </c>
      <c r="F57" s="738">
        <f ca="1"/>
        <v>0</v>
      </c>
      <c r="G57" s="738">
        <f ca="1"/>
        <v>0</v>
      </c>
      <c r="H57" s="738">
        <f ca="1"/>
        <v>8.0868042000000013</v>
      </c>
      <c r="I57" s="738">
        <f ca="1"/>
        <v>3.8544936840000004</v>
      </c>
      <c r="J57" s="738">
        <f ca="1"/>
        <v>2.1555739800000002</v>
      </c>
      <c r="K57" s="738">
        <f ca="1"/>
        <v>0</v>
      </c>
      <c r="L57" s="738">
        <f ca="1"/>
        <v>2.2660056760000002</v>
      </c>
      <c r="M57" s="738">
        <f ca="1"/>
        <v>0.16940276000000004</v>
      </c>
      <c r="N57" s="738">
        <f ca="1"/>
        <v>0</v>
      </c>
      <c r="O57" s="738">
        <f ca="1"/>
        <v>0</v>
      </c>
      <c r="P57" s="738">
        <f ca="1"/>
        <v>0</v>
      </c>
      <c r="Q57" s="738">
        <f ca="1"/>
        <v>0</v>
      </c>
      <c r="R57" s="738">
        <f ca="1"/>
        <v>0</v>
      </c>
      <c r="S57" s="613">
        <f ca="1">VLOOKUP("IS"&amp;RIGHT($B57,2),IEAData!$BF$34:$BJ$39,5,FALSE)/U$47</f>
        <v>1.8294829327928603</v>
      </c>
      <c r="T57" s="613">
        <f t="shared" ref="T57:T63" si="1">SUM(C57:S57)</f>
        <v>37.275413493844923</v>
      </c>
      <c r="U57" s="613">
        <f>SUM(D57:S57)</f>
        <v>25.552558464792863</v>
      </c>
    </row>
    <row r="58" spans="1:21" hidden="1">
      <c r="A58" s="613">
        <f ca="1">MATCH(B58,IEAData!$A$28:$A$33,0)</f>
        <v>5</v>
      </c>
      <c r="B58" s="613" t="s">
        <v>879</v>
      </c>
      <c r="C58" s="738">
        <f t="array" aca="1" ref="C58:R58" ca="1">INDEX(IEAData!$B$28:$Q$33,$A58,0)</f>
        <v>3.2241311972483477</v>
      </c>
      <c r="D58" s="738">
        <f ca="1"/>
        <v>1.554742512</v>
      </c>
      <c r="E58" s="738">
        <f ca="1"/>
        <v>0.78298156799999996</v>
      </c>
      <c r="F58" s="738">
        <f ca="1"/>
        <v>0</v>
      </c>
      <c r="G58" s="738">
        <f ca="1"/>
        <v>3.3940086960000002</v>
      </c>
      <c r="H58" s="738">
        <f ca="1"/>
        <v>0.41018079600000007</v>
      </c>
      <c r="I58" s="738">
        <f ca="1"/>
        <v>0</v>
      </c>
      <c r="J58" s="738">
        <f ca="1"/>
        <v>0</v>
      </c>
      <c r="K58" s="738">
        <f ca="1"/>
        <v>9.173924E-3</v>
      </c>
      <c r="L58" s="738">
        <f ca="1"/>
        <v>1.0580269280000001</v>
      </c>
      <c r="M58" s="738">
        <f ca="1"/>
        <v>0.40300690000000006</v>
      </c>
      <c r="N58" s="738">
        <f ca="1"/>
        <v>0</v>
      </c>
      <c r="O58" s="738">
        <f ca="1"/>
        <v>0</v>
      </c>
      <c r="P58" s="738">
        <f ca="1"/>
        <v>0.93802039199999998</v>
      </c>
      <c r="Q58" s="738">
        <f ca="1"/>
        <v>0.174972824</v>
      </c>
      <c r="R58" s="738">
        <f ca="1"/>
        <v>0</v>
      </c>
      <c r="S58" s="613">
        <f ca="1">VLOOKUP("IS"&amp;RIGHT($B58,2),IEAData!$BF$34:$BJ$39,5,FALSE)/U$47</f>
        <v>0.99264201413247832</v>
      </c>
      <c r="T58" s="613">
        <f t="shared" si="1"/>
        <v>12.941887751380827</v>
      </c>
      <c r="U58" s="613">
        <f>SUM(D58:S58)</f>
        <v>9.7177565541324782</v>
      </c>
    </row>
    <row r="59" spans="1:21" hidden="1">
      <c r="A59" s="613">
        <f ca="1">MATCH(B59,IEAData!$A$28:$A$33,0)</f>
        <v>2</v>
      </c>
      <c r="B59" s="613" t="s">
        <v>880</v>
      </c>
      <c r="C59" s="738">
        <f t="array" aca="1" ref="C59:R59" ca="1">INDEX(IEAData!$B$28:$Q$33,$A59,0)</f>
        <v>7.4452852050520555</v>
      </c>
      <c r="D59" s="738">
        <f ca="1"/>
        <v>5.4768176000000009E-2</v>
      </c>
      <c r="E59" s="738">
        <f ca="1"/>
        <v>0.54698771199999996</v>
      </c>
      <c r="F59" s="738">
        <f ca="1"/>
        <v>0</v>
      </c>
      <c r="G59" s="738">
        <f ca="1"/>
        <v>0</v>
      </c>
      <c r="H59" s="738">
        <f ca="1"/>
        <v>0</v>
      </c>
      <c r="I59" s="738">
        <f ca="1"/>
        <v>0</v>
      </c>
      <c r="J59" s="738">
        <f ca="1"/>
        <v>0</v>
      </c>
      <c r="K59" s="738">
        <f ca="1"/>
        <v>0</v>
      </c>
      <c r="L59" s="738">
        <f ca="1"/>
        <v>0.55498449999999999</v>
      </c>
      <c r="M59" s="738">
        <f ca="1"/>
        <v>0.33780552000000003</v>
      </c>
      <c r="N59" s="738">
        <f ca="1"/>
        <v>0</v>
      </c>
      <c r="O59" s="738">
        <f ca="1"/>
        <v>0</v>
      </c>
      <c r="P59" s="738">
        <f ca="1"/>
        <v>0</v>
      </c>
      <c r="Q59" s="738">
        <f ca="1"/>
        <v>0.39592313600000001</v>
      </c>
      <c r="R59" s="738">
        <f ca="1"/>
        <v>0</v>
      </c>
      <c r="S59" s="613">
        <f ca="1">VLOOKUP("IS"&amp;RIGHT($B59,2),IEAData!$BF$34:$BJ$39,5,FALSE)/U$47</f>
        <v>3.0380805952296028</v>
      </c>
      <c r="T59" s="613">
        <f t="shared" si="1"/>
        <v>12.373834844281658</v>
      </c>
      <c r="U59" s="613">
        <f>SUM(D59:S59)</f>
        <v>4.9285496392296029</v>
      </c>
    </row>
    <row r="60" spans="1:21" hidden="1">
      <c r="A60" s="613">
        <f ca="1">MATCH(B60,IEAData!$A$28:$A$33,0)</f>
        <v>3</v>
      </c>
      <c r="B60" s="613" t="s">
        <v>787</v>
      </c>
      <c r="C60" s="738">
        <f t="array" aca="1" ref="C60:R60" ca="1">INDEX(IEAData!$B$28:$Q$33,$A60,0)-IEAData!$B$37:$Q$37</f>
        <v>16.563068795327236</v>
      </c>
      <c r="D60" s="738">
        <f ca="1"/>
        <v>0.46287679999999987</v>
      </c>
      <c r="E60" s="738">
        <f ca="1"/>
        <v>-0.12000000000000011</v>
      </c>
      <c r="F60" s="738">
        <f ca="1"/>
        <v>0</v>
      </c>
      <c r="G60" s="738">
        <f ca="1"/>
        <v>0</v>
      </c>
      <c r="H60" s="738">
        <f ca="1"/>
        <v>0</v>
      </c>
      <c r="I60" s="738">
        <f ca="1"/>
        <v>0</v>
      </c>
      <c r="J60" s="738">
        <f ca="1"/>
        <v>0</v>
      </c>
      <c r="K60" s="738">
        <f ca="1"/>
        <v>0</v>
      </c>
      <c r="L60" s="738">
        <f ca="1"/>
        <v>1.7740148639999989</v>
      </c>
      <c r="M60" s="738">
        <f ca="1"/>
        <v>0.16640276000000001</v>
      </c>
      <c r="N60" s="738">
        <f ca="1"/>
        <v>8.959500792</v>
      </c>
      <c r="O60" s="738">
        <f ca="1"/>
        <v>0</v>
      </c>
      <c r="P60" s="738">
        <f ca="1"/>
        <v>0</v>
      </c>
      <c r="Q60" s="738">
        <f ca="1"/>
        <v>0.32593433599999999</v>
      </c>
      <c r="R60" s="738">
        <f ca="1"/>
        <v>0</v>
      </c>
      <c r="S60" s="613">
        <f ca="1">VLOOKUP("IS"&amp;RIGHT($B60,2),IEAData!$BF$34:$BJ$39,5,FALSE)/U$47</f>
        <v>16.805391184845281</v>
      </c>
      <c r="T60" s="613">
        <f t="shared" si="1"/>
        <v>44.937189532172511</v>
      </c>
      <c r="U60" s="613">
        <f>SUM(D60:S60)</f>
        <v>28.374120736845278</v>
      </c>
    </row>
    <row r="61" spans="1:21" hidden="1">
      <c r="A61" s="613">
        <f ca="1">MATCH(B61,IEAData!$A$28:$A$33,0)</f>
        <v>4</v>
      </c>
      <c r="B61" s="613" t="s">
        <v>978</v>
      </c>
      <c r="C61" s="738">
        <f t="array" aca="1" ref="C61:R61" ca="1">INDEX(IEAData!$B$28:$Q$33,$A61,0)</f>
        <v>75.326143673109343</v>
      </c>
      <c r="D61" s="738">
        <f ca="1"/>
        <v>21.139650812000003</v>
      </c>
      <c r="E61" s="738">
        <f ca="1"/>
        <v>2.6189835000000001</v>
      </c>
      <c r="F61" s="738">
        <f ca="1"/>
        <v>0</v>
      </c>
      <c r="G61" s="738">
        <f ca="1"/>
        <v>0.50095545200000002</v>
      </c>
      <c r="H61" s="738">
        <f ca="1"/>
        <v>0</v>
      </c>
      <c r="I61" s="738">
        <f ca="1"/>
        <v>0</v>
      </c>
      <c r="J61" s="738">
        <f ca="1"/>
        <v>0</v>
      </c>
      <c r="K61" s="738">
        <f ca="1"/>
        <v>8.4986661680000015</v>
      </c>
      <c r="L61" s="738">
        <f ca="1"/>
        <v>4.6740050399999999</v>
      </c>
      <c r="M61" s="738">
        <f ca="1"/>
        <v>0.21298251600000001</v>
      </c>
      <c r="N61" s="738">
        <f ca="1"/>
        <v>0</v>
      </c>
      <c r="O61" s="738">
        <f ca="1"/>
        <v>0</v>
      </c>
      <c r="P61" s="738">
        <f ca="1"/>
        <v>0</v>
      </c>
      <c r="Q61" s="738">
        <f ca="1"/>
        <v>119.46105956000001</v>
      </c>
      <c r="R61" s="738">
        <f ca="1"/>
        <v>0</v>
      </c>
      <c r="S61" s="613">
        <f ca="1">VLOOKUP("IS"&amp;RIGHT($B61,2),IEAData!$BF$34:$BJ$39,5,FALSE)/U$47</f>
        <v>6.1325047406441406</v>
      </c>
      <c r="T61" s="613">
        <f t="shared" si="1"/>
        <v>238.56495146175348</v>
      </c>
      <c r="U61" s="613">
        <f>SUM(D61:S61)</f>
        <v>163.23880778864415</v>
      </c>
    </row>
    <row r="62" spans="1:21" hidden="1">
      <c r="A62" s="613">
        <f ca="1">MATCH(B62,IEAData!$A$28:$A$33,0)</f>
        <v>6</v>
      </c>
      <c r="B62" s="613" t="s">
        <v>722</v>
      </c>
      <c r="C62" s="738">
        <f t="array" aca="1" ref="C62:R62" ca="1">INDEX(IEAData!$B$28:$Q$33,$A62,0)</f>
        <v>27.551865994940833</v>
      </c>
      <c r="D62" s="738">
        <f ca="1"/>
        <v>2.1847280135018075</v>
      </c>
      <c r="E62" s="738">
        <f ca="1"/>
        <v>1.4742477339234175</v>
      </c>
      <c r="F62" s="738">
        <f ca="1"/>
        <v>0</v>
      </c>
      <c r="G62" s="738">
        <f ca="1"/>
        <v>0</v>
      </c>
      <c r="H62" s="738">
        <f ca="1"/>
        <v>2.9307599999997436E-2</v>
      </c>
      <c r="I62" s="738">
        <f ca="1"/>
        <v>0</v>
      </c>
      <c r="J62" s="738">
        <f ca="1"/>
        <v>0</v>
      </c>
      <c r="K62" s="738">
        <f ca="1"/>
        <v>1.0076607469881673</v>
      </c>
      <c r="L62" s="738">
        <f ca="1"/>
        <v>3.2596684670213811</v>
      </c>
      <c r="M62" s="738">
        <f ca="1"/>
        <v>18.773313880578993</v>
      </c>
      <c r="N62" s="738">
        <f ca="1"/>
        <v>0</v>
      </c>
      <c r="O62" s="738">
        <f ca="1"/>
        <v>0</v>
      </c>
      <c r="P62" s="738">
        <f ca="1"/>
        <v>0</v>
      </c>
      <c r="Q62" s="738">
        <f ca="1"/>
        <v>5.4668231121458604</v>
      </c>
      <c r="R62" s="738">
        <f ca="1"/>
        <v>0</v>
      </c>
      <c r="S62" s="681">
        <f ca="1">VLOOKUP("IS"&amp;RIGHT($B62,2),IEAData!$BF$34:$BJ$39,5,FALSE)+IEAData!$T$69*0</f>
        <v>36.705860951519391</v>
      </c>
      <c r="T62" s="613">
        <f t="shared" si="1"/>
        <v>96.453476500619843</v>
      </c>
    </row>
    <row r="63" spans="1:21" hidden="1">
      <c r="B63" s="613" t="s">
        <v>286</v>
      </c>
      <c r="C63" s="738">
        <f ca="1">ROUND(SUM(IEAData!B$35:B$36),5)</f>
        <v>1.44E-2</v>
      </c>
      <c r="D63" s="738">
        <f ca="1">ROUND(SUM(IEAData!C$35:C$36),5)</f>
        <v>0.85833999999999999</v>
      </c>
      <c r="E63" s="738">
        <f ca="1">ROUND(SUM(IEAData!D$35:D$36),5)</f>
        <v>0.18401000000000001</v>
      </c>
      <c r="F63" s="738">
        <f ca="1">ROUND(SUM(IEAData!E$35:E$36),5)</f>
        <v>0</v>
      </c>
      <c r="G63" s="738">
        <f ca="1">ROUND(SUM(IEAData!F$35:F$36),5)</f>
        <v>0</v>
      </c>
      <c r="H63" s="738">
        <f ca="1">ROUND(SUM(IEAData!G$35:G$36),5)</f>
        <v>0</v>
      </c>
      <c r="I63" s="738">
        <f ca="1">ROUND(SUM(IEAData!H$35:H$36),5)</f>
        <v>0</v>
      </c>
      <c r="J63" s="738">
        <f ca="1">ROUND(SUM(IEAData!I$35:I$36),5)</f>
        <v>0</v>
      </c>
      <c r="K63" s="738">
        <f ca="1">ROUND(SUM(IEAData!J$35:J$36),5)</f>
        <v>2.0389999999999998E-2</v>
      </c>
      <c r="L63" s="738">
        <f ca="1">ROUND(SUM(IEAData!K$35:K$36),5)</f>
        <v>2.11999</v>
      </c>
      <c r="M63" s="738">
        <f ca="1">ROUND(SUM(IEAData!L$35:L$36),5)</f>
        <v>5.6232100000000003</v>
      </c>
      <c r="N63" s="738">
        <f ca="1">ROUND(SUM(IEAData!M$35:M$36),5)</f>
        <v>0</v>
      </c>
      <c r="O63" s="738">
        <f ca="1">ROUND(SUM(IEAData!N$35:N$36),5)</f>
        <v>0</v>
      </c>
      <c r="P63" s="738">
        <f ca="1">ROUND(SUM(IEAData!O$35:O$36),5)</f>
        <v>0</v>
      </c>
      <c r="Q63" s="738">
        <f ca="1">ROUND(SUM(IEAData!P$35:P$36),5)</f>
        <v>1.47166</v>
      </c>
      <c r="R63" s="738">
        <f ca="1">ROUND(SUM(IEAData!Q$35:Q$36),5)</f>
        <v>0</v>
      </c>
      <c r="S63" s="681">
        <f ca="1">ROUND(SUM(IEAData!R$36)+MAX(0,S62+IEAData!R35-IEAData!R33),5)/$U$47</f>
        <v>22.108196319018408</v>
      </c>
      <c r="T63" s="613">
        <f t="shared" si="1"/>
        <v>32.400196319018406</v>
      </c>
    </row>
    <row r="64" spans="1:21" hidden="1"/>
    <row r="65" spans="1:22" hidden="1">
      <c r="B65" s="612" t="s">
        <v>377</v>
      </c>
    </row>
    <row r="66" spans="1:22" hidden="1">
      <c r="C66" s="613" t="s">
        <v>905</v>
      </c>
      <c r="D66" s="613" t="s">
        <v>906</v>
      </c>
      <c r="E66" s="613" t="s">
        <v>907</v>
      </c>
      <c r="F66" s="613" t="s">
        <v>908</v>
      </c>
      <c r="G66" s="613" t="s">
        <v>909</v>
      </c>
      <c r="H66" s="613" t="s">
        <v>910</v>
      </c>
      <c r="I66" s="613" t="s">
        <v>911</v>
      </c>
      <c r="J66" s="613" t="s">
        <v>912</v>
      </c>
      <c r="K66" s="613" t="s">
        <v>1150</v>
      </c>
      <c r="L66" s="613" t="s">
        <v>913</v>
      </c>
      <c r="M66" s="613" t="s">
        <v>826</v>
      </c>
      <c r="N66" s="613" t="s">
        <v>914</v>
      </c>
      <c r="O66" s="613" t="s">
        <v>915</v>
      </c>
      <c r="P66" s="613" t="s">
        <v>916</v>
      </c>
      <c r="Q66" s="613" t="s">
        <v>917</v>
      </c>
      <c r="R66" s="613" t="s">
        <v>950</v>
      </c>
      <c r="S66" s="613" t="s">
        <v>946</v>
      </c>
      <c r="T66" s="613" t="s">
        <v>888</v>
      </c>
      <c r="U66" s="613" t="s">
        <v>378</v>
      </c>
      <c r="V66" s="612" t="s">
        <v>527</v>
      </c>
    </row>
    <row r="67" spans="1:22" hidden="1">
      <c r="B67" s="613" t="s">
        <v>568</v>
      </c>
      <c r="C67" s="739">
        <f>IF(C57&lt;&gt;0,C49/C57,MAX(1,V67))</f>
        <v>1.0000000000000002</v>
      </c>
      <c r="D67" s="734">
        <f t="shared" ref="D67:U67" si="2">IF(D57&lt;&gt;0,D49/D57,0)</f>
        <v>1.436844916557344</v>
      </c>
      <c r="E67" s="734">
        <f t="shared" si="2"/>
        <v>0.10610500573440435</v>
      </c>
      <c r="F67" s="734">
        <f t="shared" si="2"/>
        <v>0</v>
      </c>
      <c r="G67" s="734">
        <f t="shared" si="2"/>
        <v>0</v>
      </c>
      <c r="H67" s="734">
        <f t="shared" si="2"/>
        <v>0.96101540585864231</v>
      </c>
      <c r="I67" s="734">
        <f t="shared" si="2"/>
        <v>0.31363419480092419</v>
      </c>
      <c r="J67" s="734">
        <f t="shared" si="2"/>
        <v>2.7527691521710005</v>
      </c>
      <c r="K67" s="734">
        <f t="shared" si="2"/>
        <v>0</v>
      </c>
      <c r="L67" s="734">
        <f t="shared" si="2"/>
        <v>0.53349426073837769</v>
      </c>
      <c r="M67" s="734">
        <f t="shared" si="2"/>
        <v>4.665688940289118</v>
      </c>
      <c r="N67" s="734">
        <f t="shared" si="2"/>
        <v>0</v>
      </c>
      <c r="O67" s="734">
        <f t="shared" si="2"/>
        <v>0</v>
      </c>
      <c r="P67" s="734">
        <f t="shared" si="2"/>
        <v>0</v>
      </c>
      <c r="Q67" s="734">
        <f t="shared" si="2"/>
        <v>0</v>
      </c>
      <c r="R67" s="734">
        <f t="shared" si="2"/>
        <v>0</v>
      </c>
      <c r="S67" s="734">
        <f t="shared" si="2"/>
        <v>0.30713105483242403</v>
      </c>
      <c r="T67" s="739">
        <f t="shared" si="2"/>
        <v>1.0000000000000002</v>
      </c>
      <c r="U67" s="734">
        <f t="shared" si="2"/>
        <v>1.0000000000000002</v>
      </c>
      <c r="V67" s="704">
        <f ca="1">IF(Drivers!H62&gt;0,1.001,0.95)</f>
        <v>1.0009999999999999</v>
      </c>
    </row>
    <row r="68" spans="1:22" hidden="1">
      <c r="B68" s="613" t="s">
        <v>879</v>
      </c>
      <c r="C68" s="739">
        <f>IF(C58&lt;&gt;0,C50/C58,MAX(1,V68))</f>
        <v>0.99439497149027989</v>
      </c>
      <c r="D68" s="734">
        <f t="shared" ref="D68:U68" si="3">IF(D58&lt;&gt;0,D50/D58,0)</f>
        <v>2.4489201471265889</v>
      </c>
      <c r="E68" s="734">
        <f t="shared" si="3"/>
        <v>9.0200441678439269E-2</v>
      </c>
      <c r="F68" s="734">
        <f t="shared" si="3"/>
        <v>0</v>
      </c>
      <c r="G68" s="734">
        <f t="shared" si="3"/>
        <v>0.67094204599780893</v>
      </c>
      <c r="H68" s="734">
        <f t="shared" si="3"/>
        <v>5.1053944591504058E-2</v>
      </c>
      <c r="I68" s="734">
        <f t="shared" si="3"/>
        <v>0</v>
      </c>
      <c r="J68" s="734">
        <f t="shared" si="3"/>
        <v>0</v>
      </c>
      <c r="K68" s="734">
        <f t="shared" si="3"/>
        <v>2.2827034136627939</v>
      </c>
      <c r="L68" s="734">
        <f t="shared" si="3"/>
        <v>1.849496849809702</v>
      </c>
      <c r="M68" s="734">
        <f t="shared" si="3"/>
        <v>0.11360429671447306</v>
      </c>
      <c r="N68" s="734">
        <f t="shared" si="3"/>
        <v>0</v>
      </c>
      <c r="O68" s="734">
        <f t="shared" si="3"/>
        <v>0</v>
      </c>
      <c r="P68" s="734">
        <f t="shared" si="3"/>
        <v>1.0436324389910454</v>
      </c>
      <c r="Q68" s="734">
        <f t="shared" si="3"/>
        <v>2.3719895676929785</v>
      </c>
      <c r="R68" s="734">
        <f t="shared" si="3"/>
        <v>0</v>
      </c>
      <c r="S68" s="734">
        <f t="shared" si="3"/>
        <v>4.2193151878191996E-2</v>
      </c>
      <c r="T68" s="734">
        <f t="shared" si="3"/>
        <v>1.0000000000000002</v>
      </c>
      <c r="U68" s="734">
        <f t="shared" si="3"/>
        <v>1.0018596213209285</v>
      </c>
      <c r="V68" s="704">
        <v>0.95</v>
      </c>
    </row>
    <row r="69" spans="1:22" hidden="1">
      <c r="B69" s="613" t="s">
        <v>880</v>
      </c>
      <c r="C69" s="739">
        <f>IF(C59&lt;&gt;0,C51/C59,MAX(1,V69))</f>
        <v>1</v>
      </c>
      <c r="D69" s="734">
        <f t="shared" ref="D69:U69" si="4">IF(D59&lt;&gt;0,D51/D59,0)</f>
        <v>28.239080779436804</v>
      </c>
      <c r="E69" s="734">
        <f t="shared" si="4"/>
        <v>0.46448855495519015</v>
      </c>
      <c r="F69" s="734">
        <f t="shared" si="4"/>
        <v>0</v>
      </c>
      <c r="G69" s="734">
        <f t="shared" si="4"/>
        <v>0</v>
      </c>
      <c r="H69" s="734">
        <f t="shared" si="4"/>
        <v>0</v>
      </c>
      <c r="I69" s="734">
        <f t="shared" si="4"/>
        <v>0</v>
      </c>
      <c r="J69" s="734">
        <f t="shared" si="4"/>
        <v>0</v>
      </c>
      <c r="K69" s="734">
        <f t="shared" si="4"/>
        <v>0</v>
      </c>
      <c r="L69" s="734">
        <f t="shared" si="4"/>
        <v>2.0608494713750818</v>
      </c>
      <c r="M69" s="734">
        <f t="shared" si="4"/>
        <v>0.45822007803607734</v>
      </c>
      <c r="N69" s="734">
        <f t="shared" si="4"/>
        <v>0</v>
      </c>
      <c r="O69" s="734">
        <f t="shared" si="4"/>
        <v>0</v>
      </c>
      <c r="P69" s="734">
        <f t="shared" si="4"/>
        <v>0</v>
      </c>
      <c r="Q69" s="734">
        <f t="shared" si="4"/>
        <v>0.2345747307913085</v>
      </c>
      <c r="R69" s="734">
        <f t="shared" si="4"/>
        <v>0</v>
      </c>
      <c r="S69" s="734">
        <f t="shared" si="4"/>
        <v>0.10189938474869165</v>
      </c>
      <c r="T69" s="734">
        <f t="shared" si="4"/>
        <v>0.99999999999999944</v>
      </c>
      <c r="U69" s="739">
        <f t="shared" si="4"/>
        <v>1.0000000000000002</v>
      </c>
      <c r="V69" s="704">
        <v>0.95</v>
      </c>
    </row>
    <row r="70" spans="1:22" hidden="1">
      <c r="B70" s="613" t="s">
        <v>787</v>
      </c>
      <c r="C70" s="739">
        <f>IF(C60&lt;&gt;0,C52/C60,MAX(1,V70))</f>
        <v>1</v>
      </c>
      <c r="D70" s="734">
        <f t="shared" ref="D70:U70" si="5">IF(D60&lt;&gt;0,D52/D60,0)</f>
        <v>23.713677862890243</v>
      </c>
      <c r="E70" s="734">
        <f t="shared" si="5"/>
        <v>-7.3509307739363825</v>
      </c>
      <c r="F70" s="734">
        <f t="shared" si="5"/>
        <v>0</v>
      </c>
      <c r="G70" s="734">
        <f t="shared" si="5"/>
        <v>0</v>
      </c>
      <c r="H70" s="734">
        <f t="shared" si="5"/>
        <v>0</v>
      </c>
      <c r="I70" s="734">
        <f t="shared" si="5"/>
        <v>0</v>
      </c>
      <c r="J70" s="734">
        <f t="shared" si="5"/>
        <v>0</v>
      </c>
      <c r="K70" s="734">
        <f t="shared" si="5"/>
        <v>0</v>
      </c>
      <c r="L70" s="734">
        <f t="shared" si="5"/>
        <v>1.9549265885402543</v>
      </c>
      <c r="M70" s="734">
        <f t="shared" si="5"/>
        <v>8.0150974489658822</v>
      </c>
      <c r="N70" s="734">
        <f t="shared" si="5"/>
        <v>0.13944672152772455</v>
      </c>
      <c r="O70" s="734">
        <f t="shared" si="5"/>
        <v>0</v>
      </c>
      <c r="P70" s="734">
        <f t="shared" si="5"/>
        <v>0</v>
      </c>
      <c r="Q70" s="734">
        <f t="shared" si="5"/>
        <v>0.58209740219239892</v>
      </c>
      <c r="R70" s="734">
        <f t="shared" si="5"/>
        <v>0</v>
      </c>
      <c r="S70" s="734">
        <f t="shared" si="5"/>
        <v>0.22579126922317005</v>
      </c>
      <c r="T70" s="739">
        <f t="shared" si="5"/>
        <v>1.0000000000000002</v>
      </c>
      <c r="U70" s="734">
        <f t="shared" si="5"/>
        <v>0.99999999999999978</v>
      </c>
      <c r="V70" s="704">
        <v>1.0009999999999999</v>
      </c>
    </row>
    <row r="71" spans="1:22" hidden="1">
      <c r="B71" s="613" t="s">
        <v>978</v>
      </c>
      <c r="C71" s="739">
        <f>IF(C61&lt;&gt;0,C53/C61,MAX(1,V71))</f>
        <v>1.0183608490041849</v>
      </c>
      <c r="D71" s="734">
        <f t="shared" ref="D71:U71" si="6">IF(D61&lt;&gt;0,D53/D61,0)</f>
        <v>1.7958388863264596</v>
      </c>
      <c r="E71" s="734">
        <f t="shared" si="6"/>
        <v>1.2031478150638522</v>
      </c>
      <c r="F71" s="734">
        <f t="shared" si="6"/>
        <v>0</v>
      </c>
      <c r="G71" s="734">
        <f t="shared" si="6"/>
        <v>19.706510118861878</v>
      </c>
      <c r="H71" s="734">
        <f t="shared" si="6"/>
        <v>0</v>
      </c>
      <c r="I71" s="734">
        <f t="shared" si="6"/>
        <v>0</v>
      </c>
      <c r="J71" s="734">
        <f t="shared" si="6"/>
        <v>0</v>
      </c>
      <c r="K71" s="734">
        <f t="shared" si="6"/>
        <v>0.56158387337421534</v>
      </c>
      <c r="L71" s="734">
        <f t="shared" si="6"/>
        <v>4.1026069911354321</v>
      </c>
      <c r="M71" s="734">
        <f t="shared" si="6"/>
        <v>17.767228849495229</v>
      </c>
      <c r="N71" s="734">
        <f t="shared" si="6"/>
        <v>0</v>
      </c>
      <c r="O71" s="734">
        <f t="shared" si="6"/>
        <v>0</v>
      </c>
      <c r="P71" s="734">
        <f t="shared" si="6"/>
        <v>0</v>
      </c>
      <c r="Q71" s="734">
        <f t="shared" si="6"/>
        <v>0.6179959373265993</v>
      </c>
      <c r="R71" s="734">
        <f t="shared" si="6"/>
        <v>0</v>
      </c>
      <c r="S71" s="734">
        <f t="shared" si="6"/>
        <v>3.1130600411984544</v>
      </c>
      <c r="T71" s="734">
        <f t="shared" si="6"/>
        <v>1.0690054933126785</v>
      </c>
      <c r="U71" s="734">
        <f t="shared" si="6"/>
        <v>1.0923753390321742</v>
      </c>
      <c r="V71" s="704">
        <v>1.0009999999999999</v>
      </c>
    </row>
    <row r="72" spans="1:22" hidden="1">
      <c r="T72" s="704"/>
    </row>
    <row r="73" spans="1:22" hidden="1">
      <c r="B73" s="704"/>
      <c r="C73" s="734"/>
      <c r="D73" s="734"/>
      <c r="E73" s="734"/>
      <c r="F73" s="734"/>
      <c r="G73" s="734"/>
      <c r="H73" s="734"/>
      <c r="I73" s="734"/>
      <c r="J73" s="734"/>
      <c r="K73" s="734"/>
      <c r="L73" s="734"/>
      <c r="M73" s="734"/>
      <c r="N73" s="734"/>
      <c r="O73" s="734"/>
      <c r="P73" s="734"/>
      <c r="Q73" s="734"/>
      <c r="R73" s="734"/>
      <c r="S73" s="734"/>
      <c r="T73" s="734"/>
    </row>
    <row r="74" spans="1:22" hidden="1">
      <c r="A74" s="740"/>
    </row>
    <row r="75" spans="1:22" ht="18" hidden="1">
      <c r="A75" s="740"/>
      <c r="B75" s="728" t="s">
        <v>379</v>
      </c>
      <c r="C75" s="729"/>
      <c r="D75" s="708"/>
      <c r="E75" s="729"/>
      <c r="F75" s="708"/>
      <c r="G75" s="708"/>
    </row>
    <row r="76" spans="1:22" hidden="1">
      <c r="B76" s="613" t="s">
        <v>83</v>
      </c>
      <c r="F76" s="741">
        <v>0</v>
      </c>
    </row>
    <row r="77" spans="1:22" hidden="1">
      <c r="B77" s="613" t="s">
        <v>376</v>
      </c>
    </row>
    <row r="78" spans="1:22" hidden="1">
      <c r="B78" s="710"/>
      <c r="C78" s="613" t="s">
        <v>905</v>
      </c>
      <c r="D78" s="613" t="s">
        <v>906</v>
      </c>
      <c r="E78" s="613" t="s">
        <v>907</v>
      </c>
      <c r="F78" s="613" t="s">
        <v>908</v>
      </c>
      <c r="G78" s="613" t="s">
        <v>909</v>
      </c>
      <c r="H78" s="613" t="s">
        <v>910</v>
      </c>
      <c r="I78" s="613" t="s">
        <v>911</v>
      </c>
      <c r="J78" s="613" t="s">
        <v>912</v>
      </c>
      <c r="K78" s="613" t="s">
        <v>1150</v>
      </c>
      <c r="L78" s="613" t="s">
        <v>913</v>
      </c>
      <c r="M78" s="613" t="s">
        <v>826</v>
      </c>
      <c r="N78" s="613" t="s">
        <v>914</v>
      </c>
      <c r="O78" s="613" t="s">
        <v>915</v>
      </c>
      <c r="P78" s="613" t="s">
        <v>916</v>
      </c>
      <c r="Q78" s="613" t="s">
        <v>917</v>
      </c>
      <c r="R78" s="613" t="s">
        <v>950</v>
      </c>
      <c r="S78" s="613" t="s">
        <v>946</v>
      </c>
      <c r="T78" s="613" t="s">
        <v>888</v>
      </c>
      <c r="U78" s="613" t="s">
        <v>439</v>
      </c>
    </row>
    <row r="79" spans="1:22" hidden="1">
      <c r="B79" s="613" t="s">
        <v>568</v>
      </c>
      <c r="C79" s="742">
        <f>IF(OR(C$63=0,C67&lt;$V67^$B$78),0,ROUND(C49-C57*$V67^$B$78,5))</f>
        <v>0</v>
      </c>
      <c r="D79" s="743">
        <f t="shared" ref="D79:P79" si="7">IF(OR(D$63*$F$76=0,$U67&lt;$V67),0,D49*($U49-$U57*$V67)/$U49)</f>
        <v>0</v>
      </c>
      <c r="E79" s="743">
        <f t="shared" si="7"/>
        <v>0</v>
      </c>
      <c r="F79" s="743">
        <f t="shared" si="7"/>
        <v>0</v>
      </c>
      <c r="G79" s="743">
        <f t="shared" si="7"/>
        <v>0</v>
      </c>
      <c r="H79" s="743">
        <f t="shared" si="7"/>
        <v>0</v>
      </c>
      <c r="I79" s="743">
        <f t="shared" si="7"/>
        <v>0</v>
      </c>
      <c r="J79" s="743">
        <f t="shared" si="7"/>
        <v>0</v>
      </c>
      <c r="K79" s="743">
        <f t="shared" si="7"/>
        <v>0</v>
      </c>
      <c r="L79" s="743">
        <f t="shared" si="7"/>
        <v>0</v>
      </c>
      <c r="M79" s="743">
        <f t="shared" si="7"/>
        <v>0</v>
      </c>
      <c r="N79" s="743">
        <f t="shared" si="7"/>
        <v>0</v>
      </c>
      <c r="O79" s="743">
        <f t="shared" si="7"/>
        <v>0</v>
      </c>
      <c r="P79" s="743">
        <f t="shared" si="7"/>
        <v>0</v>
      </c>
      <c r="Q79" s="743">
        <f t="shared" ref="Q79:S82" si="8">IF(OR(Q$63=0,$U67&lt;$V67),0,Q49*($U49-$U57*$V67)/$U49)</f>
        <v>0</v>
      </c>
      <c r="R79" s="743">
        <f t="shared" si="8"/>
        <v>0</v>
      </c>
      <c r="S79" s="743">
        <f t="shared" si="8"/>
        <v>0</v>
      </c>
      <c r="T79" s="613">
        <f t="array" ref="T79">SUM(IF(D$84:S$84&gt;0,D79:S79/$D$84:$S$84*$D$63:$S$63),0)</f>
        <v>0</v>
      </c>
      <c r="U79" s="700" t="b">
        <f>IF(T79&gt;0,MIN(1,(U49-U57*$V67)/T79))</f>
        <v>0</v>
      </c>
    </row>
    <row r="80" spans="1:22" hidden="1">
      <c r="B80" s="613" t="s">
        <v>879</v>
      </c>
      <c r="C80" s="742">
        <f>IF(OR(C$63=0,C68&lt;$V68^$B$78),0,ROUND(C50-C58*$V68^$B$78,5))</f>
        <v>0</v>
      </c>
      <c r="D80" s="743">
        <f t="shared" ref="D80:P80" si="9">IF(OR(D$63*$F$76=0,$U68&lt;$V68),0,D50*($U50-$U58*$V68)/$U50)</f>
        <v>0</v>
      </c>
      <c r="E80" s="743">
        <f t="shared" si="9"/>
        <v>0</v>
      </c>
      <c r="F80" s="743">
        <f t="shared" si="9"/>
        <v>0</v>
      </c>
      <c r="G80" s="743">
        <f t="shared" si="9"/>
        <v>0</v>
      </c>
      <c r="H80" s="743">
        <f t="shared" si="9"/>
        <v>0</v>
      </c>
      <c r="I80" s="743">
        <f t="shared" si="9"/>
        <v>0</v>
      </c>
      <c r="J80" s="743">
        <f t="shared" si="9"/>
        <v>0</v>
      </c>
      <c r="K80" s="743">
        <f t="shared" si="9"/>
        <v>0</v>
      </c>
      <c r="L80" s="743">
        <f t="shared" si="9"/>
        <v>0</v>
      </c>
      <c r="M80" s="743">
        <f t="shared" si="9"/>
        <v>0</v>
      </c>
      <c r="N80" s="743">
        <f t="shared" si="9"/>
        <v>0</v>
      </c>
      <c r="O80" s="743">
        <f t="shared" si="9"/>
        <v>0</v>
      </c>
      <c r="P80" s="743">
        <f t="shared" si="9"/>
        <v>0</v>
      </c>
      <c r="Q80" s="743">
        <f t="shared" si="8"/>
        <v>2.1483539950839788E-2</v>
      </c>
      <c r="R80" s="743">
        <f t="shared" si="8"/>
        <v>0</v>
      </c>
      <c r="S80" s="743">
        <f t="shared" si="8"/>
        <v>2.1679890775251685E-3</v>
      </c>
      <c r="T80" s="613">
        <f t="array" ref="T80">SUM(IF(D$84:S$84&gt;0,D80:S80/$D$84:$S$84*$D$63:$S$63),0)</f>
        <v>0.29634186992197942</v>
      </c>
      <c r="U80" s="700">
        <f>IF(T80&gt;0,MIN(1,(U50-U58*$V68)/T80))</f>
        <v>1</v>
      </c>
    </row>
    <row r="81" spans="2:22" hidden="1">
      <c r="B81" s="613" t="s">
        <v>880</v>
      </c>
      <c r="C81" s="742">
        <f>IF(OR(C$63=0,C69&lt;$V69^$B$78),0,ROUND(C51-C59*$V69^$B$78,5))</f>
        <v>0</v>
      </c>
      <c r="D81" s="743">
        <f t="shared" ref="D81:P81" si="10">IF(OR(D$63*$F$76=0,$U69&lt;$V69),0,D51*($U51-$U59*$V69)/$U51)</f>
        <v>0</v>
      </c>
      <c r="E81" s="743">
        <f t="shared" si="10"/>
        <v>0</v>
      </c>
      <c r="F81" s="743">
        <f t="shared" si="10"/>
        <v>0</v>
      </c>
      <c r="G81" s="743">
        <f t="shared" si="10"/>
        <v>0</v>
      </c>
      <c r="H81" s="743">
        <f t="shared" si="10"/>
        <v>0</v>
      </c>
      <c r="I81" s="743">
        <f t="shared" si="10"/>
        <v>0</v>
      </c>
      <c r="J81" s="743">
        <f t="shared" si="10"/>
        <v>0</v>
      </c>
      <c r="K81" s="743">
        <f t="shared" si="10"/>
        <v>0</v>
      </c>
      <c r="L81" s="743">
        <f t="shared" si="10"/>
        <v>0</v>
      </c>
      <c r="M81" s="743">
        <f t="shared" si="10"/>
        <v>0</v>
      </c>
      <c r="N81" s="743">
        <f t="shared" si="10"/>
        <v>0</v>
      </c>
      <c r="O81" s="743">
        <f t="shared" si="10"/>
        <v>0</v>
      </c>
      <c r="P81" s="743">
        <f t="shared" si="10"/>
        <v>0</v>
      </c>
      <c r="Q81" s="743">
        <f t="shared" si="8"/>
        <v>4.6436781520625484E-3</v>
      </c>
      <c r="R81" s="743">
        <f t="shared" si="8"/>
        <v>0</v>
      </c>
      <c r="S81" s="743">
        <f t="shared" si="8"/>
        <v>1.5478927173541828E-2</v>
      </c>
      <c r="T81" s="613">
        <f t="array" ref="T81">SUM(IF(D$84:S$84&gt;0,D81:S81/$D$84:$S$84*$D$63:$S$63),0)</f>
        <v>2.080513121366165</v>
      </c>
      <c r="U81" s="700">
        <f>IF(T81&gt;0,MIN(1,(U51-U59*$V69)/T81))</f>
        <v>0.11844553126378025</v>
      </c>
    </row>
    <row r="82" spans="2:22" hidden="1">
      <c r="B82" s="613" t="s">
        <v>787</v>
      </c>
      <c r="C82" s="742">
        <f>IF(OR(C$63=0,C70&lt;$V70^$B$78),0,ROUND(C52-C60*$V70^$B$78,5))</f>
        <v>0</v>
      </c>
      <c r="D82" s="743">
        <f t="shared" ref="D82:P82" si="11">IF(OR(D$63*$F$76=0,$U70&lt;$V70),0,D52*($U52-$U60*$V70)/$U52)</f>
        <v>0</v>
      </c>
      <c r="E82" s="743">
        <f t="shared" si="11"/>
        <v>0</v>
      </c>
      <c r="F82" s="743">
        <f t="shared" si="11"/>
        <v>0</v>
      </c>
      <c r="G82" s="743">
        <f t="shared" si="11"/>
        <v>0</v>
      </c>
      <c r="H82" s="743">
        <f t="shared" si="11"/>
        <v>0</v>
      </c>
      <c r="I82" s="743">
        <f t="shared" si="11"/>
        <v>0</v>
      </c>
      <c r="J82" s="743">
        <f t="shared" si="11"/>
        <v>0</v>
      </c>
      <c r="K82" s="743">
        <f t="shared" si="11"/>
        <v>0</v>
      </c>
      <c r="L82" s="743">
        <f t="shared" si="11"/>
        <v>0</v>
      </c>
      <c r="M82" s="743">
        <f t="shared" si="11"/>
        <v>0</v>
      </c>
      <c r="N82" s="743">
        <f t="shared" si="11"/>
        <v>0</v>
      </c>
      <c r="O82" s="743">
        <f t="shared" si="11"/>
        <v>0</v>
      </c>
      <c r="P82" s="743">
        <f t="shared" si="11"/>
        <v>0</v>
      </c>
      <c r="Q82" s="743">
        <f t="shared" si="8"/>
        <v>0</v>
      </c>
      <c r="R82" s="743">
        <f t="shared" si="8"/>
        <v>0</v>
      </c>
      <c r="S82" s="743">
        <f t="shared" si="8"/>
        <v>0</v>
      </c>
      <c r="T82" s="613">
        <f t="array" ref="T82">SUM(IF(D$84:S$84&gt;0,D82:S82/$D$84:$S$84*$D$63:$S$63),0)</f>
        <v>0</v>
      </c>
      <c r="U82" s="700" t="b">
        <f>IF(T82&gt;0,MIN(1,(U52-U60*$V70)/T82))</f>
        <v>0</v>
      </c>
    </row>
    <row r="83" spans="2:22" hidden="1">
      <c r="B83" s="613" t="s">
        <v>978</v>
      </c>
      <c r="C83" s="744">
        <f>IF(OR(C$63=0,C71&lt;$V71^$B$78),0,ROUND(C53-C61*$V71^$B$78,5))</f>
        <v>1.3830499999999999</v>
      </c>
      <c r="D83" s="745">
        <f>IF(OR(D$63*$F$76=0,$U71&lt;$V71),0,D53*(1-(1/$U$71)^($U$71))*($U53-$U61*$V71)/$U53)</f>
        <v>0</v>
      </c>
      <c r="E83" s="745">
        <f>IF(OR(E$63*$F$76=0,$U71&lt;$V71),0,E53*(1-(1/$U$71)^($U$71))*($U53-$U61*$V71)/$U53)</f>
        <v>0</v>
      </c>
      <c r="F83" s="745">
        <v>0</v>
      </c>
      <c r="G83" s="745">
        <f>IF(OR(G$63*$F$76=0,$U71&lt;$V71),0,G53*(1-(1/$U$71)^($U$71))*($U53-$U61*$V71)/$U53)</f>
        <v>0</v>
      </c>
      <c r="H83" s="745">
        <v>0</v>
      </c>
      <c r="I83" s="745">
        <v>0</v>
      </c>
      <c r="J83" s="745">
        <v>0</v>
      </c>
      <c r="K83" s="745">
        <v>0</v>
      </c>
      <c r="L83" s="745">
        <f>IF(OR(L$63*$F$76=0,$U71&lt;$V71),0,L53*(1-(1/$U$71)^($U$71))*($U53-$U61*$V71)/$U53)</f>
        <v>0</v>
      </c>
      <c r="M83" s="745">
        <f>IF(OR(M$63*$F$76=0,$U71&lt;$V71),0,M53*(1-(1/$U$71)^($U$71))*($U53-$U61*$V71)/$U53)</f>
        <v>0</v>
      </c>
      <c r="N83" s="745">
        <v>0</v>
      </c>
      <c r="O83" s="745">
        <v>0</v>
      </c>
      <c r="P83" s="745">
        <v>0</v>
      </c>
      <c r="Q83" s="745">
        <f>IF(OR(Q$63=0,$U71&lt;$V71),0,Q53*($U53-$U61*$V71)/$U53)</f>
        <v>6.1754569234985217</v>
      </c>
      <c r="R83" s="745">
        <v>0</v>
      </c>
      <c r="S83" s="745">
        <f>IF(OR(S$63=0,$U71&lt;$V71),0,S53*(1-(1/$U$71)^($U$71))*($U53-$U61*$V71)/$U53)</f>
        <v>0.1469242698562937</v>
      </c>
      <c r="T83" s="613">
        <f t="array" ref="T83">SUM(IF(D$84:S$84&gt;0,D83:S83/$D$84:$S$84*$D$63:$S$63),0)</f>
        <v>21.203001327730263</v>
      </c>
      <c r="U83" s="700">
        <f>IF(T83&gt;0,MIN(1,(U53-U61*$V71)/T83))</f>
        <v>0.70348537805293931</v>
      </c>
    </row>
    <row r="84" spans="2:22" hidden="1">
      <c r="C84" s="613">
        <f t="shared" ref="C84:S84" si="12">SUM(C79:C83)</f>
        <v>1.3830499999999999</v>
      </c>
      <c r="D84" s="613">
        <f t="shared" si="12"/>
        <v>0</v>
      </c>
      <c r="E84" s="613">
        <f t="shared" si="12"/>
        <v>0</v>
      </c>
      <c r="F84" s="613">
        <f t="shared" si="12"/>
        <v>0</v>
      </c>
      <c r="G84" s="613">
        <f t="shared" si="12"/>
        <v>0</v>
      </c>
      <c r="H84" s="613">
        <f t="shared" si="12"/>
        <v>0</v>
      </c>
      <c r="I84" s="613">
        <f t="shared" si="12"/>
        <v>0</v>
      </c>
      <c r="J84" s="613">
        <f t="shared" si="12"/>
        <v>0</v>
      </c>
      <c r="K84" s="613">
        <f t="shared" si="12"/>
        <v>0</v>
      </c>
      <c r="L84" s="613">
        <f t="shared" si="12"/>
        <v>0</v>
      </c>
      <c r="M84" s="613">
        <f t="shared" si="12"/>
        <v>0</v>
      </c>
      <c r="N84" s="613">
        <f t="shared" si="12"/>
        <v>0</v>
      </c>
      <c r="O84" s="613">
        <f t="shared" si="12"/>
        <v>0</v>
      </c>
      <c r="P84" s="613">
        <f t="shared" si="12"/>
        <v>0</v>
      </c>
      <c r="Q84" s="613">
        <f t="shared" si="12"/>
        <v>6.2015841416014243</v>
      </c>
      <c r="R84" s="613">
        <f t="shared" si="12"/>
        <v>0</v>
      </c>
      <c r="S84" s="613">
        <f t="shared" si="12"/>
        <v>0.16457118610736068</v>
      </c>
    </row>
    <row r="85" spans="2:22" hidden="1"/>
    <row r="86" spans="2:22" hidden="1">
      <c r="B86" s="612" t="s">
        <v>990</v>
      </c>
    </row>
    <row r="87" spans="2:22" hidden="1">
      <c r="C87" s="613" t="s">
        <v>905</v>
      </c>
      <c r="D87" s="613" t="s">
        <v>906</v>
      </c>
      <c r="E87" s="613" t="s">
        <v>907</v>
      </c>
      <c r="F87" s="613" t="s">
        <v>908</v>
      </c>
      <c r="G87" s="613" t="s">
        <v>909</v>
      </c>
      <c r="H87" s="613" t="s">
        <v>910</v>
      </c>
      <c r="I87" s="613" t="s">
        <v>911</v>
      </c>
      <c r="J87" s="613" t="s">
        <v>912</v>
      </c>
      <c r="K87" s="613" t="s">
        <v>1150</v>
      </c>
      <c r="L87" s="613" t="s">
        <v>913</v>
      </c>
      <c r="M87" s="613" t="s">
        <v>826</v>
      </c>
      <c r="N87" s="613" t="s">
        <v>914</v>
      </c>
      <c r="O87" s="613" t="s">
        <v>915</v>
      </c>
      <c r="P87" s="613" t="s">
        <v>916</v>
      </c>
      <c r="Q87" s="613" t="s">
        <v>917</v>
      </c>
      <c r="R87" s="613" t="s">
        <v>950</v>
      </c>
      <c r="S87" s="613" t="s">
        <v>946</v>
      </c>
      <c r="T87" s="613" t="s">
        <v>888</v>
      </c>
    </row>
    <row r="88" spans="2:22" hidden="1">
      <c r="B88" s="613" t="s">
        <v>568</v>
      </c>
      <c r="C88" s="738">
        <f>IF(C79&gt;0,MIN(C49-C57*$V67^$B$78,C$63*C79/C$84),0)</f>
        <v>0</v>
      </c>
      <c r="D88" s="738">
        <f t="shared" ref="D88:S88" si="13">IF(D$84&gt;0,D$63*D79/D$84*$U79,0)</f>
        <v>0</v>
      </c>
      <c r="E88" s="738">
        <f t="shared" si="13"/>
        <v>0</v>
      </c>
      <c r="F88" s="738">
        <f t="shared" si="13"/>
        <v>0</v>
      </c>
      <c r="G88" s="738">
        <f t="shared" si="13"/>
        <v>0</v>
      </c>
      <c r="H88" s="738">
        <f t="shared" si="13"/>
        <v>0</v>
      </c>
      <c r="I88" s="738">
        <f t="shared" si="13"/>
        <v>0</v>
      </c>
      <c r="J88" s="738">
        <f t="shared" si="13"/>
        <v>0</v>
      </c>
      <c r="K88" s="738">
        <f t="shared" si="13"/>
        <v>0</v>
      </c>
      <c r="L88" s="738">
        <f t="shared" si="13"/>
        <v>0</v>
      </c>
      <c r="M88" s="738">
        <f t="shared" si="13"/>
        <v>0</v>
      </c>
      <c r="N88" s="738">
        <f t="shared" si="13"/>
        <v>0</v>
      </c>
      <c r="O88" s="738">
        <f t="shared" si="13"/>
        <v>0</v>
      </c>
      <c r="P88" s="738">
        <f t="shared" si="13"/>
        <v>0</v>
      </c>
      <c r="Q88" s="738">
        <f t="shared" si="13"/>
        <v>0</v>
      </c>
      <c r="R88" s="738">
        <f t="shared" si="13"/>
        <v>0</v>
      </c>
      <c r="S88" s="738">
        <f t="shared" si="13"/>
        <v>0</v>
      </c>
      <c r="T88" s="738">
        <f t="shared" ref="T88:T93" si="14">SUM(C88:S88)</f>
        <v>0</v>
      </c>
    </row>
    <row r="89" spans="2:22" hidden="1">
      <c r="B89" s="613" t="s">
        <v>879</v>
      </c>
      <c r="C89" s="738">
        <f>IF(C80&gt;0,MIN(C50-C58*$V68^$B$78,C$63*C80/C$84),0)</f>
        <v>0</v>
      </c>
      <c r="D89" s="738">
        <f t="shared" ref="D89:S89" si="15">IF(D$84&gt;0,D$63*D80/D$84*$U80,0)</f>
        <v>0</v>
      </c>
      <c r="E89" s="738">
        <f t="shared" si="15"/>
        <v>0</v>
      </c>
      <c r="F89" s="738">
        <f t="shared" si="15"/>
        <v>0</v>
      </c>
      <c r="G89" s="738">
        <f t="shared" si="15"/>
        <v>0</v>
      </c>
      <c r="H89" s="738">
        <f t="shared" si="15"/>
        <v>0</v>
      </c>
      <c r="I89" s="738">
        <f t="shared" si="15"/>
        <v>0</v>
      </c>
      <c r="J89" s="738">
        <f t="shared" si="15"/>
        <v>0</v>
      </c>
      <c r="K89" s="738">
        <f t="shared" si="15"/>
        <v>0</v>
      </c>
      <c r="L89" s="738">
        <f t="shared" si="15"/>
        <v>0</v>
      </c>
      <c r="M89" s="738">
        <f t="shared" si="15"/>
        <v>0</v>
      </c>
      <c r="N89" s="738">
        <f t="shared" si="15"/>
        <v>0</v>
      </c>
      <c r="O89" s="738">
        <f t="shared" si="15"/>
        <v>0</v>
      </c>
      <c r="P89" s="738">
        <f t="shared" si="15"/>
        <v>0</v>
      </c>
      <c r="Q89" s="738">
        <f t="shared" si="15"/>
        <v>5.0981274593959822E-3</v>
      </c>
      <c r="R89" s="738">
        <f t="shared" si="15"/>
        <v>0</v>
      </c>
      <c r="S89" s="738">
        <f t="shared" si="15"/>
        <v>0.29124374246258344</v>
      </c>
      <c r="T89" s="738">
        <f t="shared" si="14"/>
        <v>0.29634186992197942</v>
      </c>
    </row>
    <row r="90" spans="2:22" hidden="1">
      <c r="B90" s="613" t="s">
        <v>880</v>
      </c>
      <c r="C90" s="738">
        <f>IF(C81&gt;0,MIN(C51-C59*$V69^$B$78,C$63*C81/C$84),0)</f>
        <v>0</v>
      </c>
      <c r="D90" s="738">
        <f t="shared" ref="D90:S90" si="16">IF(D$84&gt;0,D$63*D81/D$84*$U81,0)</f>
        <v>0</v>
      </c>
      <c r="E90" s="738">
        <f t="shared" si="16"/>
        <v>0</v>
      </c>
      <c r="F90" s="738">
        <f t="shared" si="16"/>
        <v>0</v>
      </c>
      <c r="G90" s="738">
        <f t="shared" si="16"/>
        <v>0</v>
      </c>
      <c r="H90" s="738">
        <f t="shared" si="16"/>
        <v>0</v>
      </c>
      <c r="I90" s="738">
        <f t="shared" si="16"/>
        <v>0</v>
      </c>
      <c r="J90" s="738">
        <f t="shared" si="16"/>
        <v>0</v>
      </c>
      <c r="K90" s="738">
        <f t="shared" si="16"/>
        <v>0</v>
      </c>
      <c r="L90" s="738">
        <f t="shared" si="16"/>
        <v>0</v>
      </c>
      <c r="M90" s="738">
        <f t="shared" si="16"/>
        <v>0</v>
      </c>
      <c r="N90" s="738">
        <f t="shared" si="16"/>
        <v>0</v>
      </c>
      <c r="O90" s="738">
        <f t="shared" si="16"/>
        <v>0</v>
      </c>
      <c r="P90" s="738">
        <f t="shared" si="16"/>
        <v>0</v>
      </c>
      <c r="Q90" s="738">
        <f t="shared" si="16"/>
        <v>1.3052257623390398E-4</v>
      </c>
      <c r="R90" s="738">
        <f t="shared" si="16"/>
        <v>0</v>
      </c>
      <c r="S90" s="738">
        <f t="shared" si="16"/>
        <v>0.24629695938524723</v>
      </c>
      <c r="T90" s="738">
        <f t="shared" si="14"/>
        <v>0.24642748196148115</v>
      </c>
    </row>
    <row r="91" spans="2:22" hidden="1">
      <c r="B91" s="613" t="s">
        <v>787</v>
      </c>
      <c r="C91" s="738">
        <f>IF(C82&gt;0,MIN(C52-C60*$V70^$B$78,C$63*C82/C$84),0)</f>
        <v>0</v>
      </c>
      <c r="D91" s="738">
        <f t="shared" ref="D91:S91" si="17">IF(D$84&gt;0,D$63*D82/D$84*$U82,0)</f>
        <v>0</v>
      </c>
      <c r="E91" s="738">
        <f t="shared" si="17"/>
        <v>0</v>
      </c>
      <c r="F91" s="738">
        <f t="shared" si="17"/>
        <v>0</v>
      </c>
      <c r="G91" s="738">
        <f t="shared" si="17"/>
        <v>0</v>
      </c>
      <c r="H91" s="738">
        <f t="shared" si="17"/>
        <v>0</v>
      </c>
      <c r="I91" s="738">
        <f t="shared" si="17"/>
        <v>0</v>
      </c>
      <c r="J91" s="738">
        <f t="shared" si="17"/>
        <v>0</v>
      </c>
      <c r="K91" s="738">
        <f t="shared" si="17"/>
        <v>0</v>
      </c>
      <c r="L91" s="738">
        <f t="shared" si="17"/>
        <v>0</v>
      </c>
      <c r="M91" s="738">
        <f t="shared" si="17"/>
        <v>0</v>
      </c>
      <c r="N91" s="738">
        <f t="shared" si="17"/>
        <v>0</v>
      </c>
      <c r="O91" s="738">
        <f t="shared" si="17"/>
        <v>0</v>
      </c>
      <c r="P91" s="738">
        <f t="shared" si="17"/>
        <v>0</v>
      </c>
      <c r="Q91" s="738">
        <f t="shared" si="17"/>
        <v>0</v>
      </c>
      <c r="R91" s="738">
        <f t="shared" si="17"/>
        <v>0</v>
      </c>
      <c r="S91" s="738">
        <f t="shared" si="17"/>
        <v>0</v>
      </c>
      <c r="T91" s="738">
        <f t="shared" si="14"/>
        <v>0</v>
      </c>
    </row>
    <row r="92" spans="2:22" hidden="1">
      <c r="B92" s="613" t="s">
        <v>978</v>
      </c>
      <c r="C92" s="738">
        <f>IF(C83&gt;0,MIN(C53-C61*$V71^$B$78,C$63*C83/C$84),0)</f>
        <v>1.44E-2</v>
      </c>
      <c r="D92" s="738">
        <f t="shared" ref="D92:S92" si="18">IF(D$84&gt;0,D$63*D83/D$84*$U83,0)</f>
        <v>0</v>
      </c>
      <c r="E92" s="738">
        <f t="shared" si="18"/>
        <v>0</v>
      </c>
      <c r="F92" s="738">
        <f t="shared" si="18"/>
        <v>0</v>
      </c>
      <c r="G92" s="738">
        <f t="shared" si="18"/>
        <v>0</v>
      </c>
      <c r="H92" s="738">
        <f t="shared" si="18"/>
        <v>0</v>
      </c>
      <c r="I92" s="738">
        <f t="shared" si="18"/>
        <v>0</v>
      </c>
      <c r="J92" s="738">
        <f t="shared" si="18"/>
        <v>0</v>
      </c>
      <c r="K92" s="738">
        <f t="shared" si="18"/>
        <v>0</v>
      </c>
      <c r="L92" s="738">
        <f t="shared" si="18"/>
        <v>0</v>
      </c>
      <c r="M92" s="738">
        <f t="shared" si="18"/>
        <v>0</v>
      </c>
      <c r="N92" s="738">
        <f t="shared" si="18"/>
        <v>0</v>
      </c>
      <c r="O92" s="738">
        <f t="shared" si="18"/>
        <v>0</v>
      </c>
      <c r="P92" s="738">
        <f t="shared" si="18"/>
        <v>0</v>
      </c>
      <c r="Q92" s="738">
        <f t="shared" si="18"/>
        <v>1.0309296185839871</v>
      </c>
      <c r="R92" s="738">
        <f t="shared" si="18"/>
        <v>0</v>
      </c>
      <c r="S92" s="738">
        <f t="shared" si="18"/>
        <v>13.885071786311309</v>
      </c>
      <c r="T92" s="738">
        <f t="shared" si="14"/>
        <v>14.930401404895296</v>
      </c>
      <c r="V92" s="681">
        <f ca="1">SUM(S88:S92)*U47+SUM(ISOI!G22,IOOI!G28)</f>
        <v>48.297113385401879</v>
      </c>
    </row>
    <row r="93" spans="2:22" hidden="1">
      <c r="B93" s="613" t="s">
        <v>286</v>
      </c>
      <c r="C93" s="738">
        <f t="shared" ref="C93:S93" si="19">C63-SUM(C88:C92)</f>
        <v>0</v>
      </c>
      <c r="D93" s="738">
        <f t="shared" si="19"/>
        <v>0.85833999999999999</v>
      </c>
      <c r="E93" s="738">
        <f t="shared" si="19"/>
        <v>0.18401000000000001</v>
      </c>
      <c r="F93" s="738">
        <f t="shared" si="19"/>
        <v>0</v>
      </c>
      <c r="G93" s="738">
        <f t="shared" si="19"/>
        <v>0</v>
      </c>
      <c r="H93" s="738">
        <f t="shared" si="19"/>
        <v>0</v>
      </c>
      <c r="I93" s="738">
        <f t="shared" si="19"/>
        <v>0</v>
      </c>
      <c r="J93" s="738">
        <f t="shared" si="19"/>
        <v>0</v>
      </c>
      <c r="K93" s="738">
        <f t="shared" si="19"/>
        <v>2.0389999999999998E-2</v>
      </c>
      <c r="L93" s="738">
        <f t="shared" si="19"/>
        <v>2.11999</v>
      </c>
      <c r="M93" s="738">
        <f t="shared" si="19"/>
        <v>5.6232100000000003</v>
      </c>
      <c r="N93" s="738">
        <f t="shared" si="19"/>
        <v>0</v>
      </c>
      <c r="O93" s="738">
        <f t="shared" si="19"/>
        <v>0</v>
      </c>
      <c r="P93" s="738">
        <f t="shared" si="19"/>
        <v>0</v>
      </c>
      <c r="Q93" s="738">
        <f t="shared" si="19"/>
        <v>0.43550173138038306</v>
      </c>
      <c r="R93" s="738">
        <f t="shared" si="19"/>
        <v>0</v>
      </c>
      <c r="S93" s="738">
        <f t="shared" si="19"/>
        <v>7.685583830859267</v>
      </c>
      <c r="T93" s="738">
        <f t="shared" si="14"/>
        <v>16.927025562239649</v>
      </c>
    </row>
    <row r="94" spans="2:22" hidden="1">
      <c r="B94" s="613" t="s">
        <v>199</v>
      </c>
      <c r="C94" s="657">
        <f t="shared" ref="C94:T94" si="20">IF(C63&gt;0,C93/C63,1)</f>
        <v>0</v>
      </c>
      <c r="D94" s="655">
        <f t="shared" si="20"/>
        <v>1</v>
      </c>
      <c r="E94" s="655">
        <f t="shared" si="20"/>
        <v>1</v>
      </c>
      <c r="F94" s="655">
        <f t="shared" si="20"/>
        <v>1</v>
      </c>
      <c r="G94" s="655">
        <f t="shared" si="20"/>
        <v>1</v>
      </c>
      <c r="H94" s="655">
        <f t="shared" si="20"/>
        <v>1</v>
      </c>
      <c r="I94" s="655">
        <f t="shared" si="20"/>
        <v>1</v>
      </c>
      <c r="J94" s="655">
        <f t="shared" si="20"/>
        <v>1</v>
      </c>
      <c r="K94" s="655">
        <f t="shared" si="20"/>
        <v>1</v>
      </c>
      <c r="L94" s="655">
        <f t="shared" si="20"/>
        <v>1</v>
      </c>
      <c r="M94" s="655">
        <f t="shared" si="20"/>
        <v>1</v>
      </c>
      <c r="N94" s="655">
        <f t="shared" si="20"/>
        <v>1</v>
      </c>
      <c r="O94" s="655">
        <f t="shared" si="20"/>
        <v>1</v>
      </c>
      <c r="P94" s="655">
        <f t="shared" si="20"/>
        <v>1</v>
      </c>
      <c r="Q94" s="655">
        <f t="shared" si="20"/>
        <v>0.29592550682928331</v>
      </c>
      <c r="R94" s="655">
        <f t="shared" si="20"/>
        <v>1</v>
      </c>
      <c r="S94" s="655">
        <f t="shared" si="20"/>
        <v>0.34763504539028367</v>
      </c>
      <c r="T94" s="658">
        <f t="shared" si="20"/>
        <v>0.5224358950042457</v>
      </c>
    </row>
    <row r="95" spans="2:22" hidden="1">
      <c r="B95" s="613" t="s">
        <v>200</v>
      </c>
      <c r="C95" s="657">
        <f ca="1">IF(C62=0,1,1-(1-C94)*IEAData!B35/C62)</f>
        <v>0.9994772552972403</v>
      </c>
      <c r="D95" s="655">
        <f ca="1">IF(D62=0,1,1-(1-D94)*IEAData!C35/D62)</f>
        <v>1</v>
      </c>
      <c r="E95" s="655">
        <f ca="1">IF(E62=0,1,1-(1-E94)*IEAData!D35/E62)</f>
        <v>1</v>
      </c>
      <c r="F95" s="655">
        <f ca="1">IF(F62=0,1,1-(1-F94)*IEAData!E35/F62)</f>
        <v>1</v>
      </c>
      <c r="G95" s="655">
        <f ca="1">IF(G62=0,1,1-(1-G94)*IEAData!F35/G62)</f>
        <v>1</v>
      </c>
      <c r="H95" s="655">
        <f ca="1">IF(H62=0,1,1-(1-H94)*IEAData!G35/H62)</f>
        <v>1</v>
      </c>
      <c r="I95" s="655">
        <f ca="1">IF(I62=0,1,1-(1-I94)*IEAData!H35/I62)</f>
        <v>1</v>
      </c>
      <c r="J95" s="655">
        <f ca="1">IF(J62=0,1,1-(1-J94)*IEAData!I35/J62)</f>
        <v>1</v>
      </c>
      <c r="K95" s="655">
        <f ca="1">IF(K62=0,1,1-(1-K94)*IEAData!J35/K62)</f>
        <v>1</v>
      </c>
      <c r="L95" s="655">
        <f ca="1">IF(L62=0,1,1-(1-L94)*IEAData!K35/L62)</f>
        <v>1</v>
      </c>
      <c r="M95" s="655">
        <f ca="1">IF(M62=0,1,1-(1-M94)*IEAData!L35/M62)</f>
        <v>1</v>
      </c>
      <c r="N95" s="655">
        <f ca="1">IF(N62=0,1,1-(1-N94)*IEAData!M35/N62)</f>
        <v>1</v>
      </c>
      <c r="O95" s="655">
        <f ca="1">IF(O62=0,1,1-(1-O94)*IEAData!N35/O62)</f>
        <v>1</v>
      </c>
      <c r="P95" s="655">
        <f ca="1">IF(P62=0,1,1-(1-P94)*IEAData!O35/P62)</f>
        <v>1</v>
      </c>
      <c r="Q95" s="655">
        <f ca="1">IF(Q62=0,1,1-(1-Q94)*IEAData!P35/Q62)</f>
        <v>0.91218266864969011</v>
      </c>
      <c r="R95" s="655">
        <f ca="1">IF(R62=0,1,1-(1-R94)*IEAData!Q35/R62)</f>
        <v>1</v>
      </c>
      <c r="S95" s="655">
        <f ca="1">IF(S62=0,1,1-(1-S94)*MAX(0,S62+IEAData!R35-IEAData!R33)/S62)</f>
        <v>0.67976693023342183</v>
      </c>
      <c r="T95" s="658">
        <f ca="1">IF(T62=0,1,1-(1-T94)*IEAData!S35/T62)</f>
        <v>0.83250455504913845</v>
      </c>
    </row>
    <row r="96" spans="2:22" hidden="1">
      <c r="R96" s="659" t="s">
        <v>1011</v>
      </c>
      <c r="S96" s="746">
        <f ca="1">IEAData!$R$36*(1-S94)+IEAData!$T$69*(1-S95)*0</f>
        <v>0</v>
      </c>
    </row>
    <row r="97" spans="2:21" hidden="1">
      <c r="B97" s="612" t="s">
        <v>991</v>
      </c>
    </row>
    <row r="98" spans="2:21" hidden="1">
      <c r="C98" s="613" t="s">
        <v>905</v>
      </c>
      <c r="D98" s="613" t="s">
        <v>906</v>
      </c>
      <c r="E98" s="613" t="s">
        <v>907</v>
      </c>
      <c r="F98" s="613" t="s">
        <v>908</v>
      </c>
      <c r="G98" s="613" t="s">
        <v>909</v>
      </c>
      <c r="H98" s="613" t="s">
        <v>910</v>
      </c>
      <c r="I98" s="613" t="s">
        <v>911</v>
      </c>
      <c r="J98" s="613" t="s">
        <v>912</v>
      </c>
      <c r="K98" s="613" t="s">
        <v>1150</v>
      </c>
      <c r="L98" s="613" t="s">
        <v>913</v>
      </c>
      <c r="M98" s="613" t="s">
        <v>826</v>
      </c>
      <c r="N98" s="613" t="s">
        <v>914</v>
      </c>
      <c r="O98" s="613" t="s">
        <v>915</v>
      </c>
      <c r="P98" s="613" t="s">
        <v>916</v>
      </c>
      <c r="Q98" s="613" t="s">
        <v>917</v>
      </c>
      <c r="R98" s="613" t="s">
        <v>950</v>
      </c>
      <c r="S98" s="613" t="s">
        <v>946</v>
      </c>
      <c r="T98" s="613" t="s">
        <v>888</v>
      </c>
      <c r="U98" s="613" t="s">
        <v>378</v>
      </c>
    </row>
    <row r="99" spans="2:21" hidden="1">
      <c r="B99" s="613" t="s">
        <v>568</v>
      </c>
      <c r="C99" s="738">
        <f t="shared" ref="C99:S99" si="21">C57+C88</f>
        <v>11.722855029052054</v>
      </c>
      <c r="D99" s="738">
        <f t="shared" si="21"/>
        <v>2.0708122280000003</v>
      </c>
      <c r="E99" s="738">
        <f t="shared" si="21"/>
        <v>5.1199830039999998</v>
      </c>
      <c r="F99" s="738">
        <f t="shared" si="21"/>
        <v>0</v>
      </c>
      <c r="G99" s="738">
        <f t="shared" si="21"/>
        <v>0</v>
      </c>
      <c r="H99" s="738">
        <f t="shared" si="21"/>
        <v>8.0868042000000013</v>
      </c>
      <c r="I99" s="738">
        <f t="shared" si="21"/>
        <v>3.8544936840000004</v>
      </c>
      <c r="J99" s="738">
        <f t="shared" si="21"/>
        <v>2.1555739800000002</v>
      </c>
      <c r="K99" s="738">
        <f t="shared" si="21"/>
        <v>0</v>
      </c>
      <c r="L99" s="738">
        <f t="shared" si="21"/>
        <v>2.2660056760000002</v>
      </c>
      <c r="M99" s="738">
        <f t="shared" si="21"/>
        <v>0.16940276000000004</v>
      </c>
      <c r="N99" s="738">
        <f t="shared" si="21"/>
        <v>0</v>
      </c>
      <c r="O99" s="738">
        <f t="shared" si="21"/>
        <v>0</v>
      </c>
      <c r="P99" s="738">
        <f t="shared" si="21"/>
        <v>0</v>
      </c>
      <c r="Q99" s="738">
        <f t="shared" si="21"/>
        <v>0</v>
      </c>
      <c r="R99" s="738">
        <f t="shared" si="21"/>
        <v>0</v>
      </c>
      <c r="S99" s="738">
        <f t="shared" si="21"/>
        <v>1.8294829327928603</v>
      </c>
      <c r="T99" s="738">
        <f>SUM(C99:S99)</f>
        <v>37.275413493844923</v>
      </c>
      <c r="U99" s="738">
        <f>SUM(D99:S99)</f>
        <v>25.552558464792863</v>
      </c>
    </row>
    <row r="100" spans="2:21" hidden="1">
      <c r="B100" s="613" t="s">
        <v>879</v>
      </c>
      <c r="C100" s="738">
        <f t="shared" ref="C100:S100" si="22">C58+C89</f>
        <v>3.2241311972483477</v>
      </c>
      <c r="D100" s="738">
        <f t="shared" si="22"/>
        <v>1.554742512</v>
      </c>
      <c r="E100" s="738">
        <f t="shared" si="22"/>
        <v>0.78298156799999996</v>
      </c>
      <c r="F100" s="738">
        <f t="shared" si="22"/>
        <v>0</v>
      </c>
      <c r="G100" s="738">
        <f t="shared" si="22"/>
        <v>3.3940086960000002</v>
      </c>
      <c r="H100" s="738">
        <f t="shared" si="22"/>
        <v>0.41018079600000007</v>
      </c>
      <c r="I100" s="738">
        <f t="shared" si="22"/>
        <v>0</v>
      </c>
      <c r="J100" s="738">
        <f t="shared" si="22"/>
        <v>0</v>
      </c>
      <c r="K100" s="738">
        <f t="shared" si="22"/>
        <v>9.173924E-3</v>
      </c>
      <c r="L100" s="738">
        <f t="shared" si="22"/>
        <v>1.0580269280000001</v>
      </c>
      <c r="M100" s="738">
        <f t="shared" si="22"/>
        <v>0.40300690000000006</v>
      </c>
      <c r="N100" s="738">
        <f t="shared" si="22"/>
        <v>0</v>
      </c>
      <c r="O100" s="738">
        <f t="shared" si="22"/>
        <v>0</v>
      </c>
      <c r="P100" s="738">
        <f t="shared" si="22"/>
        <v>0.93802039199999998</v>
      </c>
      <c r="Q100" s="738">
        <f t="shared" si="22"/>
        <v>0.18007095145939597</v>
      </c>
      <c r="R100" s="738">
        <f t="shared" si="22"/>
        <v>0</v>
      </c>
      <c r="S100" s="738">
        <f t="shared" si="22"/>
        <v>1.2838857565950619</v>
      </c>
      <c r="T100" s="738">
        <f>SUM(C100:S100)</f>
        <v>13.238229621302807</v>
      </c>
      <c r="U100" s="738">
        <f>SUM(D100:S100)</f>
        <v>10.014098424054458</v>
      </c>
    </row>
    <row r="101" spans="2:21" hidden="1">
      <c r="B101" s="613" t="s">
        <v>880</v>
      </c>
      <c r="C101" s="738">
        <f t="shared" ref="C101:S101" si="23">C59+C90</f>
        <v>7.4452852050520555</v>
      </c>
      <c r="D101" s="738">
        <f t="shared" si="23"/>
        <v>5.4768176000000009E-2</v>
      </c>
      <c r="E101" s="738">
        <f t="shared" si="23"/>
        <v>0.54698771199999996</v>
      </c>
      <c r="F101" s="738">
        <f t="shared" si="23"/>
        <v>0</v>
      </c>
      <c r="G101" s="738">
        <f t="shared" si="23"/>
        <v>0</v>
      </c>
      <c r="H101" s="738">
        <f t="shared" si="23"/>
        <v>0</v>
      </c>
      <c r="I101" s="738">
        <f t="shared" si="23"/>
        <v>0</v>
      </c>
      <c r="J101" s="738">
        <f t="shared" si="23"/>
        <v>0</v>
      </c>
      <c r="K101" s="738">
        <f t="shared" si="23"/>
        <v>0</v>
      </c>
      <c r="L101" s="738">
        <f t="shared" si="23"/>
        <v>0.55498449999999999</v>
      </c>
      <c r="M101" s="738">
        <f t="shared" si="23"/>
        <v>0.33780552000000003</v>
      </c>
      <c r="N101" s="738">
        <f t="shared" si="23"/>
        <v>0</v>
      </c>
      <c r="O101" s="738">
        <f t="shared" si="23"/>
        <v>0</v>
      </c>
      <c r="P101" s="738">
        <f t="shared" si="23"/>
        <v>0</v>
      </c>
      <c r="Q101" s="738">
        <f t="shared" si="23"/>
        <v>0.39605365857623392</v>
      </c>
      <c r="R101" s="738">
        <f t="shared" si="23"/>
        <v>0</v>
      </c>
      <c r="S101" s="738">
        <f t="shared" si="23"/>
        <v>3.2843775546148501</v>
      </c>
      <c r="T101" s="738">
        <f>SUM(C101:S101)</f>
        <v>12.620262326243139</v>
      </c>
      <c r="U101" s="738">
        <f>SUM(D101:S101)</f>
        <v>5.174977121191084</v>
      </c>
    </row>
    <row r="102" spans="2:21" hidden="1">
      <c r="B102" s="613" t="s">
        <v>787</v>
      </c>
      <c r="C102" s="738">
        <f t="shared" ref="C102:S102" si="24">C60+C91</f>
        <v>16.563068795327236</v>
      </c>
      <c r="D102" s="738">
        <f t="shared" si="24"/>
        <v>0.46287679999999987</v>
      </c>
      <c r="E102" s="738">
        <f t="shared" si="24"/>
        <v>-0.12000000000000011</v>
      </c>
      <c r="F102" s="738">
        <f t="shared" si="24"/>
        <v>0</v>
      </c>
      <c r="G102" s="738">
        <f t="shared" si="24"/>
        <v>0</v>
      </c>
      <c r="H102" s="738">
        <f t="shared" si="24"/>
        <v>0</v>
      </c>
      <c r="I102" s="738">
        <f t="shared" si="24"/>
        <v>0</v>
      </c>
      <c r="J102" s="738">
        <f t="shared" si="24"/>
        <v>0</v>
      </c>
      <c r="K102" s="738">
        <f t="shared" si="24"/>
        <v>0</v>
      </c>
      <c r="L102" s="738">
        <f t="shared" si="24"/>
        <v>1.7740148639999989</v>
      </c>
      <c r="M102" s="738">
        <f t="shared" si="24"/>
        <v>0.16640276000000001</v>
      </c>
      <c r="N102" s="738">
        <f t="shared" si="24"/>
        <v>8.959500792</v>
      </c>
      <c r="O102" s="738">
        <f t="shared" si="24"/>
        <v>0</v>
      </c>
      <c r="P102" s="738">
        <f t="shared" si="24"/>
        <v>0</v>
      </c>
      <c r="Q102" s="738">
        <f t="shared" si="24"/>
        <v>0.32593433599999999</v>
      </c>
      <c r="R102" s="738">
        <f t="shared" si="24"/>
        <v>0</v>
      </c>
      <c r="S102" s="738">
        <f t="shared" si="24"/>
        <v>16.805391184845281</v>
      </c>
      <c r="T102" s="738">
        <f>SUM(C102:S102)</f>
        <v>44.937189532172511</v>
      </c>
      <c r="U102" s="738">
        <f>SUM(D102:S102)</f>
        <v>28.374120736845278</v>
      </c>
    </row>
    <row r="103" spans="2:21" hidden="1">
      <c r="B103" s="613" t="s">
        <v>978</v>
      </c>
      <c r="C103" s="738">
        <f t="shared" ref="C103:P103" si="25">C61+C92</f>
        <v>75.340543673109337</v>
      </c>
      <c r="D103" s="738">
        <f t="shared" si="25"/>
        <v>21.139650812000003</v>
      </c>
      <c r="E103" s="738">
        <f t="shared" si="25"/>
        <v>2.6189835000000001</v>
      </c>
      <c r="F103" s="738">
        <f t="shared" si="25"/>
        <v>0</v>
      </c>
      <c r="G103" s="738">
        <f t="shared" si="25"/>
        <v>0.50095545200000002</v>
      </c>
      <c r="H103" s="738">
        <f t="shared" si="25"/>
        <v>0</v>
      </c>
      <c r="I103" s="738">
        <f t="shared" si="25"/>
        <v>0</v>
      </c>
      <c r="J103" s="738">
        <f t="shared" si="25"/>
        <v>0</v>
      </c>
      <c r="K103" s="738">
        <f t="shared" si="25"/>
        <v>8.4986661680000015</v>
      </c>
      <c r="L103" s="738">
        <f t="shared" si="25"/>
        <v>4.6740050399999999</v>
      </c>
      <c r="M103" s="738">
        <f t="shared" si="25"/>
        <v>0.21298251600000001</v>
      </c>
      <c r="N103" s="738">
        <f t="shared" si="25"/>
        <v>0</v>
      </c>
      <c r="O103" s="738">
        <f t="shared" si="25"/>
        <v>0</v>
      </c>
      <c r="P103" s="738">
        <f t="shared" si="25"/>
        <v>0</v>
      </c>
      <c r="Q103" s="747">
        <f ca="1">Q61+Q92+MAX(0,MIN(U53-U61-SUM(D92:S92),SUMPRODUCT(Drivers!H79:H80,Drivers!$P$122:$P$123)))</f>
        <v>120.49198917858399</v>
      </c>
      <c r="R103" s="738">
        <f>R61+R92</f>
        <v>0</v>
      </c>
      <c r="S103" s="738">
        <f>S61+S92</f>
        <v>20.017576526955452</v>
      </c>
      <c r="T103" s="738">
        <f>SUM(C103:S103)</f>
        <v>253.49535286664877</v>
      </c>
      <c r="U103" s="738">
        <f>SUM(D103:S103)</f>
        <v>178.15480919353945</v>
      </c>
    </row>
    <row r="104" spans="2:21" hidden="1">
      <c r="M104" s="748">
        <f ca="1">MAX(0.01,1-(CHP!I108*CHP!M108+M62*M95+IEAData!$L36*M94)/IEAData!$BL$58)</f>
        <v>5.631321138312595E-2</v>
      </c>
      <c r="S104" s="738"/>
      <c r="T104" s="749">
        <f>SUM(T99:T103)</f>
        <v>361.56644784021216</v>
      </c>
    </row>
    <row r="105" spans="2:21" hidden="1">
      <c r="M105" s="748">
        <f ca="1">MAX(0.01,(IEAData!BJ58+SUM(M99:M103)-CHP!I108*CHP!M108)/IEAData!$BL$58)</f>
        <v>5.6313211383125845E-2</v>
      </c>
    </row>
    <row r="106" spans="2:21" hidden="1">
      <c r="B106" s="612" t="s">
        <v>992</v>
      </c>
    </row>
    <row r="107" spans="2:21" hidden="1">
      <c r="C107" s="613" t="s">
        <v>905</v>
      </c>
      <c r="D107" s="613" t="s">
        <v>906</v>
      </c>
      <c r="E107" s="613" t="s">
        <v>907</v>
      </c>
      <c r="F107" s="613" t="s">
        <v>908</v>
      </c>
      <c r="G107" s="613" t="s">
        <v>909</v>
      </c>
      <c r="H107" s="613" t="s">
        <v>910</v>
      </c>
      <c r="I107" s="613" t="s">
        <v>911</v>
      </c>
      <c r="J107" s="613" t="s">
        <v>912</v>
      </c>
      <c r="K107" s="613" t="s">
        <v>1150</v>
      </c>
      <c r="L107" s="613" t="s">
        <v>913</v>
      </c>
      <c r="M107" s="613" t="s">
        <v>826</v>
      </c>
      <c r="N107" s="613" t="s">
        <v>914</v>
      </c>
      <c r="O107" s="613" t="s">
        <v>915</v>
      </c>
      <c r="P107" s="613" t="s">
        <v>916</v>
      </c>
      <c r="Q107" s="613" t="s">
        <v>917</v>
      </c>
      <c r="R107" s="613" t="s">
        <v>950</v>
      </c>
      <c r="S107" s="613" t="s">
        <v>946</v>
      </c>
      <c r="T107" s="613" t="s">
        <v>888</v>
      </c>
      <c r="U107" s="613" t="s">
        <v>378</v>
      </c>
    </row>
    <row r="108" spans="2:21" hidden="1">
      <c r="B108" s="613" t="s">
        <v>568</v>
      </c>
      <c r="C108" s="734">
        <f t="shared" ref="C108:U108" si="26">IF(C99&lt;&gt;0,C49/C99,1)</f>
        <v>1.0000000000000002</v>
      </c>
      <c r="D108" s="734">
        <f t="shared" si="26"/>
        <v>1.436844916557344</v>
      </c>
      <c r="E108" s="734">
        <f t="shared" si="26"/>
        <v>0.10610500573440435</v>
      </c>
      <c r="F108" s="734">
        <f t="shared" si="26"/>
        <v>1</v>
      </c>
      <c r="G108" s="734">
        <f t="shared" si="26"/>
        <v>1</v>
      </c>
      <c r="H108" s="734">
        <f t="shared" si="26"/>
        <v>0.96101540585864231</v>
      </c>
      <c r="I108" s="734">
        <f t="shared" si="26"/>
        <v>0.31363419480092419</v>
      </c>
      <c r="J108" s="734">
        <f t="shared" si="26"/>
        <v>2.7527691521710005</v>
      </c>
      <c r="K108" s="734">
        <f t="shared" si="26"/>
        <v>1</v>
      </c>
      <c r="L108" s="734">
        <f t="shared" si="26"/>
        <v>0.53349426073837769</v>
      </c>
      <c r="M108" s="734">
        <f t="shared" si="26"/>
        <v>4.665688940289118</v>
      </c>
      <c r="N108" s="734">
        <f t="shared" si="26"/>
        <v>1</v>
      </c>
      <c r="O108" s="734">
        <f t="shared" si="26"/>
        <v>1</v>
      </c>
      <c r="P108" s="734">
        <f t="shared" si="26"/>
        <v>1</v>
      </c>
      <c r="Q108" s="734">
        <f t="shared" si="26"/>
        <v>1</v>
      </c>
      <c r="R108" s="734">
        <f t="shared" si="26"/>
        <v>1</v>
      </c>
      <c r="S108" s="734">
        <f t="shared" si="26"/>
        <v>0.30713105483242403</v>
      </c>
      <c r="T108" s="734">
        <f t="shared" si="26"/>
        <v>1.0000000000000002</v>
      </c>
      <c r="U108" s="734">
        <f t="shared" si="26"/>
        <v>1.0000000000000002</v>
      </c>
    </row>
    <row r="109" spans="2:21" hidden="1">
      <c r="B109" s="613" t="s">
        <v>879</v>
      </c>
      <c r="C109" s="734">
        <f t="shared" ref="C109:U109" si="27">IF(C100&lt;&gt;0,C50/C100,1)</f>
        <v>0.99439497149027989</v>
      </c>
      <c r="D109" s="734">
        <f t="shared" si="27"/>
        <v>2.4489201471265889</v>
      </c>
      <c r="E109" s="734">
        <f t="shared" si="27"/>
        <v>9.0200441678439269E-2</v>
      </c>
      <c r="F109" s="734">
        <f t="shared" si="27"/>
        <v>1</v>
      </c>
      <c r="G109" s="734">
        <f t="shared" si="27"/>
        <v>0.67094204599780893</v>
      </c>
      <c r="H109" s="734">
        <f t="shared" si="27"/>
        <v>5.1053944591504058E-2</v>
      </c>
      <c r="I109" s="734">
        <f t="shared" si="27"/>
        <v>1</v>
      </c>
      <c r="J109" s="734">
        <f t="shared" si="27"/>
        <v>1</v>
      </c>
      <c r="K109" s="734">
        <f t="shared" si="27"/>
        <v>2.2827034136627939</v>
      </c>
      <c r="L109" s="734">
        <f t="shared" si="27"/>
        <v>1.849496849809702</v>
      </c>
      <c r="M109" s="734">
        <f t="shared" si="27"/>
        <v>0.11360429671447306</v>
      </c>
      <c r="N109" s="734">
        <f t="shared" si="27"/>
        <v>1</v>
      </c>
      <c r="O109" s="734">
        <f t="shared" si="27"/>
        <v>1</v>
      </c>
      <c r="P109" s="734">
        <f t="shared" si="27"/>
        <v>1.0436324389910454</v>
      </c>
      <c r="Q109" s="734">
        <f t="shared" si="27"/>
        <v>2.3048343433191953</v>
      </c>
      <c r="R109" s="734">
        <f t="shared" si="27"/>
        <v>1</v>
      </c>
      <c r="S109" s="734">
        <f t="shared" si="27"/>
        <v>3.2621824058583965E-2</v>
      </c>
      <c r="T109" s="739">
        <f t="shared" si="27"/>
        <v>0.97761469030231141</v>
      </c>
      <c r="U109" s="734">
        <f t="shared" si="27"/>
        <v>0.97221212426134151</v>
      </c>
    </row>
    <row r="110" spans="2:21" hidden="1">
      <c r="B110" s="613" t="s">
        <v>880</v>
      </c>
      <c r="C110" s="734">
        <f t="shared" ref="C110:U110" si="28">IF(C101&lt;&gt;0,C51/C101,1)</f>
        <v>1</v>
      </c>
      <c r="D110" s="734">
        <f t="shared" si="28"/>
        <v>28.239080779436804</v>
      </c>
      <c r="E110" s="734">
        <f t="shared" si="28"/>
        <v>0.46448855495519015</v>
      </c>
      <c r="F110" s="734">
        <f t="shared" si="28"/>
        <v>1</v>
      </c>
      <c r="G110" s="734">
        <f t="shared" si="28"/>
        <v>1</v>
      </c>
      <c r="H110" s="734">
        <f t="shared" si="28"/>
        <v>1</v>
      </c>
      <c r="I110" s="734">
        <f t="shared" si="28"/>
        <v>1</v>
      </c>
      <c r="J110" s="734">
        <f t="shared" si="28"/>
        <v>1</v>
      </c>
      <c r="K110" s="734">
        <f t="shared" si="28"/>
        <v>1</v>
      </c>
      <c r="L110" s="734">
        <f t="shared" si="28"/>
        <v>2.0608494713750818</v>
      </c>
      <c r="M110" s="734">
        <f t="shared" si="28"/>
        <v>0.45822007803607734</v>
      </c>
      <c r="N110" s="734">
        <f t="shared" si="28"/>
        <v>1</v>
      </c>
      <c r="O110" s="734">
        <f t="shared" si="28"/>
        <v>1</v>
      </c>
      <c r="P110" s="734">
        <f t="shared" si="28"/>
        <v>1</v>
      </c>
      <c r="Q110" s="734">
        <f t="shared" si="28"/>
        <v>0.23449742485682395</v>
      </c>
      <c r="R110" s="734">
        <f t="shared" si="28"/>
        <v>1</v>
      </c>
      <c r="S110" s="734">
        <f t="shared" si="28"/>
        <v>9.4257903765006951E-2</v>
      </c>
      <c r="T110" s="734">
        <f t="shared" si="28"/>
        <v>0.98047366404983072</v>
      </c>
      <c r="U110" s="734">
        <f t="shared" si="28"/>
        <v>0.95238095238095233</v>
      </c>
    </row>
    <row r="111" spans="2:21" hidden="1">
      <c r="B111" s="613" t="s">
        <v>787</v>
      </c>
      <c r="C111" s="734">
        <f t="shared" ref="C111:U111" si="29">IF(C102&lt;&gt;0,C52/C102,1)</f>
        <v>1</v>
      </c>
      <c r="D111" s="734">
        <f t="shared" si="29"/>
        <v>23.713677862890243</v>
      </c>
      <c r="E111" s="734">
        <f t="shared" si="29"/>
        <v>-7.3509307739363825</v>
      </c>
      <c r="F111" s="734">
        <f t="shared" si="29"/>
        <v>1</v>
      </c>
      <c r="G111" s="734">
        <f t="shared" si="29"/>
        <v>1</v>
      </c>
      <c r="H111" s="734">
        <f t="shared" si="29"/>
        <v>1</v>
      </c>
      <c r="I111" s="734">
        <f t="shared" si="29"/>
        <v>1</v>
      </c>
      <c r="J111" s="734">
        <f t="shared" si="29"/>
        <v>1</v>
      </c>
      <c r="K111" s="734">
        <f t="shared" si="29"/>
        <v>1</v>
      </c>
      <c r="L111" s="734">
        <f t="shared" si="29"/>
        <v>1.9549265885402543</v>
      </c>
      <c r="M111" s="734">
        <f t="shared" si="29"/>
        <v>8.0150974489658822</v>
      </c>
      <c r="N111" s="734">
        <f t="shared" si="29"/>
        <v>0.13944672152772455</v>
      </c>
      <c r="O111" s="734">
        <f t="shared" si="29"/>
        <v>1</v>
      </c>
      <c r="P111" s="734">
        <f t="shared" si="29"/>
        <v>1</v>
      </c>
      <c r="Q111" s="734">
        <f t="shared" si="29"/>
        <v>0.58209740219239892</v>
      </c>
      <c r="R111" s="734">
        <f t="shared" si="29"/>
        <v>1</v>
      </c>
      <c r="S111" s="734">
        <f t="shared" si="29"/>
        <v>0.22579126922317005</v>
      </c>
      <c r="T111" s="734">
        <f t="shared" si="29"/>
        <v>1.0000000000000002</v>
      </c>
      <c r="U111" s="734">
        <f t="shared" si="29"/>
        <v>0.99999999999999978</v>
      </c>
    </row>
    <row r="112" spans="2:21" hidden="1">
      <c r="B112" s="613" t="s">
        <v>978</v>
      </c>
      <c r="C112" s="734">
        <f t="shared" ref="C112:U112" si="30">IF(C103&lt;&gt;0,C53/C103,1)</f>
        <v>1.0181662075069151</v>
      </c>
      <c r="D112" s="734">
        <f t="shared" si="30"/>
        <v>1.7958388863264596</v>
      </c>
      <c r="E112" s="734">
        <f t="shared" si="30"/>
        <v>1.2031478150638522</v>
      </c>
      <c r="F112" s="734">
        <f t="shared" si="30"/>
        <v>1</v>
      </c>
      <c r="G112" s="734">
        <f t="shared" si="30"/>
        <v>19.706510118861878</v>
      </c>
      <c r="H112" s="734">
        <f t="shared" si="30"/>
        <v>1</v>
      </c>
      <c r="I112" s="734">
        <f t="shared" si="30"/>
        <v>1</v>
      </c>
      <c r="J112" s="734">
        <f t="shared" si="30"/>
        <v>1</v>
      </c>
      <c r="K112" s="734">
        <f t="shared" si="30"/>
        <v>0.56158387337421534</v>
      </c>
      <c r="L112" s="734">
        <f t="shared" si="30"/>
        <v>4.1026069911354321</v>
      </c>
      <c r="M112" s="734">
        <f t="shared" si="30"/>
        <v>17.767228849495229</v>
      </c>
      <c r="N112" s="734">
        <f t="shared" si="30"/>
        <v>1</v>
      </c>
      <c r="O112" s="734">
        <f t="shared" si="30"/>
        <v>1</v>
      </c>
      <c r="P112" s="734">
        <f t="shared" si="30"/>
        <v>1</v>
      </c>
      <c r="Q112" s="734">
        <f t="shared" si="30"/>
        <v>0.61270836327044942</v>
      </c>
      <c r="R112" s="734">
        <f t="shared" si="30"/>
        <v>1</v>
      </c>
      <c r="S112" s="734">
        <f t="shared" si="30"/>
        <v>0.95370463226913738</v>
      </c>
      <c r="T112" s="734">
        <f t="shared" si="30"/>
        <v>1.0060430723503009</v>
      </c>
      <c r="U112" s="734">
        <f t="shared" si="30"/>
        <v>1.0009162750561018</v>
      </c>
    </row>
    <row r="113" spans="1:20" hidden="1"/>
    <row r="114" spans="1:20" hidden="1">
      <c r="T114" s="750"/>
    </row>
    <row r="115" spans="1:20" ht="18" hidden="1">
      <c r="B115" s="728" t="s">
        <v>380</v>
      </c>
      <c r="C115" s="729"/>
      <c r="D115" s="708"/>
      <c r="E115" s="729"/>
      <c r="F115" s="708"/>
      <c r="G115" s="708"/>
    </row>
    <row r="116" spans="1:20" hidden="1">
      <c r="B116" s="613" t="s">
        <v>255</v>
      </c>
    </row>
    <row r="117" spans="1:20" hidden="1"/>
    <row r="118" spans="1:20" hidden="1">
      <c r="A118" s="613">
        <f>MATCH(LEFT(B118,3),B$108:B$112,0)</f>
        <v>1</v>
      </c>
      <c r="B118" s="613" t="s">
        <v>961</v>
      </c>
      <c r="C118" s="734">
        <f t="shared" ref="C118:C152" si="31">MAX(0,IF(INDEX(C$49:C$53,$A118)&gt;0,C9*INDEX(C$99:C$103,$A118)/INDEX(C$49:C$53,$A118),0))</f>
        <v>0</v>
      </c>
      <c r="D118" s="734">
        <f t="shared" ref="D118:S118" si="32">IF(INDEX(D$49:D$53,$A118)&gt;0,D9*INDEX(D$99:D$103,$A118)/INDEX(D$49:D$53,$A118),0)</f>
        <v>6.959693342521496E-2</v>
      </c>
      <c r="E118" s="734">
        <f t="shared" si="32"/>
        <v>0</v>
      </c>
      <c r="F118" s="734">
        <f t="shared" si="32"/>
        <v>0</v>
      </c>
      <c r="G118" s="734">
        <f t="shared" si="32"/>
        <v>0</v>
      </c>
      <c r="H118" s="734">
        <f t="shared" si="32"/>
        <v>0.36419811572873179</v>
      </c>
      <c r="I118" s="734">
        <f t="shared" si="32"/>
        <v>0.15942139227432439</v>
      </c>
      <c r="J118" s="734">
        <f t="shared" si="32"/>
        <v>0.12714469708583037</v>
      </c>
      <c r="K118" s="734">
        <f t="shared" si="32"/>
        <v>0</v>
      </c>
      <c r="L118" s="734">
        <f t="shared" si="32"/>
        <v>9.3721720512603024E-2</v>
      </c>
      <c r="M118" s="734">
        <f t="shared" si="32"/>
        <v>0</v>
      </c>
      <c r="N118" s="734">
        <f t="shared" si="32"/>
        <v>0</v>
      </c>
      <c r="O118" s="734">
        <f t="shared" si="32"/>
        <v>0</v>
      </c>
      <c r="P118" s="734">
        <f t="shared" si="32"/>
        <v>0</v>
      </c>
      <c r="Q118" s="734">
        <f t="shared" si="32"/>
        <v>0</v>
      </c>
      <c r="R118" s="734">
        <f t="shared" si="32"/>
        <v>0</v>
      </c>
      <c r="S118" s="734">
        <f t="shared" si="32"/>
        <v>0</v>
      </c>
      <c r="T118" s="734">
        <f t="shared" ref="T118:T152" si="33">MAX(0.001,SUM(C118:S118))</f>
        <v>0.81408285902670463</v>
      </c>
    </row>
    <row r="119" spans="1:20" hidden="1">
      <c r="A119" s="613">
        <f>MATCH(LEFT(B119,3),B$108:B$112,0)</f>
        <v>1</v>
      </c>
      <c r="B119" s="613" t="s">
        <v>368</v>
      </c>
      <c r="C119" s="734">
        <f t="shared" si="31"/>
        <v>9.9999999999999992E-2</v>
      </c>
      <c r="D119" s="734">
        <f t="shared" ref="D119:S119" si="34">IF(INDEX(D$49:D$53,$A119)&gt;0,D10*INDEX(D$99:D$103,$A119)/INDEX(D$49:D$53,$A119),0)</f>
        <v>0.57417470075802335</v>
      </c>
      <c r="E119" s="734">
        <f t="shared" si="34"/>
        <v>0</v>
      </c>
      <c r="F119" s="734">
        <f t="shared" si="34"/>
        <v>0</v>
      </c>
      <c r="G119" s="734">
        <f t="shared" si="34"/>
        <v>0</v>
      </c>
      <c r="H119" s="734">
        <f t="shared" si="34"/>
        <v>0</v>
      </c>
      <c r="I119" s="734">
        <f t="shared" si="34"/>
        <v>0</v>
      </c>
      <c r="J119" s="734">
        <f t="shared" si="34"/>
        <v>0</v>
      </c>
      <c r="K119" s="734">
        <f t="shared" si="34"/>
        <v>0</v>
      </c>
      <c r="L119" s="734">
        <f t="shared" si="34"/>
        <v>0</v>
      </c>
      <c r="M119" s="734">
        <f t="shared" si="34"/>
        <v>5.3582654823214225E-3</v>
      </c>
      <c r="N119" s="734">
        <f t="shared" si="34"/>
        <v>0</v>
      </c>
      <c r="O119" s="734">
        <f t="shared" si="34"/>
        <v>0</v>
      </c>
      <c r="P119" s="734">
        <f t="shared" si="34"/>
        <v>0</v>
      </c>
      <c r="Q119" s="734">
        <f t="shared" si="34"/>
        <v>0</v>
      </c>
      <c r="R119" s="734">
        <f t="shared" si="34"/>
        <v>0</v>
      </c>
      <c r="S119" s="734">
        <f t="shared" si="34"/>
        <v>0</v>
      </c>
      <c r="T119" s="734">
        <f t="shared" si="33"/>
        <v>0.67953296624034476</v>
      </c>
    </row>
    <row r="120" spans="1:20" hidden="1">
      <c r="A120" s="613">
        <f>MATCH(LEFT(B120,3),B$108:B$112,0)</f>
        <v>1</v>
      </c>
      <c r="B120" s="613" t="s">
        <v>366</v>
      </c>
      <c r="C120" s="734">
        <f t="shared" si="31"/>
        <v>0.49999999999999994</v>
      </c>
      <c r="D120" s="734">
        <f t="shared" ref="D120:S120" si="35">IF(INDEX(D$49:D$53,$A120)&gt;0,D11*INDEX(D$99:D$103,$A120)/INDEX(D$49:D$53,$A120),0)</f>
        <v>0.20879080027564487</v>
      </c>
      <c r="E120" s="734">
        <f t="shared" si="35"/>
        <v>0</v>
      </c>
      <c r="F120" s="734">
        <f t="shared" si="35"/>
        <v>0</v>
      </c>
      <c r="G120" s="734">
        <f t="shared" si="35"/>
        <v>0</v>
      </c>
      <c r="H120" s="734">
        <f t="shared" si="35"/>
        <v>0</v>
      </c>
      <c r="I120" s="734">
        <f t="shared" si="35"/>
        <v>0</v>
      </c>
      <c r="J120" s="734">
        <f t="shared" si="35"/>
        <v>0</v>
      </c>
      <c r="K120" s="734">
        <f t="shared" si="35"/>
        <v>0</v>
      </c>
      <c r="L120" s="734">
        <f t="shared" si="35"/>
        <v>0</v>
      </c>
      <c r="M120" s="734">
        <f t="shared" si="35"/>
        <v>1.0716530964642845E-2</v>
      </c>
      <c r="N120" s="734">
        <f t="shared" si="35"/>
        <v>0</v>
      </c>
      <c r="O120" s="734">
        <f t="shared" si="35"/>
        <v>0</v>
      </c>
      <c r="P120" s="734">
        <f t="shared" si="35"/>
        <v>0</v>
      </c>
      <c r="Q120" s="734">
        <f t="shared" si="35"/>
        <v>0</v>
      </c>
      <c r="R120" s="734">
        <f t="shared" si="35"/>
        <v>0</v>
      </c>
      <c r="S120" s="734">
        <f t="shared" si="35"/>
        <v>0</v>
      </c>
      <c r="T120" s="734">
        <f t="shared" si="33"/>
        <v>0.71950733124028765</v>
      </c>
    </row>
    <row r="121" spans="1:20" hidden="1">
      <c r="A121" s="613">
        <f>MATCH(LEFT(B121,3),B$108:B$112,0)</f>
        <v>1</v>
      </c>
      <c r="B121" s="613" t="s">
        <v>410</v>
      </c>
      <c r="C121" s="734">
        <f t="shared" si="31"/>
        <v>0.39999999999999997</v>
      </c>
      <c r="D121" s="734">
        <f t="shared" ref="D121:S121" si="36">IF(INDEX(D$49:D$53,$A121)&gt;0,D12*INDEX(D$99:D$103,$A121)/INDEX(D$49:D$53,$A121),0)</f>
        <v>0</v>
      </c>
      <c r="E121" s="734">
        <f t="shared" si="36"/>
        <v>0</v>
      </c>
      <c r="F121" s="734">
        <f t="shared" si="36"/>
        <v>0</v>
      </c>
      <c r="G121" s="734">
        <f t="shared" si="36"/>
        <v>0</v>
      </c>
      <c r="H121" s="734">
        <f t="shared" si="36"/>
        <v>0.41622641797569354</v>
      </c>
      <c r="I121" s="734">
        <f t="shared" si="36"/>
        <v>0</v>
      </c>
      <c r="J121" s="734">
        <f t="shared" si="36"/>
        <v>0</v>
      </c>
      <c r="K121" s="734">
        <f t="shared" si="36"/>
        <v>0</v>
      </c>
      <c r="L121" s="734">
        <f t="shared" si="36"/>
        <v>0</v>
      </c>
      <c r="M121" s="734">
        <f t="shared" si="36"/>
        <v>0</v>
      </c>
      <c r="N121" s="734">
        <f t="shared" si="36"/>
        <v>0</v>
      </c>
      <c r="O121" s="734">
        <f t="shared" si="36"/>
        <v>0</v>
      </c>
      <c r="P121" s="734">
        <f t="shared" si="36"/>
        <v>0</v>
      </c>
      <c r="Q121" s="734">
        <f t="shared" si="36"/>
        <v>0</v>
      </c>
      <c r="R121" s="734">
        <f t="shared" si="36"/>
        <v>0</v>
      </c>
      <c r="S121" s="734">
        <f t="shared" si="36"/>
        <v>0</v>
      </c>
      <c r="T121" s="734">
        <f t="shared" si="33"/>
        <v>0.81622641797569351</v>
      </c>
    </row>
    <row r="122" spans="1:20" hidden="1">
      <c r="A122" s="613">
        <v>1</v>
      </c>
      <c r="B122" s="613" t="s">
        <v>1286</v>
      </c>
      <c r="C122" s="734">
        <f t="shared" si="31"/>
        <v>0.49999999999999994</v>
      </c>
      <c r="D122" s="734">
        <f t="shared" ref="D122:S122" si="37">IF(INDEX(D$49:D$53,$A122)&gt;0,D13*INDEX(D$99:D$103,$A122)/INDEX(D$49:D$53,$A122),0)</f>
        <v>0</v>
      </c>
      <c r="E122" s="734">
        <f t="shared" si="37"/>
        <v>0.94246260398226633</v>
      </c>
      <c r="F122" s="734">
        <f t="shared" si="37"/>
        <v>0</v>
      </c>
      <c r="G122" s="734">
        <f t="shared" si="37"/>
        <v>0</v>
      </c>
      <c r="H122" s="734">
        <f t="shared" si="37"/>
        <v>0.41622641797569354</v>
      </c>
      <c r="I122" s="734">
        <f t="shared" si="37"/>
        <v>0</v>
      </c>
      <c r="J122" s="734">
        <f t="shared" si="37"/>
        <v>0</v>
      </c>
      <c r="K122" s="734">
        <f t="shared" si="37"/>
        <v>0</v>
      </c>
      <c r="L122" s="734">
        <f t="shared" si="37"/>
        <v>0</v>
      </c>
      <c r="M122" s="734">
        <f t="shared" si="37"/>
        <v>0</v>
      </c>
      <c r="N122" s="734">
        <f t="shared" si="37"/>
        <v>0</v>
      </c>
      <c r="O122" s="734">
        <f t="shared" si="37"/>
        <v>0</v>
      </c>
      <c r="P122" s="734">
        <f t="shared" si="37"/>
        <v>0</v>
      </c>
      <c r="Q122" s="734">
        <f t="shared" si="37"/>
        <v>0</v>
      </c>
      <c r="R122" s="734">
        <f t="shared" si="37"/>
        <v>0</v>
      </c>
      <c r="S122" s="734">
        <f t="shared" si="37"/>
        <v>0</v>
      </c>
      <c r="T122" s="734">
        <f t="shared" si="33"/>
        <v>1.8586890219579599</v>
      </c>
    </row>
    <row r="123" spans="1:20" hidden="1">
      <c r="A123" s="613">
        <f t="shared" ref="A123:A152" si="38">MATCH(LEFT(B123,3),B$108:B$112,0)</f>
        <v>1</v>
      </c>
      <c r="B123" s="613" t="s">
        <v>962</v>
      </c>
      <c r="C123" s="734">
        <f t="shared" si="31"/>
        <v>0.8999999999999998</v>
      </c>
      <c r="D123" s="734">
        <f t="shared" ref="D123:S123" si="39">IF(INDEX(D$49:D$53,$A123)&gt;0,D14*INDEX(D$99:D$103,$A123)/INDEX(D$49:D$53,$A123),0)</f>
        <v>0</v>
      </c>
      <c r="E123" s="734">
        <f t="shared" si="39"/>
        <v>0.23561565099556658</v>
      </c>
      <c r="F123" s="734">
        <f t="shared" si="39"/>
        <v>0</v>
      </c>
      <c r="G123" s="734">
        <f t="shared" si="39"/>
        <v>0</v>
      </c>
      <c r="H123" s="734">
        <f t="shared" si="39"/>
        <v>0</v>
      </c>
      <c r="I123" s="734">
        <f t="shared" si="39"/>
        <v>0</v>
      </c>
      <c r="J123" s="734">
        <f t="shared" si="39"/>
        <v>0</v>
      </c>
      <c r="K123" s="734">
        <f t="shared" si="39"/>
        <v>0</v>
      </c>
      <c r="L123" s="734">
        <f t="shared" si="39"/>
        <v>0</v>
      </c>
      <c r="M123" s="734">
        <f t="shared" si="39"/>
        <v>1.0716530964642845E-2</v>
      </c>
      <c r="N123" s="734">
        <f t="shared" si="39"/>
        <v>0</v>
      </c>
      <c r="O123" s="734">
        <f t="shared" si="39"/>
        <v>0</v>
      </c>
      <c r="P123" s="734">
        <f t="shared" si="39"/>
        <v>0</v>
      </c>
      <c r="Q123" s="734">
        <f t="shared" si="39"/>
        <v>0</v>
      </c>
      <c r="R123" s="734">
        <f t="shared" si="39"/>
        <v>0</v>
      </c>
      <c r="S123" s="734">
        <f t="shared" si="39"/>
        <v>0</v>
      </c>
      <c r="T123" s="734">
        <f t="shared" si="33"/>
        <v>1.1463321819602093</v>
      </c>
    </row>
    <row r="124" spans="1:20" hidden="1">
      <c r="A124" s="613">
        <f t="shared" si="38"/>
        <v>1</v>
      </c>
      <c r="B124" s="613" t="s">
        <v>963</v>
      </c>
      <c r="C124" s="734">
        <f t="shared" si="31"/>
        <v>0</v>
      </c>
      <c r="D124" s="734">
        <f t="shared" ref="D124:S124" si="40">IF(INDEX(D$49:D$53,$A124)&gt;0,D15*INDEX(D$99:D$103,$A124)/INDEX(D$49:D$53,$A124),0)</f>
        <v>6.959693342521496E-2</v>
      </c>
      <c r="E124" s="734">
        <f t="shared" si="40"/>
        <v>0.47123130199113317</v>
      </c>
      <c r="F124" s="734">
        <f t="shared" si="40"/>
        <v>0</v>
      </c>
      <c r="G124" s="734">
        <f t="shared" si="40"/>
        <v>0</v>
      </c>
      <c r="H124" s="734">
        <f t="shared" si="40"/>
        <v>5.2028302246961693E-2</v>
      </c>
      <c r="I124" s="734">
        <f t="shared" si="40"/>
        <v>0.31884278454864878</v>
      </c>
      <c r="J124" s="734">
        <f t="shared" si="40"/>
        <v>9.0817640775593136E-2</v>
      </c>
      <c r="K124" s="734">
        <f t="shared" si="40"/>
        <v>0</v>
      </c>
      <c r="L124" s="734">
        <f t="shared" si="40"/>
        <v>0.18744344102520605</v>
      </c>
      <c r="M124" s="734">
        <f t="shared" si="40"/>
        <v>8.5732247717142766E-3</v>
      </c>
      <c r="N124" s="734">
        <f t="shared" si="40"/>
        <v>0</v>
      </c>
      <c r="O124" s="734">
        <f t="shared" si="40"/>
        <v>0</v>
      </c>
      <c r="P124" s="734">
        <f t="shared" si="40"/>
        <v>0</v>
      </c>
      <c r="Q124" s="734">
        <f t="shared" si="40"/>
        <v>0</v>
      </c>
      <c r="R124" s="734">
        <f t="shared" si="40"/>
        <v>0</v>
      </c>
      <c r="S124" s="734">
        <f t="shared" si="40"/>
        <v>0.32559390666164229</v>
      </c>
      <c r="T124" s="734">
        <f t="shared" si="33"/>
        <v>1.5241275354461141</v>
      </c>
    </row>
    <row r="125" spans="1:20" hidden="1">
      <c r="A125" s="613">
        <f t="shared" si="38"/>
        <v>2</v>
      </c>
      <c r="B125" s="613" t="s">
        <v>964</v>
      </c>
      <c r="C125" s="734">
        <f t="shared" si="31"/>
        <v>0</v>
      </c>
      <c r="D125" s="734">
        <f t="shared" ref="D125:S125" si="41">IF(INDEX(D$49:D$53,$A125)&gt;0,D16*INDEX(D$99:D$103,$A125)/INDEX(D$49:D$53,$A125),0)</f>
        <v>0.10208581128843032</v>
      </c>
      <c r="E125" s="734">
        <f t="shared" si="41"/>
        <v>0</v>
      </c>
      <c r="F125" s="734">
        <f t="shared" si="41"/>
        <v>0</v>
      </c>
      <c r="G125" s="734">
        <f t="shared" si="41"/>
        <v>0.37261042364427466</v>
      </c>
      <c r="H125" s="734">
        <f t="shared" si="41"/>
        <v>0</v>
      </c>
      <c r="I125" s="734">
        <f t="shared" si="41"/>
        <v>0</v>
      </c>
      <c r="J125" s="734">
        <f t="shared" si="41"/>
        <v>0</v>
      </c>
      <c r="K125" s="734">
        <f t="shared" si="41"/>
        <v>0</v>
      </c>
      <c r="L125" s="734">
        <f t="shared" si="41"/>
        <v>0.10813751860165556</v>
      </c>
      <c r="M125" s="734">
        <f t="shared" si="41"/>
        <v>0</v>
      </c>
      <c r="N125" s="734">
        <f t="shared" si="41"/>
        <v>0</v>
      </c>
      <c r="O125" s="734">
        <f t="shared" si="41"/>
        <v>0</v>
      </c>
      <c r="P125" s="734">
        <f t="shared" si="41"/>
        <v>0.28745752699104643</v>
      </c>
      <c r="Q125" s="734">
        <f t="shared" si="41"/>
        <v>0</v>
      </c>
      <c r="R125" s="734">
        <f t="shared" si="41"/>
        <v>0</v>
      </c>
      <c r="S125" s="734">
        <f t="shared" si="41"/>
        <v>0</v>
      </c>
      <c r="T125" s="734">
        <f t="shared" si="33"/>
        <v>0.87029128052540694</v>
      </c>
    </row>
    <row r="126" spans="1:20" hidden="1">
      <c r="A126" s="613">
        <f t="shared" si="38"/>
        <v>2</v>
      </c>
      <c r="B126" s="613" t="s">
        <v>965</v>
      </c>
      <c r="C126" s="734">
        <f t="shared" si="31"/>
        <v>0</v>
      </c>
      <c r="D126" s="734">
        <f t="shared" ref="D126:S126" si="42">IF(INDEX(D$49:D$53,$A126)&gt;0,D17*INDEX(D$99:D$103,$A126)/INDEX(D$49:D$53,$A126),0)</f>
        <v>0.10208581128843032</v>
      </c>
      <c r="E126" s="734">
        <f t="shared" si="42"/>
        <v>0</v>
      </c>
      <c r="F126" s="734">
        <f t="shared" si="42"/>
        <v>0</v>
      </c>
      <c r="G126" s="734">
        <f t="shared" si="42"/>
        <v>0.37261042364427466</v>
      </c>
      <c r="H126" s="734">
        <f t="shared" si="42"/>
        <v>0</v>
      </c>
      <c r="I126" s="734">
        <f t="shared" si="42"/>
        <v>0</v>
      </c>
      <c r="J126" s="734">
        <f t="shared" si="42"/>
        <v>0</v>
      </c>
      <c r="K126" s="734">
        <f t="shared" si="42"/>
        <v>0</v>
      </c>
      <c r="L126" s="734">
        <f t="shared" si="42"/>
        <v>8.1103138951241674E-2</v>
      </c>
      <c r="M126" s="734">
        <f t="shared" si="42"/>
        <v>0</v>
      </c>
      <c r="N126" s="734">
        <f t="shared" si="42"/>
        <v>0</v>
      </c>
      <c r="O126" s="734">
        <f t="shared" si="42"/>
        <v>0</v>
      </c>
      <c r="P126" s="734">
        <f t="shared" si="42"/>
        <v>0.23954793915920533</v>
      </c>
      <c r="Q126" s="734">
        <f t="shared" si="42"/>
        <v>4.3387066098637642E-2</v>
      </c>
      <c r="R126" s="734">
        <f t="shared" si="42"/>
        <v>0</v>
      </c>
      <c r="S126" s="734">
        <f t="shared" si="42"/>
        <v>0</v>
      </c>
      <c r="T126" s="734">
        <f t="shared" si="33"/>
        <v>0.83873437914178961</v>
      </c>
    </row>
    <row r="127" spans="1:20" hidden="1">
      <c r="A127" s="613">
        <f t="shared" si="38"/>
        <v>2</v>
      </c>
      <c r="B127" s="613" t="s">
        <v>412</v>
      </c>
      <c r="C127" s="734">
        <f t="shared" si="31"/>
        <v>0</v>
      </c>
      <c r="D127" s="734">
        <f t="shared" ref="D127:S127" si="43">IF(INDEX(D$49:D$53,$A127)&gt;0,D18*INDEX(D$99:D$103,$A127)/INDEX(D$49:D$53,$A127),0)</f>
        <v>0.18375446031917458</v>
      </c>
      <c r="E127" s="734">
        <f t="shared" si="43"/>
        <v>0</v>
      </c>
      <c r="F127" s="734">
        <f t="shared" si="43"/>
        <v>0</v>
      </c>
      <c r="G127" s="734">
        <f t="shared" si="43"/>
        <v>0.52165459310198448</v>
      </c>
      <c r="H127" s="734">
        <f t="shared" si="43"/>
        <v>0</v>
      </c>
      <c r="I127" s="734">
        <f t="shared" si="43"/>
        <v>0</v>
      </c>
      <c r="J127" s="734">
        <f t="shared" si="43"/>
        <v>0</v>
      </c>
      <c r="K127" s="734">
        <f t="shared" si="43"/>
        <v>0</v>
      </c>
      <c r="L127" s="734">
        <f t="shared" si="43"/>
        <v>0.10813751860165556</v>
      </c>
      <c r="M127" s="734">
        <f t="shared" si="43"/>
        <v>0</v>
      </c>
      <c r="N127" s="734">
        <f t="shared" si="43"/>
        <v>0</v>
      </c>
      <c r="O127" s="734">
        <f t="shared" si="43"/>
        <v>0</v>
      </c>
      <c r="P127" s="734">
        <f t="shared" si="43"/>
        <v>0</v>
      </c>
      <c r="Q127" s="734">
        <f t="shared" si="43"/>
        <v>0</v>
      </c>
      <c r="R127" s="734">
        <f t="shared" si="43"/>
        <v>0</v>
      </c>
      <c r="S127" s="734">
        <f t="shared" si="43"/>
        <v>0</v>
      </c>
      <c r="T127" s="734">
        <f t="shared" si="33"/>
        <v>0.81354657202281455</v>
      </c>
    </row>
    <row r="128" spans="1:20" hidden="1">
      <c r="A128" s="613">
        <f t="shared" si="38"/>
        <v>2</v>
      </c>
      <c r="B128" s="613" t="s">
        <v>362</v>
      </c>
      <c r="C128" s="734">
        <f t="shared" si="31"/>
        <v>0.18101459194854697</v>
      </c>
      <c r="D128" s="734">
        <f t="shared" ref="D128:S128" si="44">IF(INDEX(D$49:D$53,$A128)&gt;0,D19*INDEX(D$99:D$103,$A128)/INDEX(D$49:D$53,$A128),0)</f>
        <v>0.22458878483454675</v>
      </c>
      <c r="E128" s="734">
        <f t="shared" si="44"/>
        <v>0</v>
      </c>
      <c r="F128" s="734">
        <f t="shared" si="44"/>
        <v>0</v>
      </c>
      <c r="G128" s="734">
        <f t="shared" si="44"/>
        <v>0.14904416945770987</v>
      </c>
      <c r="H128" s="734">
        <f t="shared" si="44"/>
        <v>0</v>
      </c>
      <c r="I128" s="734">
        <f t="shared" si="44"/>
        <v>0</v>
      </c>
      <c r="J128" s="734">
        <f t="shared" si="44"/>
        <v>0</v>
      </c>
      <c r="K128" s="734">
        <f t="shared" si="44"/>
        <v>0</v>
      </c>
      <c r="L128" s="734">
        <f t="shared" si="44"/>
        <v>9.1916890811407234E-2</v>
      </c>
      <c r="M128" s="734">
        <f t="shared" si="44"/>
        <v>0</v>
      </c>
      <c r="N128" s="734">
        <f t="shared" si="44"/>
        <v>0</v>
      </c>
      <c r="O128" s="734">
        <f t="shared" si="44"/>
        <v>0</v>
      </c>
      <c r="P128" s="734">
        <f t="shared" si="44"/>
        <v>0</v>
      </c>
      <c r="Q128" s="734">
        <f t="shared" si="44"/>
        <v>0</v>
      </c>
      <c r="R128" s="734">
        <f t="shared" si="44"/>
        <v>0</v>
      </c>
      <c r="S128" s="734">
        <f t="shared" si="44"/>
        <v>0</v>
      </c>
      <c r="T128" s="734">
        <f t="shared" si="33"/>
        <v>0.64656443705221078</v>
      </c>
    </row>
    <row r="129" spans="1:23" hidden="1">
      <c r="A129" s="613">
        <f t="shared" si="38"/>
        <v>2</v>
      </c>
      <c r="B129" s="613" t="s">
        <v>364</v>
      </c>
      <c r="C129" s="734">
        <f t="shared" si="31"/>
        <v>0.25140915548409304</v>
      </c>
      <c r="D129" s="734">
        <f t="shared" ref="D129:S129" si="45">IF(INDEX(D$49:D$53,$A129)&gt;0,D20*INDEX(D$99:D$103,$A129)/INDEX(D$49:D$53,$A129),0)</f>
        <v>0.16333729806148856</v>
      </c>
      <c r="E129" s="734">
        <f t="shared" si="45"/>
        <v>0</v>
      </c>
      <c r="F129" s="734">
        <f t="shared" si="45"/>
        <v>0</v>
      </c>
      <c r="G129" s="734">
        <f t="shared" si="45"/>
        <v>0.14904416945770987</v>
      </c>
      <c r="H129" s="734">
        <f t="shared" si="45"/>
        <v>0</v>
      </c>
      <c r="I129" s="734">
        <f t="shared" si="45"/>
        <v>0</v>
      </c>
      <c r="J129" s="734">
        <f t="shared" si="45"/>
        <v>0</v>
      </c>
      <c r="K129" s="734">
        <f t="shared" si="45"/>
        <v>0</v>
      </c>
      <c r="L129" s="734">
        <f t="shared" si="45"/>
        <v>0.13517189825206946</v>
      </c>
      <c r="M129" s="734">
        <f t="shared" si="45"/>
        <v>0</v>
      </c>
      <c r="N129" s="734">
        <f t="shared" si="45"/>
        <v>0</v>
      </c>
      <c r="O129" s="734">
        <f t="shared" si="45"/>
        <v>0</v>
      </c>
      <c r="P129" s="734">
        <f t="shared" si="45"/>
        <v>0</v>
      </c>
      <c r="Q129" s="734">
        <f t="shared" si="45"/>
        <v>0</v>
      </c>
      <c r="R129" s="734">
        <f t="shared" si="45"/>
        <v>0</v>
      </c>
      <c r="S129" s="734">
        <f t="shared" si="45"/>
        <v>0</v>
      </c>
      <c r="T129" s="734">
        <f t="shared" si="33"/>
        <v>0.69896252125536085</v>
      </c>
    </row>
    <row r="130" spans="1:23" hidden="1">
      <c r="A130" s="613">
        <f t="shared" si="38"/>
        <v>2</v>
      </c>
      <c r="B130" s="613" t="s">
        <v>966</v>
      </c>
      <c r="C130" s="734">
        <f t="shared" si="31"/>
        <v>0.96541115705891711</v>
      </c>
      <c r="D130" s="734">
        <f t="shared" ref="D130:S130" si="46">IF(INDEX(D$49:D$53,$A130)&gt;0,D21*INDEX(D$99:D$103,$A130)/INDEX(D$49:D$53,$A130),0)</f>
        <v>0</v>
      </c>
      <c r="E130" s="734">
        <f t="shared" si="46"/>
        <v>0.22172840429428434</v>
      </c>
      <c r="F130" s="734">
        <f t="shared" si="46"/>
        <v>0</v>
      </c>
      <c r="G130" s="734">
        <f t="shared" si="46"/>
        <v>0</v>
      </c>
      <c r="H130" s="734">
        <f t="shared" si="46"/>
        <v>0</v>
      </c>
      <c r="I130" s="734">
        <f t="shared" si="46"/>
        <v>0</v>
      </c>
      <c r="J130" s="734">
        <f t="shared" si="46"/>
        <v>0</v>
      </c>
      <c r="K130" s="734">
        <f t="shared" si="46"/>
        <v>0</v>
      </c>
      <c r="L130" s="734">
        <f t="shared" si="46"/>
        <v>0</v>
      </c>
      <c r="M130" s="734">
        <f t="shared" si="46"/>
        <v>8.8024839633781313E-2</v>
      </c>
      <c r="N130" s="734">
        <f t="shared" si="46"/>
        <v>0</v>
      </c>
      <c r="O130" s="734">
        <f t="shared" si="46"/>
        <v>0</v>
      </c>
      <c r="P130" s="734">
        <f t="shared" si="46"/>
        <v>0</v>
      </c>
      <c r="Q130" s="734">
        <f t="shared" si="46"/>
        <v>0</v>
      </c>
      <c r="R130" s="734">
        <f t="shared" si="46"/>
        <v>0</v>
      </c>
      <c r="S130" s="734">
        <f t="shared" si="46"/>
        <v>0</v>
      </c>
      <c r="T130" s="734">
        <f t="shared" si="33"/>
        <v>1.2751644009869827</v>
      </c>
      <c r="W130" s="730"/>
    </row>
    <row r="131" spans="1:23" hidden="1">
      <c r="A131" s="613">
        <f t="shared" si="38"/>
        <v>2</v>
      </c>
      <c r="B131" s="613" t="s">
        <v>967</v>
      </c>
      <c r="C131" s="734">
        <f t="shared" si="31"/>
        <v>0</v>
      </c>
      <c r="D131" s="734">
        <f t="shared" ref="D131:S131" si="47">IF(INDEX(D$49:D$53,$A131)&gt;0,D22*INDEX(D$99:D$103,$A131)/INDEX(D$49:D$53,$A131),0)</f>
        <v>6.1251486773058188E-2</v>
      </c>
      <c r="E131" s="734">
        <f t="shared" si="47"/>
        <v>0.55432101073571094</v>
      </c>
      <c r="F131" s="734">
        <f t="shared" si="47"/>
        <v>0</v>
      </c>
      <c r="G131" s="734">
        <f t="shared" si="47"/>
        <v>0.22356625418656478</v>
      </c>
      <c r="H131" s="734">
        <f t="shared" si="47"/>
        <v>0.97935625542870508</v>
      </c>
      <c r="I131" s="734">
        <f t="shared" si="47"/>
        <v>0</v>
      </c>
      <c r="J131" s="734">
        <f t="shared" si="47"/>
        <v>0</v>
      </c>
      <c r="K131" s="734">
        <f t="shared" si="47"/>
        <v>2.1903852993223814E-2</v>
      </c>
      <c r="L131" s="734">
        <f t="shared" si="47"/>
        <v>8.1103138951241674E-2</v>
      </c>
      <c r="M131" s="734">
        <f t="shared" si="47"/>
        <v>0.44012419816890658</v>
      </c>
      <c r="N131" s="734">
        <f t="shared" si="47"/>
        <v>0</v>
      </c>
      <c r="O131" s="734">
        <f t="shared" si="47"/>
        <v>0</v>
      </c>
      <c r="P131" s="734">
        <f t="shared" si="47"/>
        <v>9.5819175663682133E-3</v>
      </c>
      <c r="Q131" s="734">
        <f t="shared" si="47"/>
        <v>2.6032239659182582E-2</v>
      </c>
      <c r="R131" s="734">
        <f t="shared" si="47"/>
        <v>0</v>
      </c>
      <c r="S131" s="734">
        <f t="shared" si="47"/>
        <v>3.065432509856433</v>
      </c>
      <c r="T131" s="734">
        <f t="shared" si="33"/>
        <v>5.4626728643193951</v>
      </c>
      <c r="W131" s="730"/>
    </row>
    <row r="132" spans="1:23" hidden="1">
      <c r="A132" s="613">
        <f t="shared" si="38"/>
        <v>3</v>
      </c>
      <c r="B132" s="613" t="s">
        <v>259</v>
      </c>
      <c r="C132" s="734">
        <f t="shared" si="31"/>
        <v>0.8</v>
      </c>
      <c r="D132" s="734">
        <f t="shared" ref="D132:S132" si="48">IF(INDEX(D$49:D$53,$A132)&gt;0,D23*INDEX(D$99:D$103,$A132)/INDEX(D$49:D$53,$A132),0)</f>
        <v>2.1247150524705085E-3</v>
      </c>
      <c r="E132" s="734">
        <f t="shared" si="48"/>
        <v>0</v>
      </c>
      <c r="F132" s="734">
        <f t="shared" si="48"/>
        <v>0</v>
      </c>
      <c r="G132" s="734">
        <f t="shared" si="48"/>
        <v>0</v>
      </c>
      <c r="H132" s="734">
        <f t="shared" si="48"/>
        <v>0</v>
      </c>
      <c r="I132" s="734">
        <f t="shared" si="48"/>
        <v>0</v>
      </c>
      <c r="J132" s="734">
        <f t="shared" si="48"/>
        <v>0</v>
      </c>
      <c r="K132" s="734">
        <f t="shared" si="48"/>
        <v>0</v>
      </c>
      <c r="L132" s="734">
        <f t="shared" si="48"/>
        <v>1.9409471946202062E-2</v>
      </c>
      <c r="M132" s="734">
        <f t="shared" si="48"/>
        <v>0</v>
      </c>
      <c r="N132" s="734">
        <f t="shared" si="48"/>
        <v>0</v>
      </c>
      <c r="O132" s="734">
        <f t="shared" si="48"/>
        <v>0</v>
      </c>
      <c r="P132" s="734">
        <f t="shared" si="48"/>
        <v>0</v>
      </c>
      <c r="Q132" s="734">
        <f t="shared" si="48"/>
        <v>0</v>
      </c>
      <c r="R132" s="734">
        <f t="shared" si="48"/>
        <v>0</v>
      </c>
      <c r="S132" s="734">
        <f t="shared" si="48"/>
        <v>0</v>
      </c>
      <c r="T132" s="734">
        <f t="shared" si="33"/>
        <v>0.82153418699867253</v>
      </c>
      <c r="W132" s="730"/>
    </row>
    <row r="133" spans="1:23" hidden="1">
      <c r="A133" s="613">
        <f t="shared" si="38"/>
        <v>3</v>
      </c>
      <c r="B133" s="613" t="s">
        <v>370</v>
      </c>
      <c r="C133" s="734">
        <f t="shared" si="31"/>
        <v>0.55000000000000004</v>
      </c>
      <c r="D133" s="734">
        <f t="shared" ref="D133:S133" si="49">IF(INDEX(D$49:D$53,$A133)&gt;0,D24*INDEX(D$99:D$103,$A133)/INDEX(D$49:D$53,$A133),0)</f>
        <v>3.5411917541175145E-3</v>
      </c>
      <c r="E133" s="734">
        <f t="shared" si="49"/>
        <v>0</v>
      </c>
      <c r="F133" s="734">
        <f t="shared" si="49"/>
        <v>0</v>
      </c>
      <c r="G133" s="734">
        <f t="shared" si="49"/>
        <v>0</v>
      </c>
      <c r="H133" s="734">
        <f t="shared" si="49"/>
        <v>0</v>
      </c>
      <c r="I133" s="734">
        <f t="shared" si="49"/>
        <v>0</v>
      </c>
      <c r="J133" s="734">
        <f t="shared" si="49"/>
        <v>0</v>
      </c>
      <c r="K133" s="734">
        <f t="shared" si="49"/>
        <v>0</v>
      </c>
      <c r="L133" s="734">
        <f t="shared" si="49"/>
        <v>9.7047359731010308E-2</v>
      </c>
      <c r="M133" s="734">
        <f t="shared" si="49"/>
        <v>0</v>
      </c>
      <c r="N133" s="734">
        <f t="shared" si="49"/>
        <v>0</v>
      </c>
      <c r="O133" s="734">
        <f t="shared" si="49"/>
        <v>0</v>
      </c>
      <c r="P133" s="734">
        <f t="shared" si="49"/>
        <v>0</v>
      </c>
      <c r="Q133" s="734">
        <f t="shared" si="49"/>
        <v>0</v>
      </c>
      <c r="R133" s="734">
        <f t="shared" si="49"/>
        <v>0</v>
      </c>
      <c r="S133" s="734">
        <f t="shared" si="49"/>
        <v>0</v>
      </c>
      <c r="T133" s="734">
        <f t="shared" si="33"/>
        <v>0.65058855148512784</v>
      </c>
      <c r="W133" s="730"/>
    </row>
    <row r="134" spans="1:23" hidden="1">
      <c r="A134" s="613">
        <f t="shared" si="38"/>
        <v>3</v>
      </c>
      <c r="B134" s="613" t="s">
        <v>417</v>
      </c>
      <c r="C134" s="734">
        <f t="shared" si="31"/>
        <v>0.9</v>
      </c>
      <c r="D134" s="734">
        <f t="shared" ref="D134:S134" si="50">IF(INDEX(D$49:D$53,$A134)&gt;0,D25*INDEX(D$99:D$103,$A134)/INDEX(D$49:D$53,$A134),0)</f>
        <v>1.7705958770587572E-3</v>
      </c>
      <c r="E134" s="734">
        <f t="shared" si="50"/>
        <v>0</v>
      </c>
      <c r="F134" s="734">
        <f t="shared" si="50"/>
        <v>0</v>
      </c>
      <c r="G134" s="734">
        <f t="shared" si="50"/>
        <v>0</v>
      </c>
      <c r="H134" s="734">
        <f t="shared" si="50"/>
        <v>0</v>
      </c>
      <c r="I134" s="734">
        <f t="shared" si="50"/>
        <v>0</v>
      </c>
      <c r="J134" s="734">
        <f t="shared" si="50"/>
        <v>0</v>
      </c>
      <c r="K134" s="734">
        <f t="shared" si="50"/>
        <v>0</v>
      </c>
      <c r="L134" s="734">
        <f t="shared" si="50"/>
        <v>2.4261839932752577E-2</v>
      </c>
      <c r="M134" s="734">
        <f t="shared" si="50"/>
        <v>0</v>
      </c>
      <c r="N134" s="734">
        <f t="shared" si="50"/>
        <v>0</v>
      </c>
      <c r="O134" s="734">
        <f t="shared" si="50"/>
        <v>0</v>
      </c>
      <c r="P134" s="734">
        <f t="shared" si="50"/>
        <v>0</v>
      </c>
      <c r="Q134" s="734">
        <f t="shared" si="50"/>
        <v>0</v>
      </c>
      <c r="R134" s="734">
        <f t="shared" si="50"/>
        <v>0</v>
      </c>
      <c r="S134" s="734">
        <f t="shared" si="50"/>
        <v>0</v>
      </c>
      <c r="T134" s="734">
        <f t="shared" si="33"/>
        <v>0.92603243580981132</v>
      </c>
      <c r="W134" s="730"/>
    </row>
    <row r="135" spans="1:23" hidden="1">
      <c r="A135" s="613">
        <f t="shared" si="38"/>
        <v>3</v>
      </c>
      <c r="B135" s="613" t="s">
        <v>418</v>
      </c>
      <c r="C135" s="734">
        <f t="shared" si="31"/>
        <v>0.3</v>
      </c>
      <c r="D135" s="734">
        <f t="shared" ref="D135:S135" si="51">IF(INDEX(D$49:D$53,$A135)&gt;0,D26*INDEX(D$99:D$103,$A135)/INDEX(D$49:D$53,$A135),0)</f>
        <v>1.2394171139411299E-2</v>
      </c>
      <c r="E135" s="734">
        <f t="shared" si="51"/>
        <v>0.10764527880525186</v>
      </c>
      <c r="F135" s="734">
        <f t="shared" si="51"/>
        <v>0</v>
      </c>
      <c r="G135" s="734">
        <f t="shared" si="51"/>
        <v>0</v>
      </c>
      <c r="H135" s="734">
        <f t="shared" si="51"/>
        <v>0</v>
      </c>
      <c r="I135" s="734">
        <f t="shared" si="51"/>
        <v>0</v>
      </c>
      <c r="J135" s="734">
        <f t="shared" si="51"/>
        <v>0</v>
      </c>
      <c r="K135" s="734">
        <f t="shared" si="51"/>
        <v>0</v>
      </c>
      <c r="L135" s="734">
        <f t="shared" si="51"/>
        <v>0.12130919966376288</v>
      </c>
      <c r="M135" s="734">
        <f t="shared" si="51"/>
        <v>0</v>
      </c>
      <c r="N135" s="734">
        <f t="shared" si="51"/>
        <v>0</v>
      </c>
      <c r="O135" s="734">
        <f t="shared" si="51"/>
        <v>0</v>
      </c>
      <c r="P135" s="734">
        <f t="shared" si="51"/>
        <v>0</v>
      </c>
      <c r="Q135" s="734">
        <f t="shared" si="51"/>
        <v>0</v>
      </c>
      <c r="R135" s="734">
        <f t="shared" si="51"/>
        <v>0</v>
      </c>
      <c r="S135" s="734">
        <f t="shared" si="51"/>
        <v>0</v>
      </c>
      <c r="T135" s="734">
        <f t="shared" si="33"/>
        <v>0.5413486496084261</v>
      </c>
      <c r="W135" s="730"/>
    </row>
    <row r="136" spans="1:23" hidden="1">
      <c r="A136" s="613">
        <f t="shared" si="38"/>
        <v>3</v>
      </c>
      <c r="B136" s="613" t="s">
        <v>968</v>
      </c>
      <c r="C136" s="734">
        <f t="shared" si="31"/>
        <v>0.96999999999999986</v>
      </c>
      <c r="D136" s="734">
        <f t="shared" ref="D136:S136" si="52">IF(INDEX(D$49:D$53,$A136)&gt;0,D27*INDEX(D$99:D$103,$A136)/INDEX(D$49:D$53,$A136),0)</f>
        <v>0</v>
      </c>
      <c r="E136" s="734">
        <f t="shared" si="52"/>
        <v>6.4587167283151128E-2</v>
      </c>
      <c r="F136" s="734">
        <f t="shared" si="52"/>
        <v>0</v>
      </c>
      <c r="G136" s="734">
        <f t="shared" si="52"/>
        <v>0</v>
      </c>
      <c r="H136" s="734">
        <f t="shared" si="52"/>
        <v>0</v>
      </c>
      <c r="I136" s="734">
        <f t="shared" si="52"/>
        <v>0</v>
      </c>
      <c r="J136" s="734">
        <f t="shared" si="52"/>
        <v>0</v>
      </c>
      <c r="K136" s="734">
        <f t="shared" si="52"/>
        <v>0</v>
      </c>
      <c r="L136" s="734">
        <f t="shared" si="52"/>
        <v>0</v>
      </c>
      <c r="M136" s="734">
        <f t="shared" si="52"/>
        <v>0</v>
      </c>
      <c r="N136" s="734">
        <f t="shared" si="52"/>
        <v>0</v>
      </c>
      <c r="O136" s="734">
        <f t="shared" si="52"/>
        <v>0</v>
      </c>
      <c r="P136" s="734">
        <f t="shared" si="52"/>
        <v>0</v>
      </c>
      <c r="Q136" s="734">
        <f t="shared" si="52"/>
        <v>0</v>
      </c>
      <c r="R136" s="734">
        <f t="shared" si="52"/>
        <v>0</v>
      </c>
      <c r="S136" s="734">
        <f t="shared" si="52"/>
        <v>0</v>
      </c>
      <c r="T136" s="734">
        <f t="shared" si="33"/>
        <v>1.034587167283151</v>
      </c>
      <c r="W136" s="730"/>
    </row>
    <row r="137" spans="1:23" hidden="1">
      <c r="A137" s="613">
        <f t="shared" si="38"/>
        <v>3</v>
      </c>
      <c r="B137" s="613" t="s">
        <v>969</v>
      </c>
      <c r="C137" s="734">
        <f t="shared" si="31"/>
        <v>0</v>
      </c>
      <c r="D137" s="734">
        <f t="shared" ref="D137:S137" si="53">IF(INDEX(D$49:D$53,$A137)&gt;0,D28*INDEX(D$99:D$103,$A137)/INDEX(D$49:D$53,$A137),0)</f>
        <v>1.0623575262352542E-2</v>
      </c>
      <c r="E137" s="734">
        <f t="shared" si="53"/>
        <v>0.10764527880525186</v>
      </c>
      <c r="F137" s="734">
        <f t="shared" si="53"/>
        <v>0</v>
      </c>
      <c r="G137" s="734">
        <f t="shared" si="53"/>
        <v>0</v>
      </c>
      <c r="H137" s="734">
        <f t="shared" si="53"/>
        <v>0</v>
      </c>
      <c r="I137" s="734">
        <f t="shared" si="53"/>
        <v>0</v>
      </c>
      <c r="J137" s="734">
        <f t="shared" si="53"/>
        <v>0</v>
      </c>
      <c r="K137" s="734">
        <f t="shared" si="53"/>
        <v>0</v>
      </c>
      <c r="L137" s="734">
        <f t="shared" si="53"/>
        <v>5.8228415838606183E-2</v>
      </c>
      <c r="M137" s="734">
        <f t="shared" si="53"/>
        <v>0.10911787238634121</v>
      </c>
      <c r="N137" s="734">
        <f t="shared" si="53"/>
        <v>0</v>
      </c>
      <c r="O137" s="734">
        <f t="shared" si="53"/>
        <v>0</v>
      </c>
      <c r="P137" s="734">
        <f t="shared" si="53"/>
        <v>0</v>
      </c>
      <c r="Q137" s="734">
        <f t="shared" si="53"/>
        <v>0.12793317461083833</v>
      </c>
      <c r="R137" s="734">
        <f t="shared" si="53"/>
        <v>0</v>
      </c>
      <c r="S137" s="734">
        <f t="shared" si="53"/>
        <v>1.0609189893434146</v>
      </c>
      <c r="T137" s="734">
        <f t="shared" si="33"/>
        <v>1.4744673062468046</v>
      </c>
    </row>
    <row r="138" spans="1:23" hidden="1">
      <c r="A138" s="613">
        <f t="shared" si="38"/>
        <v>4</v>
      </c>
      <c r="B138" s="613" t="s">
        <v>360</v>
      </c>
      <c r="C138" s="734">
        <f t="shared" si="31"/>
        <v>0.1</v>
      </c>
      <c r="D138" s="734">
        <f t="shared" ref="D138:S138" si="54">IF(INDEX(D$49:D$53,$A138)&gt;0,D29*INDEX(D$99:D$103,$A138)/INDEX(D$49:D$53,$A138),0)</f>
        <v>8.4339511212211359E-3</v>
      </c>
      <c r="E138" s="734">
        <f t="shared" si="54"/>
        <v>-6.8018597287408927E-3</v>
      </c>
      <c r="F138" s="734">
        <f t="shared" si="54"/>
        <v>0</v>
      </c>
      <c r="G138" s="734">
        <f t="shared" si="54"/>
        <v>0</v>
      </c>
      <c r="H138" s="734">
        <f t="shared" si="54"/>
        <v>0</v>
      </c>
      <c r="I138" s="734">
        <f t="shared" si="54"/>
        <v>0</v>
      </c>
      <c r="J138" s="734">
        <f t="shared" si="54"/>
        <v>0</v>
      </c>
      <c r="K138" s="734">
        <f t="shared" si="54"/>
        <v>0</v>
      </c>
      <c r="L138" s="734">
        <f t="shared" si="54"/>
        <v>2.5576407980278715E-2</v>
      </c>
      <c r="M138" s="734">
        <f t="shared" si="54"/>
        <v>6.2382273351462569E-3</v>
      </c>
      <c r="N138" s="734">
        <f t="shared" si="54"/>
        <v>0.35855988188334059</v>
      </c>
      <c r="O138" s="734">
        <f t="shared" si="54"/>
        <v>0</v>
      </c>
      <c r="P138" s="734">
        <f t="shared" si="54"/>
        <v>0</v>
      </c>
      <c r="Q138" s="734">
        <f t="shared" si="54"/>
        <v>0</v>
      </c>
      <c r="R138" s="734">
        <f t="shared" si="54"/>
        <v>0</v>
      </c>
      <c r="S138" s="734">
        <f t="shared" si="54"/>
        <v>0</v>
      </c>
      <c r="T138" s="734">
        <f t="shared" si="33"/>
        <v>0.49200660859124579</v>
      </c>
    </row>
    <row r="139" spans="1:23" hidden="1">
      <c r="A139" s="613">
        <f t="shared" si="38"/>
        <v>4</v>
      </c>
      <c r="B139" s="613" t="s">
        <v>972</v>
      </c>
      <c r="C139" s="734">
        <f t="shared" si="31"/>
        <v>0.1</v>
      </c>
      <c r="D139" s="734">
        <f t="shared" ref="D139:S139" si="55">IF(INDEX(D$49:D$53,$A139)&gt;0,D30*INDEX(D$99:D$103,$A139)/INDEX(D$49:D$53,$A139),0)</f>
        <v>6.3254633409158519E-3</v>
      </c>
      <c r="E139" s="734">
        <f t="shared" si="55"/>
        <v>-6.8018597287408927E-3</v>
      </c>
      <c r="F139" s="734">
        <f t="shared" si="55"/>
        <v>0</v>
      </c>
      <c r="G139" s="734">
        <f t="shared" si="55"/>
        <v>0</v>
      </c>
      <c r="H139" s="734">
        <f t="shared" si="55"/>
        <v>0</v>
      </c>
      <c r="I139" s="734">
        <f t="shared" si="55"/>
        <v>0</v>
      </c>
      <c r="J139" s="734">
        <f t="shared" si="55"/>
        <v>0</v>
      </c>
      <c r="K139" s="734">
        <f t="shared" si="55"/>
        <v>0</v>
      </c>
      <c r="L139" s="734">
        <f t="shared" si="55"/>
        <v>2.5576407980278715E-2</v>
      </c>
      <c r="M139" s="734">
        <f t="shared" si="55"/>
        <v>6.2382273351462569E-3</v>
      </c>
      <c r="N139" s="734">
        <f t="shared" si="55"/>
        <v>0.71711976376668118</v>
      </c>
      <c r="O139" s="734">
        <f t="shared" si="55"/>
        <v>0</v>
      </c>
      <c r="P139" s="734">
        <f t="shared" si="55"/>
        <v>0</v>
      </c>
      <c r="Q139" s="734">
        <f t="shared" si="55"/>
        <v>0</v>
      </c>
      <c r="R139" s="734">
        <f t="shared" si="55"/>
        <v>0</v>
      </c>
      <c r="S139" s="734">
        <f t="shared" si="55"/>
        <v>0</v>
      </c>
      <c r="T139" s="734">
        <f t="shared" si="33"/>
        <v>0.84845800269428118</v>
      </c>
    </row>
    <row r="140" spans="1:23" hidden="1">
      <c r="A140" s="613">
        <f t="shared" si="38"/>
        <v>4</v>
      </c>
      <c r="B140" s="613" t="s">
        <v>358</v>
      </c>
      <c r="C140" s="734">
        <f t="shared" si="31"/>
        <v>0.1</v>
      </c>
      <c r="D140" s="734">
        <f t="shared" ref="D140:S140" si="56">IF(INDEX(D$49:D$53,$A140)&gt;0,D31*INDEX(D$99:D$103,$A140)/INDEX(D$49:D$53,$A140),0)</f>
        <v>3.1627316704579259E-2</v>
      </c>
      <c r="E140" s="734">
        <f t="shared" si="56"/>
        <v>0</v>
      </c>
      <c r="F140" s="734">
        <f t="shared" si="56"/>
        <v>0</v>
      </c>
      <c r="G140" s="734">
        <f t="shared" si="56"/>
        <v>0</v>
      </c>
      <c r="H140" s="734">
        <f t="shared" si="56"/>
        <v>0</v>
      </c>
      <c r="I140" s="734">
        <f t="shared" si="56"/>
        <v>0</v>
      </c>
      <c r="J140" s="734">
        <f t="shared" si="56"/>
        <v>0</v>
      </c>
      <c r="K140" s="734">
        <f t="shared" si="56"/>
        <v>0</v>
      </c>
      <c r="L140" s="734">
        <f t="shared" si="56"/>
        <v>0</v>
      </c>
      <c r="M140" s="734">
        <f t="shared" si="56"/>
        <v>0</v>
      </c>
      <c r="N140" s="734">
        <f t="shared" si="56"/>
        <v>0</v>
      </c>
      <c r="O140" s="734">
        <f t="shared" si="56"/>
        <v>0</v>
      </c>
      <c r="P140" s="734">
        <f t="shared" si="56"/>
        <v>0</v>
      </c>
      <c r="Q140" s="734">
        <f t="shared" si="56"/>
        <v>0</v>
      </c>
      <c r="R140" s="734">
        <f t="shared" si="56"/>
        <v>0</v>
      </c>
      <c r="S140" s="734">
        <f t="shared" si="56"/>
        <v>0</v>
      </c>
      <c r="T140" s="734">
        <f t="shared" si="33"/>
        <v>0.13162731670457928</v>
      </c>
    </row>
    <row r="141" spans="1:23" hidden="1">
      <c r="A141" s="613">
        <f t="shared" si="38"/>
        <v>4</v>
      </c>
      <c r="B141" s="613" t="s">
        <v>540</v>
      </c>
      <c r="C141" s="734">
        <f t="shared" si="31"/>
        <v>1</v>
      </c>
      <c r="D141" s="734">
        <f t="shared" ref="D141:S141" si="57">IF(INDEX(D$49:D$53,$A141)&gt;0,D32*INDEX(D$99:D$103,$A141)/INDEX(D$49:D$53,$A141),0)</f>
        <v>0</v>
      </c>
      <c r="E141" s="734">
        <f t="shared" si="57"/>
        <v>0</v>
      </c>
      <c r="F141" s="734">
        <f t="shared" si="57"/>
        <v>0</v>
      </c>
      <c r="G141" s="734">
        <f t="shared" si="57"/>
        <v>0</v>
      </c>
      <c r="H141" s="734">
        <f t="shared" si="57"/>
        <v>0</v>
      </c>
      <c r="I141" s="734">
        <f t="shared" si="57"/>
        <v>0</v>
      </c>
      <c r="J141" s="734">
        <f t="shared" si="57"/>
        <v>0</v>
      </c>
      <c r="K141" s="734">
        <f t="shared" si="57"/>
        <v>0</v>
      </c>
      <c r="L141" s="734">
        <f t="shared" si="57"/>
        <v>0</v>
      </c>
      <c r="M141" s="734">
        <f t="shared" si="57"/>
        <v>0</v>
      </c>
      <c r="N141" s="734">
        <f t="shared" si="57"/>
        <v>0</v>
      </c>
      <c r="O141" s="734">
        <f t="shared" si="57"/>
        <v>0</v>
      </c>
      <c r="P141" s="734">
        <f t="shared" si="57"/>
        <v>0</v>
      </c>
      <c r="Q141" s="734">
        <f t="shared" si="57"/>
        <v>0</v>
      </c>
      <c r="R141" s="734">
        <f t="shared" si="57"/>
        <v>0</v>
      </c>
      <c r="S141" s="734">
        <f t="shared" si="57"/>
        <v>0</v>
      </c>
      <c r="T141" s="734">
        <f t="shared" si="33"/>
        <v>1</v>
      </c>
    </row>
    <row r="142" spans="1:23" hidden="1">
      <c r="A142" s="613">
        <f t="shared" si="38"/>
        <v>4</v>
      </c>
      <c r="B142" s="613" t="s">
        <v>354</v>
      </c>
      <c r="C142" s="734">
        <f t="shared" si="31"/>
        <v>0.1</v>
      </c>
      <c r="D142" s="734">
        <f t="shared" ref="D142:S142" si="58">IF(INDEX(D$49:D$53,$A142)&gt;0,D33*INDEX(D$99:D$103,$A142)/INDEX(D$49:D$53,$A142),0)</f>
        <v>3.5844292265189828E-2</v>
      </c>
      <c r="E142" s="734">
        <f t="shared" si="58"/>
        <v>0</v>
      </c>
      <c r="F142" s="734">
        <f t="shared" si="58"/>
        <v>0</v>
      </c>
      <c r="G142" s="734">
        <f t="shared" si="58"/>
        <v>0</v>
      </c>
      <c r="H142" s="734">
        <f t="shared" si="58"/>
        <v>0</v>
      </c>
      <c r="I142" s="734">
        <f t="shared" si="58"/>
        <v>0</v>
      </c>
      <c r="J142" s="734">
        <f t="shared" si="58"/>
        <v>0</v>
      </c>
      <c r="K142" s="734">
        <f t="shared" si="58"/>
        <v>0</v>
      </c>
      <c r="L142" s="734">
        <f t="shared" si="58"/>
        <v>0</v>
      </c>
      <c r="M142" s="734">
        <f t="shared" si="58"/>
        <v>0</v>
      </c>
      <c r="N142" s="734">
        <f t="shared" si="58"/>
        <v>0</v>
      </c>
      <c r="O142" s="734">
        <f t="shared" si="58"/>
        <v>0</v>
      </c>
      <c r="P142" s="734">
        <f t="shared" si="58"/>
        <v>0</v>
      </c>
      <c r="Q142" s="734">
        <f t="shared" si="58"/>
        <v>0</v>
      </c>
      <c r="R142" s="734">
        <f t="shared" si="58"/>
        <v>0</v>
      </c>
      <c r="S142" s="734">
        <f t="shared" si="58"/>
        <v>0</v>
      </c>
      <c r="T142" s="734">
        <f t="shared" si="33"/>
        <v>0.13584429226518985</v>
      </c>
    </row>
    <row r="143" spans="1:23" hidden="1">
      <c r="A143" s="613">
        <f t="shared" si="38"/>
        <v>4</v>
      </c>
      <c r="B143" s="613" t="s">
        <v>535</v>
      </c>
      <c r="C143" s="734">
        <f t="shared" si="31"/>
        <v>0.4</v>
      </c>
      <c r="D143" s="734">
        <f t="shared" ref="D143:S143" si="59">IF(INDEX(D$49:D$53,$A143)&gt;0,D34*INDEX(D$99:D$103,$A143)/INDEX(D$49:D$53,$A143),0)</f>
        <v>1.0542438901526419E-2</v>
      </c>
      <c r="E143" s="734">
        <f t="shared" si="59"/>
        <v>-6.8018597287408927E-3</v>
      </c>
      <c r="F143" s="734">
        <f t="shared" si="59"/>
        <v>0</v>
      </c>
      <c r="G143" s="734">
        <f t="shared" si="59"/>
        <v>0</v>
      </c>
      <c r="H143" s="734">
        <f t="shared" si="59"/>
        <v>0</v>
      </c>
      <c r="I143" s="734">
        <f t="shared" si="59"/>
        <v>0</v>
      </c>
      <c r="J143" s="734">
        <f t="shared" si="59"/>
        <v>0</v>
      </c>
      <c r="K143" s="734">
        <f t="shared" si="59"/>
        <v>0</v>
      </c>
      <c r="L143" s="734">
        <f t="shared" si="59"/>
        <v>7.1613942344780412E-2</v>
      </c>
      <c r="M143" s="734">
        <f t="shared" si="59"/>
        <v>6.2382273351462569E-3</v>
      </c>
      <c r="N143" s="734">
        <f t="shared" si="59"/>
        <v>0.50198383463667684</v>
      </c>
      <c r="O143" s="734">
        <f t="shared" si="59"/>
        <v>0</v>
      </c>
      <c r="P143" s="734">
        <f t="shared" si="59"/>
        <v>0</v>
      </c>
      <c r="Q143" s="734">
        <f t="shared" si="59"/>
        <v>0</v>
      </c>
      <c r="R143" s="734">
        <f t="shared" si="59"/>
        <v>0</v>
      </c>
      <c r="S143" s="734">
        <f t="shared" si="59"/>
        <v>0</v>
      </c>
      <c r="T143" s="734">
        <f t="shared" si="33"/>
        <v>0.98357658348938903</v>
      </c>
    </row>
    <row r="144" spans="1:23" hidden="1">
      <c r="A144" s="613">
        <f t="shared" si="38"/>
        <v>4</v>
      </c>
      <c r="B144" s="613" t="s">
        <v>973</v>
      </c>
      <c r="C144" s="734">
        <f t="shared" si="31"/>
        <v>0.96</v>
      </c>
      <c r="D144" s="734">
        <f t="shared" ref="D144:S144" si="60">IF(INDEX(D$49:D$53,$A144)&gt;0,D35*INDEX(D$99:D$103,$A144)/INDEX(D$49:D$53,$A144),0)</f>
        <v>0</v>
      </c>
      <c r="E144" s="734">
        <f t="shared" si="60"/>
        <v>-2.7207438914963571E-3</v>
      </c>
      <c r="F144" s="734">
        <f t="shared" si="60"/>
        <v>0</v>
      </c>
      <c r="G144" s="734">
        <f t="shared" si="60"/>
        <v>0</v>
      </c>
      <c r="H144" s="734">
        <f t="shared" si="60"/>
        <v>0</v>
      </c>
      <c r="I144" s="734">
        <f t="shared" si="60"/>
        <v>0</v>
      </c>
      <c r="J144" s="734">
        <f t="shared" si="60"/>
        <v>0</v>
      </c>
      <c r="K144" s="734">
        <f t="shared" si="60"/>
        <v>0</v>
      </c>
      <c r="L144" s="734">
        <f t="shared" si="60"/>
        <v>0</v>
      </c>
      <c r="M144" s="734">
        <f t="shared" si="60"/>
        <v>1.2476454670292513E-3</v>
      </c>
      <c r="N144" s="734">
        <f t="shared" si="60"/>
        <v>0</v>
      </c>
      <c r="O144" s="734">
        <f t="shared" si="60"/>
        <v>0</v>
      </c>
      <c r="P144" s="734">
        <f t="shared" si="60"/>
        <v>0</v>
      </c>
      <c r="Q144" s="734">
        <f t="shared" si="60"/>
        <v>0</v>
      </c>
      <c r="R144" s="734">
        <f t="shared" si="60"/>
        <v>0</v>
      </c>
      <c r="S144" s="734">
        <f t="shared" si="60"/>
        <v>0</v>
      </c>
      <c r="T144" s="734">
        <f t="shared" si="33"/>
        <v>0.95852690157553289</v>
      </c>
    </row>
    <row r="145" spans="1:20" hidden="1">
      <c r="A145" s="613">
        <f t="shared" si="38"/>
        <v>4</v>
      </c>
      <c r="B145" s="613" t="s">
        <v>974</v>
      </c>
      <c r="C145" s="734">
        <f t="shared" si="31"/>
        <v>0</v>
      </c>
      <c r="D145" s="734">
        <f t="shared" ref="D145:S145" si="61">IF(INDEX(D$49:D$53,$A145)&gt;0,D36*INDEX(D$99:D$103,$A145)/INDEX(D$49:D$53,$A145),0)</f>
        <v>1.6867902242442272E-2</v>
      </c>
      <c r="E145" s="734">
        <f t="shared" si="61"/>
        <v>0</v>
      </c>
      <c r="F145" s="734">
        <f t="shared" si="61"/>
        <v>0</v>
      </c>
      <c r="G145" s="734">
        <f t="shared" si="61"/>
        <v>0</v>
      </c>
      <c r="H145" s="734">
        <f t="shared" si="61"/>
        <v>0</v>
      </c>
      <c r="I145" s="734">
        <f t="shared" si="61"/>
        <v>0</v>
      </c>
      <c r="J145" s="734">
        <f t="shared" si="61"/>
        <v>0</v>
      </c>
      <c r="K145" s="734">
        <f t="shared" si="61"/>
        <v>0</v>
      </c>
      <c r="L145" s="734">
        <f t="shared" si="61"/>
        <v>5.115281596055743E-2</v>
      </c>
      <c r="M145" s="734">
        <f t="shared" si="61"/>
        <v>3.7429364010877538E-3</v>
      </c>
      <c r="N145" s="734">
        <f t="shared" si="61"/>
        <v>0.14342395275333622</v>
      </c>
      <c r="O145" s="734">
        <f t="shared" si="61"/>
        <v>0</v>
      </c>
      <c r="P145" s="734">
        <f t="shared" si="61"/>
        <v>0</v>
      </c>
      <c r="Q145" s="734">
        <f t="shared" si="61"/>
        <v>1.7179255503179051E-2</v>
      </c>
      <c r="R145" s="734">
        <f t="shared" si="61"/>
        <v>0</v>
      </c>
      <c r="S145" s="734">
        <f t="shared" si="61"/>
        <v>0.88577384186773767</v>
      </c>
      <c r="T145" s="734">
        <f t="shared" si="33"/>
        <v>1.1181407047283405</v>
      </c>
    </row>
    <row r="146" spans="1:20" hidden="1">
      <c r="A146" s="613">
        <f t="shared" si="38"/>
        <v>5</v>
      </c>
      <c r="B146" s="613" t="s">
        <v>341</v>
      </c>
      <c r="C146" s="734">
        <f t="shared" si="31"/>
        <v>0</v>
      </c>
      <c r="D146" s="734">
        <f t="shared" ref="D146:S146" si="62">IF(INDEX(D$49:D$53,$A146)&gt;0,D37*INDEX(D$99:D$103,$A146)/INDEX(D$49:D$53,$A146),0)</f>
        <v>0.22273713028802591</v>
      </c>
      <c r="E146" s="734">
        <f t="shared" si="62"/>
        <v>0.20778826746797716</v>
      </c>
      <c r="F146" s="734">
        <f t="shared" si="62"/>
        <v>0</v>
      </c>
      <c r="G146" s="734">
        <f t="shared" si="62"/>
        <v>0</v>
      </c>
      <c r="H146" s="734">
        <f t="shared" si="62"/>
        <v>0</v>
      </c>
      <c r="I146" s="734">
        <f t="shared" si="62"/>
        <v>0</v>
      </c>
      <c r="J146" s="734">
        <f t="shared" si="62"/>
        <v>0</v>
      </c>
      <c r="K146" s="734">
        <f t="shared" si="62"/>
        <v>0</v>
      </c>
      <c r="L146" s="734">
        <f t="shared" si="62"/>
        <v>0</v>
      </c>
      <c r="M146" s="734">
        <f t="shared" si="62"/>
        <v>1.9699189049953818E-2</v>
      </c>
      <c r="N146" s="734">
        <f t="shared" si="62"/>
        <v>0</v>
      </c>
      <c r="O146" s="734">
        <f t="shared" si="62"/>
        <v>0</v>
      </c>
      <c r="P146" s="734">
        <f t="shared" si="62"/>
        <v>0</v>
      </c>
      <c r="Q146" s="734">
        <f t="shared" si="62"/>
        <v>0</v>
      </c>
      <c r="R146" s="734">
        <f t="shared" si="62"/>
        <v>0</v>
      </c>
      <c r="S146" s="734">
        <f t="shared" si="62"/>
        <v>0</v>
      </c>
      <c r="T146" s="734">
        <f t="shared" si="33"/>
        <v>0.45022458680595689</v>
      </c>
    </row>
    <row r="147" spans="1:20" hidden="1">
      <c r="A147" s="613">
        <f t="shared" si="38"/>
        <v>5</v>
      </c>
      <c r="B147" s="613" t="s">
        <v>342</v>
      </c>
      <c r="C147" s="734">
        <f t="shared" si="31"/>
        <v>0.98215791550242371</v>
      </c>
      <c r="D147" s="734">
        <f t="shared" ref="D147:S147" si="63">IF(INDEX(D$49:D$53,$A147)&gt;0,D38*INDEX(D$99:D$103,$A147)/INDEX(D$49:D$53,$A147),0)</f>
        <v>0</v>
      </c>
      <c r="E147" s="734">
        <f t="shared" si="63"/>
        <v>0</v>
      </c>
      <c r="F147" s="734">
        <f t="shared" si="63"/>
        <v>0</v>
      </c>
      <c r="G147" s="734">
        <f t="shared" si="63"/>
        <v>0</v>
      </c>
      <c r="H147" s="734">
        <f t="shared" si="63"/>
        <v>0</v>
      </c>
      <c r="I147" s="734">
        <f t="shared" si="63"/>
        <v>0</v>
      </c>
      <c r="J147" s="734">
        <f t="shared" si="63"/>
        <v>0</v>
      </c>
      <c r="K147" s="734">
        <f t="shared" si="63"/>
        <v>0</v>
      </c>
      <c r="L147" s="734">
        <f t="shared" si="63"/>
        <v>0</v>
      </c>
      <c r="M147" s="734">
        <f t="shared" si="63"/>
        <v>0</v>
      </c>
      <c r="N147" s="734">
        <f t="shared" si="63"/>
        <v>0</v>
      </c>
      <c r="O147" s="734">
        <f t="shared" si="63"/>
        <v>0</v>
      </c>
      <c r="P147" s="734">
        <f t="shared" si="63"/>
        <v>0</v>
      </c>
      <c r="Q147" s="734">
        <f t="shared" si="63"/>
        <v>0</v>
      </c>
      <c r="R147" s="734">
        <f t="shared" si="63"/>
        <v>0</v>
      </c>
      <c r="S147" s="734">
        <f t="shared" si="63"/>
        <v>0</v>
      </c>
      <c r="T147" s="734">
        <f t="shared" si="33"/>
        <v>0.98215791550242371</v>
      </c>
    </row>
    <row r="148" spans="1:20" hidden="1">
      <c r="A148" s="613">
        <f t="shared" si="38"/>
        <v>5</v>
      </c>
      <c r="B148" s="613" t="s">
        <v>343</v>
      </c>
      <c r="C148" s="734">
        <f t="shared" si="31"/>
        <v>0</v>
      </c>
      <c r="D148" s="734">
        <f t="shared" ref="D148:S148" si="64">IF(INDEX(D$49:D$53,$A148)&gt;0,D39*INDEX(D$99:D$103,$A148)/INDEX(D$49:D$53,$A148),0)</f>
        <v>0.22273713028802591</v>
      </c>
      <c r="E148" s="734">
        <f t="shared" si="64"/>
        <v>0</v>
      </c>
      <c r="F148" s="734">
        <f t="shared" si="64"/>
        <v>0</v>
      </c>
      <c r="G148" s="734">
        <f t="shared" si="64"/>
        <v>2.5372326047798303E-3</v>
      </c>
      <c r="H148" s="734">
        <f t="shared" si="64"/>
        <v>0</v>
      </c>
      <c r="I148" s="734">
        <f t="shared" si="64"/>
        <v>0</v>
      </c>
      <c r="J148" s="734">
        <f t="shared" si="64"/>
        <v>0</v>
      </c>
      <c r="K148" s="734">
        <f t="shared" si="64"/>
        <v>0</v>
      </c>
      <c r="L148" s="734">
        <f t="shared" si="64"/>
        <v>0.12187372592119058</v>
      </c>
      <c r="M148" s="734">
        <f t="shared" si="64"/>
        <v>0</v>
      </c>
      <c r="N148" s="734">
        <f t="shared" si="64"/>
        <v>0</v>
      </c>
      <c r="O148" s="734">
        <f t="shared" si="64"/>
        <v>0</v>
      </c>
      <c r="P148" s="734">
        <f t="shared" si="64"/>
        <v>0</v>
      </c>
      <c r="Q148" s="734">
        <f t="shared" si="64"/>
        <v>8.1604892306537682E-2</v>
      </c>
      <c r="R148" s="734">
        <f t="shared" si="64"/>
        <v>0</v>
      </c>
      <c r="S148" s="734">
        <f t="shared" si="64"/>
        <v>0</v>
      </c>
      <c r="T148" s="734">
        <f t="shared" si="33"/>
        <v>0.428752981120534</v>
      </c>
    </row>
    <row r="149" spans="1:20" hidden="1">
      <c r="A149" s="613">
        <f t="shared" si="38"/>
        <v>5</v>
      </c>
      <c r="B149" s="613" t="s">
        <v>344</v>
      </c>
      <c r="C149" s="734">
        <f t="shared" si="31"/>
        <v>0</v>
      </c>
      <c r="D149" s="734">
        <f t="shared" ref="D149:S149" si="65">IF(INDEX(D$49:D$53,$A149)&gt;0,D40*INDEX(D$99:D$103,$A149)/INDEX(D$49:D$53,$A149),0)</f>
        <v>0.27842141286003241</v>
      </c>
      <c r="E149" s="734">
        <f t="shared" si="65"/>
        <v>0.16623061397438171</v>
      </c>
      <c r="F149" s="734">
        <f t="shared" si="65"/>
        <v>0</v>
      </c>
      <c r="G149" s="734">
        <f t="shared" si="65"/>
        <v>0</v>
      </c>
      <c r="H149" s="734">
        <f t="shared" si="65"/>
        <v>0</v>
      </c>
      <c r="I149" s="734">
        <f t="shared" si="65"/>
        <v>0</v>
      </c>
      <c r="J149" s="734">
        <f t="shared" si="65"/>
        <v>0</v>
      </c>
      <c r="K149" s="734">
        <f t="shared" si="65"/>
        <v>0</v>
      </c>
      <c r="L149" s="734">
        <f t="shared" si="65"/>
        <v>0</v>
      </c>
      <c r="M149" s="734">
        <f t="shared" si="65"/>
        <v>1.6885019185674699E-2</v>
      </c>
      <c r="N149" s="734">
        <f t="shared" si="65"/>
        <v>0</v>
      </c>
      <c r="O149" s="734">
        <f t="shared" si="65"/>
        <v>0</v>
      </c>
      <c r="P149" s="734">
        <f t="shared" si="65"/>
        <v>0</v>
      </c>
      <c r="Q149" s="734">
        <f t="shared" si="65"/>
        <v>0</v>
      </c>
      <c r="R149" s="734">
        <f t="shared" si="65"/>
        <v>0</v>
      </c>
      <c r="S149" s="734">
        <f t="shared" si="65"/>
        <v>0</v>
      </c>
      <c r="T149" s="734">
        <f t="shared" si="33"/>
        <v>0.46153704602008883</v>
      </c>
    </row>
    <row r="150" spans="1:20" hidden="1">
      <c r="A150" s="613">
        <f t="shared" si="38"/>
        <v>5</v>
      </c>
      <c r="B150" s="613" t="s">
        <v>345</v>
      </c>
      <c r="C150" s="734">
        <f t="shared" si="31"/>
        <v>0.11785894986029084</v>
      </c>
      <c r="D150" s="734">
        <f t="shared" ref="D150:S150" si="66">IF(INDEX(D$49:D$53,$A150)&gt;0,D41*INDEX(D$99:D$103,$A150)/INDEX(D$49:D$53,$A150),0)</f>
        <v>0.18932656074482204</v>
      </c>
      <c r="E150" s="734">
        <f t="shared" si="66"/>
        <v>4.1557653493595428E-2</v>
      </c>
      <c r="F150" s="734">
        <f t="shared" si="66"/>
        <v>0</v>
      </c>
      <c r="G150" s="734">
        <f t="shared" si="66"/>
        <v>1.5223395628678981E-3</v>
      </c>
      <c r="H150" s="734">
        <f t="shared" si="66"/>
        <v>0</v>
      </c>
      <c r="I150" s="734">
        <f t="shared" si="66"/>
        <v>0</v>
      </c>
      <c r="J150" s="734">
        <f t="shared" si="66"/>
        <v>0</v>
      </c>
      <c r="K150" s="734">
        <f t="shared" si="66"/>
        <v>0</v>
      </c>
      <c r="L150" s="734">
        <f t="shared" si="66"/>
        <v>5.3624439405323854E-2</v>
      </c>
      <c r="M150" s="734">
        <f t="shared" si="66"/>
        <v>1.1256679457116468E-2</v>
      </c>
      <c r="N150" s="734">
        <f t="shared" si="66"/>
        <v>0</v>
      </c>
      <c r="O150" s="734">
        <f t="shared" si="66"/>
        <v>0</v>
      </c>
      <c r="P150" s="734">
        <f t="shared" si="66"/>
        <v>0</v>
      </c>
      <c r="Q150" s="734">
        <f t="shared" si="66"/>
        <v>1.6320978461307537E-2</v>
      </c>
      <c r="R150" s="734">
        <f t="shared" si="66"/>
        <v>0</v>
      </c>
      <c r="S150" s="734">
        <f t="shared" si="66"/>
        <v>0</v>
      </c>
      <c r="T150" s="734">
        <f t="shared" si="33"/>
        <v>0.43146760098532405</v>
      </c>
    </row>
    <row r="151" spans="1:20" hidden="1">
      <c r="A151" s="613">
        <f t="shared" si="38"/>
        <v>5</v>
      </c>
      <c r="B151" s="613" t="s">
        <v>970</v>
      </c>
      <c r="C151" s="734">
        <f t="shared" si="31"/>
        <v>0.98215791550242371</v>
      </c>
      <c r="D151" s="734">
        <f t="shared" ref="D151:S151" si="67">IF(INDEX(D$49:D$53,$A151)&gt;0,D42*INDEX(D$99:D$103,$A151)/INDEX(D$49:D$53,$A151),0)</f>
        <v>0</v>
      </c>
      <c r="E151" s="734">
        <f t="shared" si="67"/>
        <v>0</v>
      </c>
      <c r="F151" s="734">
        <f t="shared" si="67"/>
        <v>0</v>
      </c>
      <c r="G151" s="734">
        <f t="shared" si="67"/>
        <v>0</v>
      </c>
      <c r="H151" s="734">
        <f t="shared" si="67"/>
        <v>0</v>
      </c>
      <c r="I151" s="734">
        <f t="shared" si="67"/>
        <v>0</v>
      </c>
      <c r="J151" s="734">
        <f t="shared" si="67"/>
        <v>0</v>
      </c>
      <c r="K151" s="734">
        <f t="shared" si="67"/>
        <v>0</v>
      </c>
      <c r="L151" s="734">
        <f t="shared" si="67"/>
        <v>0</v>
      </c>
      <c r="M151" s="734">
        <f t="shared" si="67"/>
        <v>0</v>
      </c>
      <c r="N151" s="734">
        <f t="shared" si="67"/>
        <v>0</v>
      </c>
      <c r="O151" s="734">
        <f t="shared" si="67"/>
        <v>0</v>
      </c>
      <c r="P151" s="734">
        <f t="shared" si="67"/>
        <v>0</v>
      </c>
      <c r="Q151" s="734">
        <f t="shared" si="67"/>
        <v>0</v>
      </c>
      <c r="R151" s="734">
        <f t="shared" si="67"/>
        <v>0</v>
      </c>
      <c r="S151" s="734">
        <f t="shared" si="67"/>
        <v>0</v>
      </c>
      <c r="T151" s="734">
        <f t="shared" si="33"/>
        <v>0.98215791550242371</v>
      </c>
    </row>
    <row r="152" spans="1:20" hidden="1">
      <c r="A152" s="613">
        <f t="shared" si="38"/>
        <v>5</v>
      </c>
      <c r="B152" s="613" t="s">
        <v>971</v>
      </c>
      <c r="C152" s="734">
        <f t="shared" si="31"/>
        <v>0</v>
      </c>
      <c r="D152" s="734">
        <f t="shared" ref="D152:S152" si="68">IF(INDEX(D$49:D$53,$A152)&gt;0,D43*INDEX(D$99:D$103,$A152)/INDEX(D$49:D$53,$A152),0)</f>
        <v>0.10580013688681231</v>
      </c>
      <c r="E152" s="734">
        <f t="shared" si="68"/>
        <v>8.3115306987190853E-3</v>
      </c>
      <c r="F152" s="734">
        <f t="shared" si="68"/>
        <v>0</v>
      </c>
      <c r="G152" s="734">
        <f t="shared" si="68"/>
        <v>2.9431898215446029E-3</v>
      </c>
      <c r="H152" s="734">
        <f t="shared" si="68"/>
        <v>0</v>
      </c>
      <c r="I152" s="734">
        <f t="shared" si="68"/>
        <v>0</v>
      </c>
      <c r="J152" s="734">
        <f t="shared" si="68"/>
        <v>0</v>
      </c>
      <c r="K152" s="734">
        <f t="shared" si="68"/>
        <v>5.3420337410595993E-2</v>
      </c>
      <c r="L152" s="734">
        <f t="shared" si="68"/>
        <v>1.9499796147390495E-2</v>
      </c>
      <c r="M152" s="734">
        <f t="shared" si="68"/>
        <v>5.6283397285582346E-4</v>
      </c>
      <c r="N152" s="734">
        <f t="shared" si="68"/>
        <v>0</v>
      </c>
      <c r="O152" s="734">
        <f t="shared" si="68"/>
        <v>0</v>
      </c>
      <c r="P152" s="734">
        <f t="shared" si="68"/>
        <v>0</v>
      </c>
      <c r="Q152" s="734">
        <f t="shared" si="68"/>
        <v>0.75076500922014666</v>
      </c>
      <c r="R152" s="734">
        <f t="shared" si="68"/>
        <v>0</v>
      </c>
      <c r="S152" s="734">
        <f t="shared" si="68"/>
        <v>0.12582512020989717</v>
      </c>
      <c r="T152" s="734">
        <f t="shared" si="33"/>
        <v>1.0671279543679622</v>
      </c>
    </row>
    <row r="153" spans="1:20" hidden="1"/>
    <row r="154" spans="1:20" hidden="1"/>
    <row r="155" spans="1:20" hidden="1">
      <c r="B155" s="612" t="s">
        <v>256</v>
      </c>
    </row>
    <row r="156" spans="1:20" hidden="1">
      <c r="C156" s="613" t="s">
        <v>905</v>
      </c>
      <c r="D156" s="613" t="s">
        <v>906</v>
      </c>
      <c r="E156" s="613" t="s">
        <v>907</v>
      </c>
      <c r="F156" s="613" t="s">
        <v>908</v>
      </c>
      <c r="G156" s="613" t="s">
        <v>909</v>
      </c>
      <c r="H156" s="613" t="s">
        <v>910</v>
      </c>
      <c r="I156" s="613" t="s">
        <v>911</v>
      </c>
      <c r="J156" s="613" t="s">
        <v>912</v>
      </c>
      <c r="K156" s="613" t="s">
        <v>1150</v>
      </c>
      <c r="L156" s="613" t="s">
        <v>913</v>
      </c>
      <c r="M156" s="613" t="s">
        <v>826</v>
      </c>
      <c r="N156" s="613" t="s">
        <v>914</v>
      </c>
      <c r="O156" s="613" t="s">
        <v>915</v>
      </c>
      <c r="P156" s="613" t="s">
        <v>916</v>
      </c>
      <c r="Q156" s="613" t="s">
        <v>917</v>
      </c>
      <c r="R156" s="613" t="s">
        <v>950</v>
      </c>
      <c r="S156" s="613" t="s">
        <v>946</v>
      </c>
      <c r="T156" s="613" t="s">
        <v>888</v>
      </c>
    </row>
    <row r="157" spans="1:20" hidden="1">
      <c r="A157" s="613">
        <v>1</v>
      </c>
      <c r="B157" s="613" t="s">
        <v>568</v>
      </c>
      <c r="C157" s="634">
        <f t="array" aca="1" ref="C157" ca="1">SUM(IF($A$118:$A$152=$A157,C$118:C$152/$T$118:$T$152*Drivers!$R$58:$R$92))</f>
        <v>12.012405567003835</v>
      </c>
      <c r="D157" s="634">
        <f t="array" aca="1" ref="D157" ca="1">SUM(IF($A$118:$A$152=$A157,D$118:D$152/$T$118:$T$152*Drivers!$R$58:$R$85))</f>
        <v>2.4457531076700398</v>
      </c>
      <c r="E157" s="634">
        <f t="array" aca="1" ref="E157" ca="1">SUM(IF($A$118:$A$152=$A157,E$118:E$152/$T$118:$T$152*Drivers!$R$58:$R$85))</f>
        <v>3.6644919852289988</v>
      </c>
      <c r="F157" s="634">
        <f t="array" aca="1" ref="F157" ca="1">SUM(IF($A$118:$A$152=$A157,F$118:F$152/$T$118:$T$152*Drivers!$R$58:$R$85))</f>
        <v>0</v>
      </c>
      <c r="G157" s="634">
        <f t="array" aca="1" ref="G157" ca="1">SUM(IF($A$118:$A$152=$A157,G$118:G$152/$T$118:$T$152*Drivers!$R$58:$R$85))</f>
        <v>0</v>
      </c>
      <c r="H157" s="634">
        <f t="array" aca="1" ref="H157" ca="1">SUM(IF($A$118:$A$152=$A157,H$118:H$152/$T$118:$T$152*Drivers!$R$58:$R$85))</f>
        <v>9.5482114379707141</v>
      </c>
      <c r="I157" s="634">
        <f t="array" aca="1" ref="I157" ca="1">SUM(IF($A$118:$A$152=$A157,I$118:I$152/$T$118:$T$152*Drivers!$R$58:$R$85))</f>
        <v>3.7095308573642862</v>
      </c>
      <c r="J157" s="634">
        <f t="array" aca="1" ref="J157" ca="1">SUM(IF($A$118:$A$152=$A157,J$118:J$152/$T$118:$T$152*Drivers!$R$58:$R$85))</f>
        <v>2.3558320737816087</v>
      </c>
      <c r="K157" s="634">
        <f t="array" aca="1" ref="K157" ca="1">SUM(IF($A$118:$A$152=$A157,K$118:K$152/$T$118:$T$152*Drivers!$R$58:$R$85))</f>
        <v>0</v>
      </c>
      <c r="L157" s="634">
        <f t="array" aca="1" ref="L157" ca="1">SUM(IF($A$118:$A$152=$A157,L$118:L$152/$T$118:$T$152*Drivers!$R$58:$R$85))</f>
        <v>2.1807839543173109</v>
      </c>
      <c r="M157" s="634">
        <f t="array" aca="1" ref="M157" ca="1">SUM(IF($A$118:$A$152=$A157,M$118:M$152/$T$118:$T$152*Drivers!$R$58:$R$85))</f>
        <v>0.15805684258323024</v>
      </c>
      <c r="N157" s="634">
        <f t="array" aca="1" ref="N157" ca="1">SUM(IF($A$118:$A$152=$A157,N$118:N$152/$T$118:$T$152*Drivers!$R$58:$R$85))</f>
        <v>0</v>
      </c>
      <c r="O157" s="634">
        <f t="array" aca="1" ref="O157" ca="1">SUM(IF($A$118:$A$152=$A157,O$118:O$152/$T$118:$T$152*Drivers!$R$58:$R$85))</f>
        <v>0</v>
      </c>
      <c r="P157" s="634">
        <f t="array" aca="1" ref="P157" ca="1">SUM(IF($A$118:$A$152=$A157,P$118:P$152/$T$118:$T$152*Drivers!$R$58:$R$85))</f>
        <v>0</v>
      </c>
      <c r="Q157" s="634">
        <f t="array" aca="1" ref="Q157" ca="1">SUM(IF($A$118:$A$152=$A157,Q$118:Q$152/$T$118:$T$152*Drivers!$R$58:$R$85))</f>
        <v>0</v>
      </c>
      <c r="R157" s="634">
        <f t="array" aca="1" ref="R157" ca="1">SUM(IF($A$118:$A$152=$A157,R$118:R$152/$T$118:$T$152*Drivers!$R$58:$R$85))</f>
        <v>0</v>
      </c>
      <c r="S157" s="634">
        <f t="array" aca="1" ref="S157" ca="1">SUM(IF($A$118:$A$152=$A157,S$118:S$152/$T$118:$T$152*Drivers!$R$58:$R$85))</f>
        <v>1.2003476679248948</v>
      </c>
      <c r="T157" s="634">
        <f>SUM(C157:S157)</f>
        <v>37.275413493844916</v>
      </c>
    </row>
    <row r="158" spans="1:20" hidden="1">
      <c r="A158" s="613">
        <v>2</v>
      </c>
      <c r="B158" s="613" t="s">
        <v>879</v>
      </c>
      <c r="C158" s="630">
        <f t="array" aca="1" ref="C158" ca="1">SUM(IF($A$118:$A$152=$A158,C$118:C$152/$T$118:$T$152*Drivers!$R$58:$R$85))</f>
        <v>3.0887225474977913</v>
      </c>
      <c r="D158" s="630">
        <f t="array" aca="1" ref="D158" ca="1">SUM(IF($A$118:$A$152=$A158,D$118:D$152/$T$118:$T$152*Drivers!$R$58:$R$85))</f>
        <v>2.0375670620582524</v>
      </c>
      <c r="E158" s="630">
        <f t="array" aca="1" ref="E158" ca="1">SUM(IF($A$118:$A$152=$A158,E$118:E$152/$T$118:$T$152*Drivers!$R$58:$R$85))</f>
        <v>0.47445780663727888</v>
      </c>
      <c r="F158" s="630">
        <f t="array" aca="1" ref="F158" ca="1">SUM(IF($A$118:$A$152=$A158,F$118:F$152/$T$118:$T$152*Drivers!$R$58:$R$85))</f>
        <v>0</v>
      </c>
      <c r="G158" s="630">
        <f t="array" aca="1" ref="G158" ca="1">SUM(IF($A$118:$A$152=$A158,G$118:G$152/$T$118:$T$152*Drivers!$R$58:$R$85))</f>
        <v>4.1512775954885655</v>
      </c>
      <c r="H158" s="630">
        <f t="array" aca="1" ref="H158" ca="1">SUM(IF($A$118:$A$152=$A158,H$118:H$152/$T$118:$T$152*Drivers!$R$58:$R$85))</f>
        <v>7.5087929698148842E-2</v>
      </c>
      <c r="I158" s="630">
        <f t="array" aca="1" ref="I158" ca="1">SUM(IF($A$118:$A$152=$A158,I$118:I$152/$T$118:$T$152*Drivers!$R$58:$R$85))</f>
        <v>0</v>
      </c>
      <c r="J158" s="630">
        <f t="array" aca="1" ref="J158" ca="1">SUM(IF($A$118:$A$152=$A158,J$118:J$152/$T$118:$T$152*Drivers!$R$58:$R$85))</f>
        <v>0</v>
      </c>
      <c r="K158" s="630">
        <f t="array" aca="1" ref="K158" ca="1">SUM(IF($A$118:$A$152=$A158,K$118:K$152/$T$118:$T$152*Drivers!$R$58:$R$85))</f>
        <v>1.6793837426951608E-3</v>
      </c>
      <c r="L158" s="630">
        <f t="array" aca="1" ref="L158" ca="1">SUM(IF($A$118:$A$152=$A158,L$118:L$152/$T$118:$T$152*Drivers!$R$58:$R$85))</f>
        <v>1.354821294967711</v>
      </c>
      <c r="M158" s="630">
        <f t="array" aca="1" ref="M158" ca="1">SUM(IF($A$118:$A$152=$A158,M$118:M$152/$T$118:$T$152*Drivers!$R$58:$R$85))</f>
        <v>0.2052292037684238</v>
      </c>
      <c r="N158" s="630">
        <f t="array" aca="1" ref="N158" ca="1">SUM(IF($A$118:$A$152=$A158,N$118:N$152/$T$118:$T$152*Drivers!$R$58:$R$85))</f>
        <v>0</v>
      </c>
      <c r="O158" s="630">
        <f t="array" aca="1" ref="O158" ca="1">SUM(IF($A$118:$A$152=$A158,O$118:O$152/$T$118:$T$152*Drivers!$R$58:$R$85))</f>
        <v>0</v>
      </c>
      <c r="P158" s="630">
        <f t="array" aca="1" ref="P158" ca="1">SUM(IF($A$118:$A$152=$A158,P$118:P$152/$T$118:$T$152*Drivers!$R$58:$R$85))</f>
        <v>1.1143258558037494</v>
      </c>
      <c r="Q158" s="630">
        <f t="array" aca="1" ref="Q158" ca="1">SUM(IF($A$118:$A$152=$A158,Q$118:Q$152/$T$118:$T$152*Drivers!$R$58:$R$85))</f>
        <v>0.20369021524375105</v>
      </c>
      <c r="R158" s="630">
        <f t="array" aca="1" ref="R158" ca="1">SUM(IF($A$118:$A$152=$A158,R$118:R$152/$T$118:$T$152*Drivers!$R$58:$R$85))</f>
        <v>0</v>
      </c>
      <c r="S158" s="630">
        <f t="array" aca="1" ref="S158" ca="1">SUM(IF($A$118:$A$152=$A158,S$118:S$152/$T$118:$T$152*Drivers!$R$58:$R$85))</f>
        <v>0.23502885647446212</v>
      </c>
      <c r="T158" s="630">
        <f>SUM(C158:S158)</f>
        <v>12.941887751380831</v>
      </c>
    </row>
    <row r="159" spans="1:20" hidden="1">
      <c r="A159" s="613">
        <v>3</v>
      </c>
      <c r="B159" s="613" t="s">
        <v>880</v>
      </c>
      <c r="C159" s="630">
        <f t="array" aca="1" ref="C159" ca="1">SUM(IF($A$118:$A$152=$A159,C$118:C$152/$T$118:$T$152*Drivers!$R$58:$R$85))</f>
        <v>8.4361183736229961</v>
      </c>
      <c r="D159" s="630">
        <f t="array" aca="1" ref="D159" ca="1">SUM(IF($A$118:$A$152=$A159,D$118:D$152/$T$118:$T$152*Drivers!$R$58:$R$85))</f>
        <v>5.4653974546193917E-2</v>
      </c>
      <c r="E159" s="630">
        <f t="array" aca="1" ref="E159" ca="1">SUM(IF($A$118:$A$152=$A159,E$118:E$152/$T$118:$T$152*Drivers!$R$58:$R$85))</f>
        <v>0.48560230044801123</v>
      </c>
      <c r="F159" s="630">
        <f t="array" aca="1" ref="F159" ca="1">SUM(IF($A$118:$A$152=$A159,F$118:F$152/$T$118:$T$152*Drivers!$R$58:$R$85))</f>
        <v>0</v>
      </c>
      <c r="G159" s="630">
        <f t="array" aca="1" ref="G159" ca="1">SUM(IF($A$118:$A$152=$A159,G$118:G$152/$T$118:$T$152*Drivers!$R$58:$R$85))</f>
        <v>0</v>
      </c>
      <c r="H159" s="630">
        <f t="array" aca="1" ref="H159" ca="1">SUM(IF($A$118:$A$152=$A159,H$118:H$152/$T$118:$T$152*Drivers!$R$58:$R$85))</f>
        <v>0</v>
      </c>
      <c r="I159" s="630">
        <f t="array" aca="1" ref="I159" ca="1">SUM(IF($A$118:$A$152=$A159,I$118:I$152/$T$118:$T$152*Drivers!$R$58:$R$85))</f>
        <v>0</v>
      </c>
      <c r="J159" s="630">
        <f t="array" aca="1" ref="J159" ca="1">SUM(IF($A$118:$A$152=$A159,J$118:J$152/$T$118:$T$152*Drivers!$R$58:$R$85))</f>
        <v>0</v>
      </c>
      <c r="K159" s="630">
        <f t="array" aca="1" ref="K159" ca="1">SUM(IF($A$118:$A$152=$A159,K$118:K$152/$T$118:$T$152*Drivers!$R$58:$R$85))</f>
        <v>0</v>
      </c>
      <c r="L159" s="630">
        <f t="array" aca="1" ref="L159" ca="1">SUM(IF($A$118:$A$152=$A159,L$118:L$152/$T$118:$T$152*Drivers!$R$58:$R$85))</f>
        <v>0.67224769609446611</v>
      </c>
      <c r="M159" s="630">
        <f t="array" aca="1" ref="M159" ca="1">SUM(IF($A$118:$A$152=$A159,M$118:M$152/$T$118:$T$152*Drivers!$R$58:$R$85))</f>
        <v>0.22910343184201892</v>
      </c>
      <c r="N159" s="630">
        <f t="array" aca="1" ref="N159" ca="1">SUM(IF($A$118:$A$152=$A159,N$118:N$152/$T$118:$T$152*Drivers!$R$58:$R$85))</f>
        <v>0</v>
      </c>
      <c r="O159" s="630">
        <f t="array" aca="1" ref="O159" ca="1">SUM(IF($A$118:$A$152=$A159,O$118:O$152/$T$118:$T$152*Drivers!$R$58:$R$85))</f>
        <v>0</v>
      </c>
      <c r="P159" s="630">
        <f t="array" aca="1" ref="P159" ca="1">SUM(IF($A$118:$A$152=$A159,P$118:P$152/$T$118:$T$152*Drivers!$R$58:$R$85))</f>
        <v>0</v>
      </c>
      <c r="Q159" s="630">
        <f t="array" aca="1" ref="Q159" ca="1">SUM(IF($A$118:$A$152=$A159,Q$118:Q$152/$T$118:$T$152*Drivers!$R$58:$R$85))</f>
        <v>0.26860796227782907</v>
      </c>
      <c r="R159" s="630">
        <f t="array" aca="1" ref="R159" ca="1">SUM(IF($A$118:$A$152=$A159,R$118:R$152/$T$118:$T$152*Drivers!$R$58:$R$85))</f>
        <v>0</v>
      </c>
      <c r="S159" s="630">
        <f t="array" aca="1" ref="S159" ca="1">SUM(IF($A$118:$A$152=$A159,S$118:S$152/$T$118:$T$152*Drivers!$R$58:$R$85))</f>
        <v>2.2275011054501421</v>
      </c>
      <c r="T159" s="630">
        <f>SUM(C159:S159)</f>
        <v>12.373834844281657</v>
      </c>
    </row>
    <row r="160" spans="1:20" hidden="1">
      <c r="A160" s="613">
        <v>4</v>
      </c>
      <c r="B160" s="613" t="s">
        <v>787</v>
      </c>
      <c r="C160" s="630">
        <f t="array" aca="1" ref="C160" ca="1">SUM(IF($A$118:$A$152=$A160,C$118:C$152/$T$118:$T$152*Drivers!$R$58:$R$85))</f>
        <v>17.633347486618412</v>
      </c>
      <c r="D160" s="630">
        <f t="array" aca="1" ref="D160" ca="1">SUM(IF($A$118:$A$152=$A160,D$118:D$152/$T$118:$T$152*Drivers!$R$58:$R$85))</f>
        <v>0.53603568305392935</v>
      </c>
      <c r="E160" s="630">
        <f t="array" aca="1" ref="E160" ca="1">SUM(IF($A$118:$A$152=$A160,E$118:E$152/$T$118:$T$152*Drivers!$R$58:$R$85))</f>
        <v>-0.13929193746474344</v>
      </c>
      <c r="F160" s="630">
        <f t="array" aca="1" ref="F160" ca="1">SUM(IF($A$118:$A$152=$A160,F$118:F$152/$T$118:$T$152*Drivers!$R$58:$R$85))</f>
        <v>0</v>
      </c>
      <c r="G160" s="630">
        <f t="array" aca="1" ref="G160" ca="1">SUM(IF($A$118:$A$152=$A160,G$118:G$152/$T$118:$T$152*Drivers!$R$58:$R$85))</f>
        <v>0</v>
      </c>
      <c r="H160" s="630">
        <f t="array" aca="1" ref="H160" ca="1">SUM(IF($A$118:$A$152=$A160,H$118:H$152/$T$118:$T$152*Drivers!$R$58:$R$85))</f>
        <v>0</v>
      </c>
      <c r="I160" s="630">
        <f t="array" aca="1" ref="I160" ca="1">SUM(IF($A$118:$A$152=$A160,I$118:I$152/$T$118:$T$152*Drivers!$R$58:$R$85))</f>
        <v>0</v>
      </c>
      <c r="J160" s="630">
        <f t="array" aca="1" ref="J160" ca="1">SUM(IF($A$118:$A$152=$A160,J$118:J$152/$T$118:$T$152*Drivers!$R$58:$R$85))</f>
        <v>0</v>
      </c>
      <c r="K160" s="630">
        <f t="array" aca="1" ref="K160" ca="1">SUM(IF($A$118:$A$152=$A160,K$118:K$152/$T$118:$T$152*Drivers!$R$58:$R$85))</f>
        <v>0</v>
      </c>
      <c r="L160" s="630">
        <f t="array" aca="1" ref="L160" ca="1">SUM(IF($A$118:$A$152=$A160,L$118:L$152/$T$118:$T$152*Drivers!$R$58:$R$85))</f>
        <v>1.7467023691094195</v>
      </c>
      <c r="M160" s="630">
        <f t="array" aca="1" ref="M160" ca="1">SUM(IF($A$118:$A$152=$A160,M$118:M$152/$T$118:$T$152*Drivers!$R$58:$R$85))</f>
        <v>0.1759583853015072</v>
      </c>
      <c r="N160" s="630">
        <f t="array" aca="1" ref="N160" ca="1">SUM(IF($A$118:$A$152=$A160,N$118:N$152/$T$118:$T$152*Drivers!$R$58:$R$85))</f>
        <v>9.6631765911846959</v>
      </c>
      <c r="O160" s="630">
        <f t="array" aca="1" ref="O160" ca="1">SUM(IF($A$118:$A$152=$A160,O$118:O$152/$T$118:$T$152*Drivers!$R$58:$R$85))</f>
        <v>0</v>
      </c>
      <c r="P160" s="630">
        <f t="array" aca="1" ref="P160" ca="1">SUM(IF($A$118:$A$152=$A160,P$118:P$152/$T$118:$T$152*Drivers!$R$58:$R$85))</f>
        <v>0</v>
      </c>
      <c r="Q160" s="630">
        <f t="array" aca="1" ref="Q160" ca="1">SUM(IF($A$118:$A$152=$A160,Q$118:Q$152/$T$118:$T$152*Drivers!$R$58:$R$85))</f>
        <v>0.29149670933336408</v>
      </c>
      <c r="R160" s="630">
        <f t="array" aca="1" ref="R160" ca="1">SUM(IF($A$118:$A$152=$A160,R$118:R$152/$T$118:$T$152*Drivers!$R$58:$R$85))</f>
        <v>0</v>
      </c>
      <c r="S160" s="630">
        <f t="array" aca="1" ref="S160" ca="1">SUM(IF($A$118:$A$152=$A160,S$118:S$152/$T$118:$T$152*Drivers!$R$58:$R$85))</f>
        <v>15.029764245035922</v>
      </c>
      <c r="T160" s="630">
        <f>SUM(C160:S160)</f>
        <v>44.937189532172503</v>
      </c>
    </row>
    <row r="161" spans="1:24" hidden="1">
      <c r="A161" s="613">
        <v>5</v>
      </c>
      <c r="B161" s="613" t="s">
        <v>978</v>
      </c>
      <c r="C161" s="646">
        <f t="array" aca="1" ref="C161" ca="1">SUM(IF($A$118:$A$152=$A161,C$118:C$152/$T$118:$T$152*Drivers!$R$58:$R$92))</f>
        <v>76.709195623158848</v>
      </c>
      <c r="D161" s="646">
        <f t="array" aca="1" ref="D161" ca="1">SUM(IF($A$118:$A$152=$A161,D$118:D$152/$T$118:$T$152*Drivers!$R$58:$R$92))</f>
        <v>25.65390031678163</v>
      </c>
      <c r="E161" s="646">
        <f t="array" aca="1" ref="E161" ca="1">SUM(IF($A$118:$A$152=$A161,E$118:E$152/$T$118:$T$152*Drivers!$R$58:$R$92))</f>
        <v>4.1151317290740135</v>
      </c>
      <c r="F161" s="646">
        <f t="array" aca="1" ref="F161" ca="1">SUM(IF($A$118:$A$152=$A161,F$118:F$152/$T$118:$T$152*Drivers!$R$58:$R$92))</f>
        <v>0</v>
      </c>
      <c r="G161" s="646">
        <f t="array" aca="1" ref="G161" ca="1">SUM(IF($A$118:$A$152=$A161,G$118:G$152/$T$118:$T$152*Drivers!$R$58:$R$92))</f>
        <v>0.51509814307068058</v>
      </c>
      <c r="H161" s="646">
        <f t="array" aca="1" ref="H161" ca="1">SUM(IF($A$118:$A$152=$A161,H$118:H$152/$T$118:$T$152*Drivers!$R$58:$R$92))</f>
        <v>0</v>
      </c>
      <c r="I161" s="646">
        <f t="array" aca="1" ref="I161" ca="1">SUM(IF($A$118:$A$152=$A161,I$118:I$152/$T$118:$T$152*Drivers!$R$58:$R$92))</f>
        <v>0</v>
      </c>
      <c r="J161" s="646">
        <f t="array" aca="1" ref="J161" ca="1">SUM(IF($A$118:$A$152=$A161,J$118:J$152/$T$118:$T$152*Drivers!$R$58:$R$92))</f>
        <v>0</v>
      </c>
      <c r="K161" s="646">
        <f t="array" aca="1" ref="K161" ca="1">SUM(IF($A$118:$A$152=$A161,K$118:K$152/$T$118:$T$152*Drivers!$R$58:$R$92))</f>
        <v>7.9640554192337563</v>
      </c>
      <c r="L161" s="646">
        <f t="array" aca="1" ref="L161" ca="1">SUM(IF($A$118:$A$152=$A161,L$118:L$152/$T$118:$T$152*Drivers!$R$58:$R$92))</f>
        <v>6.5730033552381251</v>
      </c>
      <c r="M161" s="646">
        <f t="array" aca="1" ref="M161" ca="1">SUM(IF($A$118:$A$152=$A161,M$118:M$152/$T$118:$T$152*Drivers!$R$58:$R$92))</f>
        <v>0.35767002880332605</v>
      </c>
      <c r="N161" s="646">
        <f t="array" aca="1" ref="N161" ca="1">SUM(IF($A$118:$A$152=$A161,N$118:N$152/$T$118:$T$152*Drivers!$R$58:$R$92))</f>
        <v>0</v>
      </c>
      <c r="O161" s="646">
        <f t="array" aca="1" ref="O161" ca="1">SUM(IF($A$118:$A$152=$A161,O$118:O$152/$T$118:$T$152*Drivers!$R$58:$R$92))</f>
        <v>0</v>
      </c>
      <c r="P161" s="646">
        <f t="array" aca="1" ref="P161" ca="1">SUM(IF($A$118:$A$152=$A161,P$118:P$152/$T$118:$T$152*Drivers!$R$58:$R$92))</f>
        <v>0</v>
      </c>
      <c r="Q161" s="646">
        <f t="array" aca="1" ref="Q161" ca="1">SUM(IF($A$118:$A$152=$A161,Q$118:Q$152/$T$118:$T$152*Drivers!$R$58:$R$92))</f>
        <v>114.38082320583214</v>
      </c>
      <c r="R161" s="646">
        <f t="array" aca="1" ref="R161" ca="1">SUM(IF($A$118:$A$152=$A161,R$118:R$152/$T$118:$T$152*Drivers!$R$58:$R$92))</f>
        <v>0</v>
      </c>
      <c r="S161" s="646">
        <f t="array" aca="1" ref="S161" ca="1">SUM(IF($A$118:$A$152=$A161,S$118:S$152/$T$118:$T$152*Drivers!$R$58:$R$92))</f>
        <v>18.75836580329436</v>
      </c>
      <c r="T161" s="646">
        <f>SUM(C161:S161)</f>
        <v>255.02724362448689</v>
      </c>
    </row>
    <row r="162" spans="1:24" hidden="1">
      <c r="B162" s="612" t="s">
        <v>415</v>
      </c>
      <c r="C162" s="630"/>
      <c r="D162" s="630"/>
      <c r="E162" s="630"/>
      <c r="F162" s="630"/>
      <c r="G162" s="630"/>
      <c r="H162" s="630"/>
      <c r="I162" s="630"/>
      <c r="J162" s="630"/>
      <c r="K162" s="630"/>
      <c r="L162" s="630"/>
      <c r="M162" s="630"/>
      <c r="N162" s="630"/>
      <c r="O162" s="630"/>
      <c r="P162" s="630"/>
      <c r="Q162" s="630"/>
      <c r="R162" s="630"/>
      <c r="S162" s="630"/>
      <c r="T162" s="630"/>
    </row>
    <row r="163" spans="1:24" hidden="1">
      <c r="B163" s="613" t="s">
        <v>568</v>
      </c>
      <c r="C163" s="634">
        <f t="array" ref="C163:S167">IF(C157:S161&gt;0,C99:S103/C157:S161,0)</f>
        <v>0.9758957074553718</v>
      </c>
      <c r="D163" s="634">
        <v>0.84669716722665067</v>
      </c>
      <c r="E163" s="634">
        <v>1.3971876660224283</v>
      </c>
      <c r="F163" s="634">
        <v>0</v>
      </c>
      <c r="G163" s="634">
        <v>0</v>
      </c>
      <c r="H163" s="634">
        <v>0.84694439922443665</v>
      </c>
      <c r="I163" s="634">
        <v>1.0390784797888739</v>
      </c>
      <c r="J163" s="634">
        <v>0.91499475025817445</v>
      </c>
      <c r="K163" s="634">
        <v>0</v>
      </c>
      <c r="L163" s="634">
        <v>1.0390784797888739</v>
      </c>
      <c r="M163" s="634">
        <v>1.0717837787427344</v>
      </c>
      <c r="N163" s="634">
        <v>0</v>
      </c>
      <c r="O163" s="634">
        <v>0</v>
      </c>
      <c r="P163" s="634">
        <v>0</v>
      </c>
      <c r="Q163" s="634">
        <v>0</v>
      </c>
      <c r="R163" s="634">
        <v>0</v>
      </c>
      <c r="S163" s="634">
        <v>1.5241275354461139</v>
      </c>
      <c r="T163" s="630"/>
    </row>
    <row r="164" spans="1:24" hidden="1">
      <c r="B164" s="613" t="s">
        <v>879</v>
      </c>
      <c r="C164" s="630">
        <v>1.0438396934876046</v>
      </c>
      <c r="D164" s="630">
        <v>0.76303869499611643</v>
      </c>
      <c r="E164" s="630">
        <v>1.6502659605274159</v>
      </c>
      <c r="F164" s="630">
        <v>0</v>
      </c>
      <c r="G164" s="630">
        <v>0.81758172464507473</v>
      </c>
      <c r="H164" s="630">
        <v>5.4626728643193943</v>
      </c>
      <c r="I164" s="630">
        <v>0</v>
      </c>
      <c r="J164" s="630">
        <v>0</v>
      </c>
      <c r="K164" s="630">
        <v>5.4626728643193951</v>
      </c>
      <c r="L164" s="630">
        <v>0.78093467524454263</v>
      </c>
      <c r="M164" s="630">
        <v>1.9636917777781</v>
      </c>
      <c r="N164" s="630">
        <v>0</v>
      </c>
      <c r="O164" s="630">
        <v>0</v>
      </c>
      <c r="P164" s="630">
        <v>0.84178284755262855</v>
      </c>
      <c r="Q164" s="630">
        <v>0.88404320867307984</v>
      </c>
      <c r="R164" s="630">
        <v>0</v>
      </c>
      <c r="S164" s="630">
        <v>5.4626728643193943</v>
      </c>
      <c r="T164" s="630"/>
    </row>
    <row r="165" spans="1:24" hidden="1">
      <c r="B165" s="613" t="s">
        <v>880</v>
      </c>
      <c r="C165" s="630">
        <v>0.88254868830800737</v>
      </c>
      <c r="D165" s="630">
        <v>1.002089536117992</v>
      </c>
      <c r="E165" s="630">
        <v>1.1264108746918111</v>
      </c>
      <c r="F165" s="630">
        <v>0</v>
      </c>
      <c r="G165" s="630">
        <v>0</v>
      </c>
      <c r="H165" s="630">
        <v>0</v>
      </c>
      <c r="I165" s="630">
        <v>0</v>
      </c>
      <c r="J165" s="630">
        <v>0</v>
      </c>
      <c r="K165" s="630">
        <v>0</v>
      </c>
      <c r="L165" s="630">
        <v>0.82556549204151086</v>
      </c>
      <c r="M165" s="630">
        <v>1.4744673062468046</v>
      </c>
      <c r="N165" s="630">
        <v>0</v>
      </c>
      <c r="O165" s="630">
        <v>0</v>
      </c>
      <c r="P165" s="630">
        <v>0</v>
      </c>
      <c r="Q165" s="630">
        <v>1.4744673062468046</v>
      </c>
      <c r="R165" s="630">
        <v>0</v>
      </c>
      <c r="S165" s="630">
        <v>1.4744673062468043</v>
      </c>
      <c r="T165" s="630"/>
    </row>
    <row r="166" spans="1:24" hidden="1">
      <c r="B166" s="613" t="s">
        <v>787</v>
      </c>
      <c r="C166" s="630">
        <v>0.93930371461780648</v>
      </c>
      <c r="D166" s="630">
        <v>0.8635186324963946</v>
      </c>
      <c r="E166" s="630">
        <v>0</v>
      </c>
      <c r="F166" s="630">
        <v>0</v>
      </c>
      <c r="G166" s="630">
        <v>0</v>
      </c>
      <c r="H166" s="630">
        <v>0</v>
      </c>
      <c r="I166" s="630">
        <v>0</v>
      </c>
      <c r="J166" s="630">
        <v>0</v>
      </c>
      <c r="K166" s="630">
        <v>0</v>
      </c>
      <c r="L166" s="630">
        <v>1.015636604938313</v>
      </c>
      <c r="M166" s="630">
        <v>0.9456938338850206</v>
      </c>
      <c r="N166" s="630">
        <v>0.92717966058628909</v>
      </c>
      <c r="O166" s="630">
        <v>0</v>
      </c>
      <c r="P166" s="630">
        <v>0</v>
      </c>
      <c r="Q166" s="630">
        <v>1.1181407047283407</v>
      </c>
      <c r="R166" s="630">
        <v>0</v>
      </c>
      <c r="S166" s="630">
        <v>1.1181407047283405</v>
      </c>
      <c r="T166" s="630"/>
    </row>
    <row r="167" spans="1:24" hidden="1">
      <c r="B167" s="613" t="s">
        <v>978</v>
      </c>
      <c r="C167" s="646">
        <v>0.98215791550242371</v>
      </c>
      <c r="D167" s="646">
        <v>0.82403262470663741</v>
      </c>
      <c r="E167" s="646">
        <v>0.63642762186602553</v>
      </c>
      <c r="F167" s="646">
        <v>0</v>
      </c>
      <c r="G167" s="646">
        <v>0.97254369626267523</v>
      </c>
      <c r="H167" s="646">
        <v>0</v>
      </c>
      <c r="I167" s="646">
        <v>0</v>
      </c>
      <c r="J167" s="646">
        <v>0</v>
      </c>
      <c r="K167" s="646">
        <v>1.0671279543679622</v>
      </c>
      <c r="L167" s="646">
        <v>0.71109122989800622</v>
      </c>
      <c r="M167" s="646">
        <v>0.59547207998552731</v>
      </c>
      <c r="N167" s="646">
        <v>0</v>
      </c>
      <c r="O167" s="646">
        <v>0</v>
      </c>
      <c r="P167" s="646">
        <v>0</v>
      </c>
      <c r="Q167" s="646">
        <v>1.0534282391179735</v>
      </c>
      <c r="R167" s="646">
        <v>0</v>
      </c>
      <c r="S167" s="646">
        <v>1.0671279543679624</v>
      </c>
      <c r="T167" s="630"/>
    </row>
    <row r="168" spans="1:24" hidden="1"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30"/>
      <c r="T168" s="630"/>
    </row>
    <row r="169" spans="1:24" hidden="1"/>
    <row r="170" spans="1:24" hidden="1">
      <c r="B170" s="612" t="s">
        <v>80</v>
      </c>
    </row>
    <row r="171" spans="1:24" hidden="1">
      <c r="C171" s="613" t="s">
        <v>905</v>
      </c>
      <c r="D171" s="613" t="s">
        <v>906</v>
      </c>
      <c r="E171" s="613" t="s">
        <v>907</v>
      </c>
      <c r="F171" s="613" t="s">
        <v>908</v>
      </c>
      <c r="G171" s="613" t="s">
        <v>909</v>
      </c>
      <c r="H171" s="613" t="s">
        <v>910</v>
      </c>
      <c r="I171" s="613" t="s">
        <v>911</v>
      </c>
      <c r="J171" s="613" t="s">
        <v>912</v>
      </c>
      <c r="K171" s="613" t="s">
        <v>1150</v>
      </c>
      <c r="L171" s="613" t="s">
        <v>913</v>
      </c>
      <c r="M171" s="613" t="s">
        <v>826</v>
      </c>
      <c r="N171" s="613" t="s">
        <v>914</v>
      </c>
      <c r="O171" s="613" t="s">
        <v>915</v>
      </c>
      <c r="P171" s="613" t="s">
        <v>916</v>
      </c>
      <c r="Q171" s="613" t="s">
        <v>917</v>
      </c>
      <c r="R171" s="613" t="s">
        <v>950</v>
      </c>
      <c r="S171" s="613" t="s">
        <v>946</v>
      </c>
      <c r="T171" s="613" t="s">
        <v>888</v>
      </c>
      <c r="V171" s="613" t="s">
        <v>257</v>
      </c>
      <c r="X171" s="613" t="s">
        <v>258</v>
      </c>
    </row>
    <row r="172" spans="1:24" hidden="1">
      <c r="A172" s="613" t="str">
        <f t="shared" ref="A172:A199" si="69">MID(B172,1,3)</f>
        <v>IIS</v>
      </c>
      <c r="B172" s="613" t="s">
        <v>961</v>
      </c>
      <c r="C172" s="738">
        <f ca="1">Drivers!$R58*C118/$T118*INDEX($B$163:$S$167,$A118,C$4)</f>
        <v>0</v>
      </c>
      <c r="D172" s="738">
        <f ca="1">Drivers!$R58*D118/$T118*INDEX($B$163:$S$167,$A118,D$4)</f>
        <v>0.93667858055444153</v>
      </c>
      <c r="E172" s="738">
        <f ca="1">Drivers!$R58*E118/$T118*INDEX($B$163:$S$167,$A118,E$4)</f>
        <v>0</v>
      </c>
      <c r="F172" s="738">
        <f ca="1">Drivers!$R58*F118/$T118*INDEX($B$163:$S$167,$A118,F$4)</f>
        <v>0</v>
      </c>
      <c r="G172" s="738">
        <f ca="1">Drivers!$R58*G118/$T118*INDEX($B$163:$S$167,$A118,G$4)</f>
        <v>0</v>
      </c>
      <c r="H172" s="738">
        <f ca="1">Drivers!$R58*H118/$T118*INDEX($B$163:$S$167,$A118,H$4)</f>
        <v>4.9030347707388744</v>
      </c>
      <c r="I172" s="738">
        <f ca="1">Drivers!$R58*I118/$T118*INDEX($B$163:$S$167,$A118,I$4)</f>
        <v>2.6330998366033103</v>
      </c>
      <c r="J172" s="738">
        <f ca="1">Drivers!$R58*J118/$T118*INDEX($B$163:$S$167,$A118,J$4)</f>
        <v>1.8492227682592619</v>
      </c>
      <c r="K172" s="738">
        <f ca="1">Drivers!$R58*K118/$T118*INDEX($B$163:$S$167,$A118,K$4)</f>
        <v>0</v>
      </c>
      <c r="L172" s="738">
        <f ca="1">Drivers!$R58*L118/$T118*INDEX($B$163:$S$167,$A118,L$4)</f>
        <v>1.5479644447168781</v>
      </c>
      <c r="M172" s="738">
        <f ca="1">Drivers!$R58*M118/$T118*INDEX($B$163:$S$167,$A118,M$4)</f>
        <v>0</v>
      </c>
      <c r="N172" s="738">
        <f ca="1">Drivers!$R58*N118/$T118*INDEX($B$163:$S$167,$A118,N$4)</f>
        <v>0</v>
      </c>
      <c r="O172" s="738">
        <f ca="1">Drivers!$R58*O118/$T118*INDEX($B$163:$S$167,$A118,O$4)</f>
        <v>0</v>
      </c>
      <c r="P172" s="738">
        <f ca="1">Drivers!$R58*P118/$T118*INDEX($B$163:$S$167,$A118,P$4)</f>
        <v>0</v>
      </c>
      <c r="Q172" s="738">
        <f ca="1">Drivers!$R58*Q118/$T118*INDEX($B$163:$S$167,$A118,Q$4)</f>
        <v>0</v>
      </c>
      <c r="R172" s="738">
        <f ca="1">Drivers!$R58*R118/$T118*INDEX($B$163:$S$167,$A118,R$4)</f>
        <v>0</v>
      </c>
      <c r="S172" s="738">
        <f ca="1">Drivers!$R58*S118/$T118*INDEX($B$163:$S$167,$A118,S$4)</f>
        <v>0</v>
      </c>
      <c r="T172" s="738">
        <f t="shared" ref="T172:T206" si="70">SUM(C172:S172)</f>
        <v>11.870000400872767</v>
      </c>
      <c r="V172" s="613">
        <f ca="1">VLOOKUP($B172,Drivers!$E$58:$M$93,9,FALSE)</f>
        <v>12.940200000000001</v>
      </c>
      <c r="W172" s="613" t="s">
        <v>213</v>
      </c>
      <c r="X172" s="613">
        <f t="shared" ref="X172:X206" si="71">IF(T172&gt;0,V172/T172)</f>
        <v>1.0901600305799943</v>
      </c>
    </row>
    <row r="173" spans="1:24" hidden="1">
      <c r="A173" s="613" t="str">
        <f t="shared" si="69"/>
        <v>IIS</v>
      </c>
      <c r="B173" s="613" t="s">
        <v>368</v>
      </c>
      <c r="C173" s="738">
        <f ca="1">Drivers!$R59*C119/$T119*INDEX($B$163:$S$167,$A119,C$4)</f>
        <v>0</v>
      </c>
      <c r="D173" s="738">
        <f ca="1">Drivers!$R59*D119/$T119*INDEX($B$163:$S$167,$A119,D$4)</f>
        <v>0</v>
      </c>
      <c r="E173" s="738">
        <f ca="1">Drivers!$R59*E119/$T119*INDEX($B$163:$S$167,$A119,E$4)</f>
        <v>0</v>
      </c>
      <c r="F173" s="738">
        <f ca="1">Drivers!$R59*F119/$T119*INDEX($B$163:$S$167,$A119,F$4)</f>
        <v>0</v>
      </c>
      <c r="G173" s="738">
        <f ca="1">Drivers!$R59*G119/$T119*INDEX($B$163:$S$167,$A119,G$4)</f>
        <v>0</v>
      </c>
      <c r="H173" s="738">
        <f ca="1">Drivers!$R59*H119/$T119*INDEX($B$163:$S$167,$A119,H$4)</f>
        <v>0</v>
      </c>
      <c r="I173" s="738">
        <f ca="1">Drivers!$R59*I119/$T119*INDEX($B$163:$S$167,$A119,I$4)</f>
        <v>0</v>
      </c>
      <c r="J173" s="738">
        <f ca="1">Drivers!$R59*J119/$T119*INDEX($B$163:$S$167,$A119,J$4)</f>
        <v>0</v>
      </c>
      <c r="K173" s="738">
        <f ca="1">Drivers!$R59*K119/$T119*INDEX($B$163:$S$167,$A119,K$4)</f>
        <v>0</v>
      </c>
      <c r="L173" s="738">
        <f ca="1">Drivers!$R59*L119/$T119*INDEX($B$163:$S$167,$A119,L$4)</f>
        <v>0</v>
      </c>
      <c r="M173" s="738">
        <f ca="1">Drivers!$R59*M119/$T119*INDEX($B$163:$S$167,$A119,M$4)</f>
        <v>0</v>
      </c>
      <c r="N173" s="738">
        <f ca="1">Drivers!$R59*N119/$T119*INDEX($B$163:$S$167,$A119,N$4)</f>
        <v>0</v>
      </c>
      <c r="O173" s="738">
        <f ca="1">Drivers!$R59*O119/$T119*INDEX($B$163:$S$167,$A119,O$4)</f>
        <v>0</v>
      </c>
      <c r="P173" s="738">
        <f ca="1">Drivers!$R59*P119/$T119*INDEX($B$163:$S$167,$A119,P$4)</f>
        <v>0</v>
      </c>
      <c r="Q173" s="738">
        <f ca="1">Drivers!$R59*Q119/$T119*INDEX($B$163:$S$167,$A119,Q$4)</f>
        <v>0</v>
      </c>
      <c r="R173" s="738">
        <f ca="1">Drivers!$R59*R119/$T119*INDEX($B$163:$S$167,$A119,R$4)</f>
        <v>0</v>
      </c>
      <c r="S173" s="738">
        <f ca="1">Drivers!$R59*S119/$T119*INDEX($B$163:$S$167,$A119,S$4)</f>
        <v>0</v>
      </c>
      <c r="T173" s="738">
        <f t="shared" si="70"/>
        <v>0</v>
      </c>
      <c r="V173" s="613">
        <f ca="1">VLOOKUP($B173,Drivers!$E$58:$M$93,9,FALSE)</f>
        <v>0</v>
      </c>
      <c r="W173" s="613" t="s">
        <v>367</v>
      </c>
      <c r="X173" s="613" t="b">
        <f t="shared" si="71"/>
        <v>0</v>
      </c>
    </row>
    <row r="174" spans="1:24" hidden="1">
      <c r="A174" s="613" t="str">
        <f t="shared" si="69"/>
        <v>IIS</v>
      </c>
      <c r="B174" s="613" t="s">
        <v>366</v>
      </c>
      <c r="C174" s="738">
        <f ca="1">Drivers!$R60*C120/$T120*INDEX($B$163:$S$167,$A120,C$4)</f>
        <v>2.5307586512140507</v>
      </c>
      <c r="D174" s="738">
        <f ca="1">Drivers!$R60*D120/$T120*INDEX($B$163:$S$167,$A120,D$4)</f>
        <v>0.9168890448342718</v>
      </c>
      <c r="E174" s="738">
        <f ca="1">Drivers!$R60*E120/$T120*INDEX($B$163:$S$167,$A120,E$4)</f>
        <v>0</v>
      </c>
      <c r="F174" s="738">
        <f ca="1">Drivers!$R60*F120/$T120*INDEX($B$163:$S$167,$A120,F$4)</f>
        <v>0</v>
      </c>
      <c r="G174" s="738">
        <f ca="1">Drivers!$R60*G120/$T120*INDEX($B$163:$S$167,$A120,G$4)</f>
        <v>0</v>
      </c>
      <c r="H174" s="738">
        <f ca="1">Drivers!$R60*H120/$T120*INDEX($B$163:$S$167,$A120,H$4)</f>
        <v>0</v>
      </c>
      <c r="I174" s="738">
        <f ca="1">Drivers!$R60*I120/$T120*INDEX($B$163:$S$167,$A120,I$4)</f>
        <v>0</v>
      </c>
      <c r="J174" s="738">
        <f ca="1">Drivers!$R60*J120/$T120*INDEX($B$163:$S$167,$A120,J$4)</f>
        <v>0</v>
      </c>
      <c r="K174" s="738">
        <f ca="1">Drivers!$R60*K120/$T120*INDEX($B$163:$S$167,$A120,K$4)</f>
        <v>0</v>
      </c>
      <c r="L174" s="738">
        <f ca="1">Drivers!$R60*L120/$T120*INDEX($B$163:$S$167,$A120,L$4)</f>
        <v>0</v>
      </c>
      <c r="M174" s="738">
        <f ca="1">Drivers!$R60*M120/$T120*INDEX($B$163:$S$167,$A120,M$4)</f>
        <v>5.9571525419037548E-2</v>
      </c>
      <c r="N174" s="738">
        <f ca="1">Drivers!$R60*N120/$T120*INDEX($B$163:$S$167,$A120,N$4)</f>
        <v>0</v>
      </c>
      <c r="O174" s="738">
        <f ca="1">Drivers!$R60*O120/$T120*INDEX($B$163:$S$167,$A120,O$4)</f>
        <v>0</v>
      </c>
      <c r="P174" s="738">
        <f ca="1">Drivers!$R60*P120/$T120*INDEX($B$163:$S$167,$A120,P$4)</f>
        <v>0</v>
      </c>
      <c r="Q174" s="738">
        <f ca="1">Drivers!$R60*Q120/$T120*INDEX($B$163:$S$167,$A120,Q$4)</f>
        <v>0</v>
      </c>
      <c r="R174" s="738">
        <f ca="1">Drivers!$R60*R120/$T120*INDEX($B$163:$S$167,$A120,R$4)</f>
        <v>0</v>
      </c>
      <c r="S174" s="738">
        <f ca="1">Drivers!$R60*S120/$T120*INDEX($B$163:$S$167,$A120,S$4)</f>
        <v>0</v>
      </c>
      <c r="T174" s="738">
        <f t="shared" si="70"/>
        <v>3.5072192214673601</v>
      </c>
      <c r="V174" s="613">
        <f ca="1">VLOOKUP($B174,Drivers!$E$58:$M$93,9,FALSE)</f>
        <v>3.7317499999999999</v>
      </c>
      <c r="W174" s="613" t="s">
        <v>365</v>
      </c>
      <c r="X174" s="613">
        <f t="shared" si="71"/>
        <v>1.0640196019565324</v>
      </c>
    </row>
    <row r="175" spans="1:24" hidden="1">
      <c r="A175" s="613" t="str">
        <f t="shared" si="69"/>
        <v>IIS</v>
      </c>
      <c r="B175" s="613" t="s">
        <v>410</v>
      </c>
      <c r="C175" s="738">
        <f ca="1">Drivers!$R61*C121/$T121*INDEX($B$163:$S$167,$A121,C$4)</f>
        <v>3.1927328054678701</v>
      </c>
      <c r="D175" s="738">
        <f ca="1">Drivers!$R61*D121/$T121*INDEX($B$163:$S$167,$A121,D$4)</f>
        <v>0</v>
      </c>
      <c r="E175" s="738">
        <f ca="1">Drivers!$R61*E121/$T121*INDEX($B$163:$S$167,$A121,E$4)</f>
        <v>0</v>
      </c>
      <c r="F175" s="738">
        <f ca="1">Drivers!$R61*F121/$T121*INDEX($B$163:$S$167,$A121,F$4)</f>
        <v>0</v>
      </c>
      <c r="G175" s="738">
        <f ca="1">Drivers!$R61*G121/$T121*INDEX($B$163:$S$167,$A121,G$4)</f>
        <v>0</v>
      </c>
      <c r="H175" s="738">
        <f ca="1">Drivers!$R61*H121/$T121*INDEX($B$163:$S$167,$A121,H$4)</f>
        <v>2.8832594062700534</v>
      </c>
      <c r="I175" s="738">
        <f ca="1">Drivers!$R61*I121/$T121*INDEX($B$163:$S$167,$A121,I$4)</f>
        <v>0</v>
      </c>
      <c r="J175" s="738">
        <f ca="1">Drivers!$R61*J121/$T121*INDEX($B$163:$S$167,$A121,J$4)</f>
        <v>0</v>
      </c>
      <c r="K175" s="738">
        <f ca="1">Drivers!$R61*K121/$T121*INDEX($B$163:$S$167,$A121,K$4)</f>
        <v>0</v>
      </c>
      <c r="L175" s="738">
        <f ca="1">Drivers!$R61*L121/$T121*INDEX($B$163:$S$167,$A121,L$4)</f>
        <v>0</v>
      </c>
      <c r="M175" s="738">
        <f ca="1">Drivers!$R61*M121/$T121*INDEX($B$163:$S$167,$A121,M$4)</f>
        <v>0</v>
      </c>
      <c r="N175" s="738">
        <f ca="1">Drivers!$R61*N121/$T121*INDEX($B$163:$S$167,$A121,N$4)</f>
        <v>0</v>
      </c>
      <c r="O175" s="738">
        <f ca="1">Drivers!$R61*O121/$T121*INDEX($B$163:$S$167,$A121,O$4)</f>
        <v>0</v>
      </c>
      <c r="P175" s="738">
        <f ca="1">Drivers!$R61*P121/$T121*INDEX($B$163:$S$167,$A121,P$4)</f>
        <v>0</v>
      </c>
      <c r="Q175" s="738">
        <f ca="1">Drivers!$R61*Q121/$T121*INDEX($B$163:$S$167,$A121,Q$4)</f>
        <v>0</v>
      </c>
      <c r="R175" s="738">
        <f ca="1">Drivers!$R61*R121/$T121*INDEX($B$163:$S$167,$A121,R$4)</f>
        <v>0</v>
      </c>
      <c r="S175" s="738">
        <f ca="1">Drivers!$R61*S121/$T121*INDEX($B$163:$S$167,$A121,S$4)</f>
        <v>0</v>
      </c>
      <c r="T175" s="738">
        <f t="shared" si="70"/>
        <v>6.0759922117379235</v>
      </c>
      <c r="V175" s="613">
        <f ca="1">VLOOKUP($B175,Drivers!$E$58:$M$93,9,FALSE)</f>
        <v>6.6758999999999995</v>
      </c>
      <c r="W175" s="613" t="s">
        <v>409</v>
      </c>
      <c r="X175" s="613">
        <f t="shared" si="71"/>
        <v>1.098734127259601</v>
      </c>
    </row>
    <row r="176" spans="1:24" hidden="1">
      <c r="A176" s="613" t="str">
        <f t="shared" si="69"/>
        <v>IIS</v>
      </c>
      <c r="B176" s="613" t="s">
        <v>1286</v>
      </c>
      <c r="C176" s="738">
        <f ca="1">Drivers!$R62*C122/$T122*INDEX($B$163:$S$167,$A122,C$4)</f>
        <v>0.1910953830070278</v>
      </c>
      <c r="D176" s="738">
        <f ca="1">Drivers!$R62*D122/$T122*INDEX($B$163:$S$167,$A122,D$4)</f>
        <v>0</v>
      </c>
      <c r="E176" s="738">
        <f ca="1">Drivers!$R62*E122/$T122*INDEX($B$163:$S$167,$A122,E$4)</f>
        <v>0.51569824358832117</v>
      </c>
      <c r="F176" s="738">
        <f ca="1">Drivers!$R62*F122/$T122*INDEX($B$163:$S$167,$A122,F$4)</f>
        <v>0</v>
      </c>
      <c r="G176" s="738">
        <f ca="1">Drivers!$R62*G122/$T122*INDEX($B$163:$S$167,$A122,G$4)</f>
        <v>0</v>
      </c>
      <c r="H176" s="738">
        <f ca="1">Drivers!$R62*H122/$T122*INDEX($B$163:$S$167,$A122,H$4)</f>
        <v>0.13805791943658749</v>
      </c>
      <c r="I176" s="738">
        <f ca="1">Drivers!$R62*I122/$T122*INDEX($B$163:$S$167,$A122,I$4)</f>
        <v>0</v>
      </c>
      <c r="J176" s="738">
        <f ca="1">Drivers!$R62*J122/$T122*INDEX($B$163:$S$167,$A122,J$4)</f>
        <v>0</v>
      </c>
      <c r="K176" s="738">
        <f ca="1">Drivers!$R62*K122/$T122*INDEX($B$163:$S$167,$A122,K$4)</f>
        <v>0</v>
      </c>
      <c r="L176" s="738">
        <f ca="1">Drivers!$R62*L122/$T122*INDEX($B$163:$S$167,$A122,L$4)</f>
        <v>0</v>
      </c>
      <c r="M176" s="738">
        <f ca="1">Drivers!$R62*M122/$T122*INDEX($B$163:$S$167,$A122,M$4)</f>
        <v>0</v>
      </c>
      <c r="N176" s="738">
        <f ca="1">Drivers!$R62*N122/$T122*INDEX($B$163:$S$167,$A122,N$4)</f>
        <v>0</v>
      </c>
      <c r="O176" s="738">
        <f ca="1">Drivers!$R62*O122/$T122*INDEX($B$163:$S$167,$A122,O$4)</f>
        <v>0</v>
      </c>
      <c r="P176" s="738">
        <f ca="1">Drivers!$R62*P122/$T122*INDEX($B$163:$S$167,$A122,P$4)</f>
        <v>0</v>
      </c>
      <c r="Q176" s="738">
        <f ca="1">Drivers!$R62*Q122/$T122*INDEX($B$163:$S$167,$A122,Q$4)</f>
        <v>0</v>
      </c>
      <c r="R176" s="738">
        <f ca="1">Drivers!$R62*R122/$T122*INDEX($B$163:$S$167,$A122,R$4)</f>
        <v>0</v>
      </c>
      <c r="S176" s="738">
        <f ca="1">Drivers!$R62*S122/$T122*INDEX($B$163:$S$167,$A122,S$4)</f>
        <v>0</v>
      </c>
      <c r="T176" s="738">
        <f t="shared" si="70"/>
        <v>0.84485154603193646</v>
      </c>
      <c r="V176" s="613">
        <f ca="1">VLOOKUP($B176,Drivers!$E$58:$M$93,9,FALSE)</f>
        <v>0.72791977222270376</v>
      </c>
      <c r="W176" s="613" t="s">
        <v>1285</v>
      </c>
      <c r="X176" s="613">
        <f t="shared" si="71"/>
        <v>0.86159488686689045</v>
      </c>
    </row>
    <row r="177" spans="1:24" hidden="1">
      <c r="A177" s="613" t="str">
        <f t="shared" si="69"/>
        <v>IIS</v>
      </c>
      <c r="B177" s="613" t="s">
        <v>962</v>
      </c>
      <c r="C177" s="738">
        <f ca="1">Drivers!$R63*C123/$T123*INDEX($B$163:$S$167,$A123,C$4)</f>
        <v>5.8082681893631065</v>
      </c>
      <c r="D177" s="738">
        <f ca="1">Drivers!$R63*D123/$T123*INDEX($B$163:$S$167,$A123,D$4)</f>
        <v>0</v>
      </c>
      <c r="E177" s="738">
        <f ca="1">Drivers!$R63*E123/$T123*INDEX($B$163:$S$167,$A123,E$4)</f>
        <v>2.1770059831516444</v>
      </c>
      <c r="F177" s="738">
        <f ca="1">Drivers!$R63*F123/$T123*INDEX($B$163:$S$167,$A123,F$4)</f>
        <v>0</v>
      </c>
      <c r="G177" s="738">
        <f ca="1">Drivers!$R63*G123/$T123*INDEX($B$163:$S$167,$A123,G$4)</f>
        <v>0</v>
      </c>
      <c r="H177" s="738">
        <f ca="1">Drivers!$R63*H123/$T123*INDEX($B$163:$S$167,$A123,H$4)</f>
        <v>0</v>
      </c>
      <c r="I177" s="738">
        <f ca="1">Drivers!$R63*I123/$T123*INDEX($B$163:$S$167,$A123,I$4)</f>
        <v>0</v>
      </c>
      <c r="J177" s="738">
        <f ca="1">Drivers!$R63*J123/$T123*INDEX($B$163:$S$167,$A123,J$4)</f>
        <v>0</v>
      </c>
      <c r="K177" s="738">
        <f ca="1">Drivers!$R63*K123/$T123*INDEX($B$163:$S$167,$A123,K$4)</f>
        <v>0</v>
      </c>
      <c r="L177" s="738">
        <f ca="1">Drivers!$R63*L123/$T123*INDEX($B$163:$S$167,$A123,L$4)</f>
        <v>0</v>
      </c>
      <c r="M177" s="738">
        <f ca="1">Drivers!$R63*M123/$T123*INDEX($B$163:$S$167,$A123,M$4)</f>
        <v>7.5956010686809836E-2</v>
      </c>
      <c r="N177" s="738">
        <f ca="1">Drivers!$R63*N123/$T123*INDEX($B$163:$S$167,$A123,N$4)</f>
        <v>0</v>
      </c>
      <c r="O177" s="738">
        <f ca="1">Drivers!$R63*O123/$T123*INDEX($B$163:$S$167,$A123,O$4)</f>
        <v>0</v>
      </c>
      <c r="P177" s="738">
        <f ca="1">Drivers!$R63*P123/$T123*INDEX($B$163:$S$167,$A123,P$4)</f>
        <v>0</v>
      </c>
      <c r="Q177" s="738">
        <f ca="1">Drivers!$R63*Q123/$T123*INDEX($B$163:$S$167,$A123,Q$4)</f>
        <v>0</v>
      </c>
      <c r="R177" s="738">
        <f ca="1">Drivers!$R63*R123/$T123*INDEX($B$163:$S$167,$A123,R$4)</f>
        <v>0</v>
      </c>
      <c r="S177" s="738">
        <f ca="1">Drivers!$R63*S123/$T123*INDEX($B$163:$S$167,$A123,S$4)</f>
        <v>0</v>
      </c>
      <c r="T177" s="738">
        <f t="shared" si="70"/>
        <v>8.0612301832015607</v>
      </c>
      <c r="V177" s="613">
        <f ca="1">VLOOKUP($B177,Drivers!$E$58:$M$93,9,FALSE)</f>
        <v>7.5807334921563374</v>
      </c>
      <c r="W177" s="613" t="s">
        <v>224</v>
      </c>
      <c r="X177" s="613">
        <f t="shared" si="71"/>
        <v>0.94039412346188689</v>
      </c>
    </row>
    <row r="178" spans="1:24" hidden="1">
      <c r="A178" s="613" t="str">
        <f t="shared" si="69"/>
        <v>IIS</v>
      </c>
      <c r="B178" s="613" t="s">
        <v>963</v>
      </c>
      <c r="C178" s="738">
        <f ca="1">Drivers!$R64*C124/$T124*INDEX($B$163:$S$167,$A124,C$4)</f>
        <v>0</v>
      </c>
      <c r="D178" s="738">
        <f ca="1">Drivers!$R64*D124/$T124*INDEX($B$163:$S$167,$A124,D$4)</f>
        <v>0.21724460261128672</v>
      </c>
      <c r="E178" s="738">
        <f ca="1">Drivers!$R64*E124/$T124*INDEX($B$163:$S$167,$A124,E$4)</f>
        <v>2.4272787772600335</v>
      </c>
      <c r="F178" s="738">
        <f ca="1">Drivers!$R64*F124/$T124*INDEX($B$163:$S$167,$A124,F$4)</f>
        <v>0</v>
      </c>
      <c r="G178" s="738">
        <f ca="1">Drivers!$R64*G124/$T124*INDEX($B$163:$S$167,$A124,G$4)</f>
        <v>0</v>
      </c>
      <c r="H178" s="738">
        <f ca="1">Drivers!$R64*H124/$T124*INDEX($B$163:$S$167,$A124,H$4)</f>
        <v>0.16245210355448519</v>
      </c>
      <c r="I178" s="738">
        <f ca="1">Drivers!$R64*I124/$T124*INDEX($B$163:$S$167,$A124,I$4)</f>
        <v>1.2213938473966903</v>
      </c>
      <c r="J178" s="738">
        <f ca="1">Drivers!$R64*J124/$T124*INDEX($B$163:$S$167,$A124,J$4)</f>
        <v>0.30635121174073821</v>
      </c>
      <c r="K178" s="738">
        <f ca="1">Drivers!$R64*K124/$T124*INDEX($B$163:$S$167,$A124,K$4)</f>
        <v>0</v>
      </c>
      <c r="L178" s="738">
        <f ca="1">Drivers!$R64*L124/$T124*INDEX($B$163:$S$167,$A124,L$4)</f>
        <v>0.71804123128312236</v>
      </c>
      <c r="M178" s="738">
        <f ca="1">Drivers!$R64*M124/$T124*INDEX($B$163:$S$167,$A124,M$4)</f>
        <v>3.3875223894152671E-2</v>
      </c>
      <c r="N178" s="738">
        <f ca="1">Drivers!$R64*N124/$T124*INDEX($B$163:$S$167,$A124,N$4)</f>
        <v>0</v>
      </c>
      <c r="O178" s="738">
        <f ca="1">Drivers!$R64*O124/$T124*INDEX($B$163:$S$167,$A124,O$4)</f>
        <v>0</v>
      </c>
      <c r="P178" s="738">
        <f ca="1">Drivers!$R64*P124/$T124*INDEX($B$163:$S$167,$A124,P$4)</f>
        <v>0</v>
      </c>
      <c r="Q178" s="738">
        <f ca="1">Drivers!$R64*Q124/$T124*INDEX($B$163:$S$167,$A124,Q$4)</f>
        <v>0</v>
      </c>
      <c r="R178" s="738">
        <f ca="1">Drivers!$R64*R124/$T124*INDEX($B$163:$S$167,$A124,R$4)</f>
        <v>0</v>
      </c>
      <c r="S178" s="738">
        <f ca="1">Drivers!$R64*S124/$T124*INDEX($B$163:$S$167,$A124,S$4)</f>
        <v>1.8294829327928601</v>
      </c>
      <c r="T178" s="738">
        <f t="shared" si="70"/>
        <v>6.9161199305333696</v>
      </c>
      <c r="V178" s="613">
        <f ca="1">VLOOKUP($B178,Drivers!$E$58:$M$93,9,FALSE)</f>
        <v>5.6189102294658788</v>
      </c>
      <c r="W178" s="613" t="s">
        <v>223</v>
      </c>
      <c r="X178" s="613">
        <f t="shared" si="71"/>
        <v>0.81243678332694125</v>
      </c>
    </row>
    <row r="179" spans="1:24" hidden="1">
      <c r="A179" s="613" t="str">
        <f t="shared" si="69"/>
        <v>INM</v>
      </c>
      <c r="B179" s="613" t="s">
        <v>964</v>
      </c>
      <c r="C179" s="738">
        <f ca="1">Drivers!$R65*C125/$T125*INDEX($B$163:$S$167,$A125,C$4)</f>
        <v>0</v>
      </c>
      <c r="D179" s="738">
        <f ca="1">Drivers!$R65*D125/$T125*INDEX($B$163:$S$167,$A125,D$4)</f>
        <v>0</v>
      </c>
      <c r="E179" s="738">
        <f ca="1">Drivers!$R65*E125/$T125*INDEX($B$163:$S$167,$A125,E$4)</f>
        <v>0</v>
      </c>
      <c r="F179" s="738">
        <f ca="1">Drivers!$R65*F125/$T125*INDEX($B$163:$S$167,$A125,F$4)</f>
        <v>0</v>
      </c>
      <c r="G179" s="738">
        <f ca="1">Drivers!$R65*G125/$T125*INDEX($B$163:$S$167,$A125,G$4)</f>
        <v>0</v>
      </c>
      <c r="H179" s="738">
        <f ca="1">Drivers!$R65*H125/$T125*INDEX($B$163:$S$167,$A125,H$4)</f>
        <v>0</v>
      </c>
      <c r="I179" s="738">
        <f ca="1">Drivers!$R65*I125/$T125*INDEX($B$163:$S$167,$A125,I$4)</f>
        <v>0</v>
      </c>
      <c r="J179" s="738">
        <f ca="1">Drivers!$R65*J125/$T125*INDEX($B$163:$S$167,$A125,J$4)</f>
        <v>0</v>
      </c>
      <c r="K179" s="738">
        <f ca="1">Drivers!$R65*K125/$T125*INDEX($B$163:$S$167,$A125,K$4)</f>
        <v>0</v>
      </c>
      <c r="L179" s="738">
        <f ca="1">Drivers!$R65*L125/$T125*INDEX($B$163:$S$167,$A125,L$4)</f>
        <v>0</v>
      </c>
      <c r="M179" s="738">
        <f ca="1">Drivers!$R65*M125/$T125*INDEX($B$163:$S$167,$A125,M$4)</f>
        <v>0</v>
      </c>
      <c r="N179" s="738">
        <f ca="1">Drivers!$R65*N125/$T125*INDEX($B$163:$S$167,$A125,N$4)</f>
        <v>0</v>
      </c>
      <c r="O179" s="738">
        <f ca="1">Drivers!$R65*O125/$T125*INDEX($B$163:$S$167,$A125,O$4)</f>
        <v>0</v>
      </c>
      <c r="P179" s="738">
        <f ca="1">Drivers!$R65*P125/$T125*INDEX($B$163:$S$167,$A125,P$4)</f>
        <v>0</v>
      </c>
      <c r="Q179" s="738">
        <f ca="1">Drivers!$R65*Q125/$T125*INDEX($B$163:$S$167,$A125,Q$4)</f>
        <v>0</v>
      </c>
      <c r="R179" s="738">
        <f ca="1">Drivers!$R65*R125/$T125*INDEX($B$163:$S$167,$A125,R$4)</f>
        <v>0</v>
      </c>
      <c r="S179" s="738">
        <f ca="1">Drivers!$R65*S125/$T125*INDEX($B$163:$S$167,$A125,S$4)</f>
        <v>0</v>
      </c>
      <c r="T179" s="738">
        <f t="shared" si="70"/>
        <v>0</v>
      </c>
      <c r="V179" s="613">
        <f ca="1">VLOOKUP($B179,Drivers!$E$58:$M$93,9,FALSE)</f>
        <v>0</v>
      </c>
      <c r="W179" s="613" t="s">
        <v>215</v>
      </c>
      <c r="X179" s="613" t="b">
        <f t="shared" si="71"/>
        <v>0</v>
      </c>
    </row>
    <row r="180" spans="1:24" hidden="1">
      <c r="A180" s="613" t="str">
        <f t="shared" si="69"/>
        <v>INM</v>
      </c>
      <c r="B180" s="613" t="s">
        <v>965</v>
      </c>
      <c r="C180" s="738">
        <f ca="1">Drivers!$R66*C126/$T126*INDEX($B$163:$S$167,$A126,C$4)</f>
        <v>0</v>
      </c>
      <c r="D180" s="738">
        <f ca="1">Drivers!$R66*D126/$T126*INDEX($B$163:$S$167,$A126,D$4)</f>
        <v>0.36211398649639631</v>
      </c>
      <c r="E180" s="738">
        <f ca="1">Drivers!$R66*E126/$T126*INDEX($B$163:$S$167,$A126,E$4)</f>
        <v>0</v>
      </c>
      <c r="F180" s="738">
        <f ca="1">Drivers!$R66*F126/$T126*INDEX($B$163:$S$167,$A126,F$4)</f>
        <v>0</v>
      </c>
      <c r="G180" s="738">
        <f ca="1">Drivers!$R66*G126/$T126*INDEX($B$163:$S$167,$A126,G$4)</f>
        <v>1.4161834926002375</v>
      </c>
      <c r="H180" s="738">
        <f ca="1">Drivers!$R66*H126/$T126*INDEX($B$163:$S$167,$A126,H$4)</f>
        <v>0</v>
      </c>
      <c r="I180" s="738">
        <f ca="1">Drivers!$R66*I126/$T126*INDEX($B$163:$S$167,$A126,I$4)</f>
        <v>0</v>
      </c>
      <c r="J180" s="738">
        <f ca="1">Drivers!$R66*J126/$T126*INDEX($B$163:$S$167,$A126,J$4)</f>
        <v>0</v>
      </c>
      <c r="K180" s="738">
        <f ca="1">Drivers!$R66*K126/$T126*INDEX($B$163:$S$167,$A126,K$4)</f>
        <v>0</v>
      </c>
      <c r="L180" s="738">
        <f ca="1">Drivers!$R66*L126/$T126*INDEX($B$163:$S$167,$A126,L$4)</f>
        <v>0.29443248387783139</v>
      </c>
      <c r="M180" s="738">
        <f ca="1">Drivers!$R66*M126/$T126*INDEX($B$163:$S$167,$A126,M$4)</f>
        <v>0</v>
      </c>
      <c r="N180" s="738">
        <f ca="1">Drivers!$R66*N126/$T126*INDEX($B$163:$S$167,$A126,N$4)</f>
        <v>0</v>
      </c>
      <c r="O180" s="738">
        <f ca="1">Drivers!$R66*O126/$T126*INDEX($B$163:$S$167,$A126,O$4)</f>
        <v>0</v>
      </c>
      <c r="P180" s="738">
        <f ca="1">Drivers!$R66*P126/$T126*INDEX($B$163:$S$167,$A126,P$4)</f>
        <v>0.93740197427171446</v>
      </c>
      <c r="Q180" s="738">
        <f ca="1">Drivers!$R66*Q126/$T126*INDEX($B$163:$S$167,$A126,Q$4)</f>
        <v>0.17830648074479521</v>
      </c>
      <c r="R180" s="738">
        <f ca="1">Drivers!$R66*R126/$T126*INDEX($B$163:$S$167,$A126,R$4)</f>
        <v>0</v>
      </c>
      <c r="S180" s="738">
        <f ca="1">Drivers!$R66*S126/$T126*INDEX($B$163:$S$167,$A126,S$4)</f>
        <v>0</v>
      </c>
      <c r="T180" s="738">
        <f t="shared" si="70"/>
        <v>3.1884384179909748</v>
      </c>
      <c r="V180" s="613">
        <f ca="1">VLOOKUP($B180,Drivers!$E$58:$M$93,9,FALSE)</f>
        <v>3.8990409599999993</v>
      </c>
      <c r="W180" s="613" t="s">
        <v>217</v>
      </c>
      <c r="X180" s="613">
        <f t="shared" si="71"/>
        <v>1.2228685170770126</v>
      </c>
    </row>
    <row r="181" spans="1:24" hidden="1">
      <c r="A181" s="613" t="str">
        <f t="shared" si="69"/>
        <v>INM</v>
      </c>
      <c r="B181" s="613" t="s">
        <v>412</v>
      </c>
      <c r="C181" s="738">
        <f ca="1">Drivers!$R67*C127/$T127*INDEX($B$163:$S$167,$A127,C$4)</f>
        <v>0</v>
      </c>
      <c r="D181" s="738">
        <f ca="1">Drivers!$R67*D127/$T127*INDEX($B$163:$S$167,$A127,D$4)</f>
        <v>0.43129085822723034</v>
      </c>
      <c r="E181" s="738">
        <f ca="1">Drivers!$R67*E127/$T127*INDEX($B$163:$S$167,$A127,E$4)</f>
        <v>0</v>
      </c>
      <c r="F181" s="738">
        <f ca="1">Drivers!$R67*F127/$T127*INDEX($B$163:$S$167,$A127,F$4)</f>
        <v>0</v>
      </c>
      <c r="G181" s="738">
        <f ca="1">Drivers!$R67*G127/$T127*INDEX($B$163:$S$167,$A127,G$4)</f>
        <v>1.311897823752767</v>
      </c>
      <c r="H181" s="738">
        <f ca="1">Drivers!$R67*H127/$T127*INDEX($B$163:$S$167,$A127,H$4)</f>
        <v>0</v>
      </c>
      <c r="I181" s="738">
        <f ca="1">Drivers!$R67*I127/$T127*INDEX($B$163:$S$167,$A127,I$4)</f>
        <v>0</v>
      </c>
      <c r="J181" s="738">
        <f ca="1">Drivers!$R67*J127/$T127*INDEX($B$163:$S$167,$A127,J$4)</f>
        <v>0</v>
      </c>
      <c r="K181" s="738">
        <f ca="1">Drivers!$R67*K127/$T127*INDEX($B$163:$S$167,$A127,K$4)</f>
        <v>0</v>
      </c>
      <c r="L181" s="738">
        <f ca="1">Drivers!$R67*L127/$T127*INDEX($B$163:$S$167,$A127,L$4)</f>
        <v>0.25976277042503965</v>
      </c>
      <c r="M181" s="738">
        <f ca="1">Drivers!$R67*M127/$T127*INDEX($B$163:$S$167,$A127,M$4)</f>
        <v>0</v>
      </c>
      <c r="N181" s="738">
        <f ca="1">Drivers!$R67*N127/$T127*INDEX($B$163:$S$167,$A127,N$4)</f>
        <v>0</v>
      </c>
      <c r="O181" s="738">
        <f ca="1">Drivers!$R67*O127/$T127*INDEX($B$163:$S$167,$A127,O$4)</f>
        <v>0</v>
      </c>
      <c r="P181" s="738">
        <f ca="1">Drivers!$R67*P127/$T127*INDEX($B$163:$S$167,$A127,P$4)</f>
        <v>0</v>
      </c>
      <c r="Q181" s="738">
        <f ca="1">Drivers!$R67*Q127/$T127*INDEX($B$163:$S$167,$A127,Q$4)</f>
        <v>0</v>
      </c>
      <c r="R181" s="738">
        <f ca="1">Drivers!$R67*R127/$T127*INDEX($B$163:$S$167,$A127,R$4)</f>
        <v>0</v>
      </c>
      <c r="S181" s="738">
        <f ca="1">Drivers!$R67*S127/$T127*INDEX($B$163:$S$167,$A127,S$4)</f>
        <v>0</v>
      </c>
      <c r="T181" s="738">
        <f t="shared" si="70"/>
        <v>2.0029514524050369</v>
      </c>
      <c r="V181" s="613">
        <f ca="1">VLOOKUP($B181,Drivers!$E$58:$M$93,9,FALSE)</f>
        <v>2.5024661999999998</v>
      </c>
      <c r="W181" s="613" t="s">
        <v>411</v>
      </c>
      <c r="X181" s="613">
        <f t="shared" si="71"/>
        <v>1.2493893434087842</v>
      </c>
    </row>
    <row r="182" spans="1:24" hidden="1">
      <c r="A182" s="613" t="str">
        <f t="shared" si="69"/>
        <v>INM</v>
      </c>
      <c r="B182" s="613" t="s">
        <v>362</v>
      </c>
      <c r="C182" s="738">
        <f ca="1">Drivers!$R68*C128/$T128*INDEX($B$163:$S$167,$A128,C$4)</f>
        <v>0.36783600394942123</v>
      </c>
      <c r="D182" s="738">
        <f ca="1">Drivers!$R68*D128/$T128*INDEX($B$163:$S$167,$A128,D$4)</f>
        <v>0.33361185149412764</v>
      </c>
      <c r="E182" s="738">
        <f ca="1">Drivers!$R68*E128/$T128*INDEX($B$163:$S$167,$A128,E$4)</f>
        <v>0</v>
      </c>
      <c r="F182" s="738">
        <f ca="1">Drivers!$R68*F128/$T128*INDEX($B$163:$S$167,$A128,F$4)</f>
        <v>0</v>
      </c>
      <c r="G182" s="738">
        <f ca="1">Drivers!$R68*G128/$T128*INDEX($B$163:$S$167,$A128,G$4)</f>
        <v>0.23722093275504974</v>
      </c>
      <c r="H182" s="738">
        <f ca="1">Drivers!$R68*H128/$T128*INDEX($B$163:$S$167,$A128,H$4)</f>
        <v>0</v>
      </c>
      <c r="I182" s="738">
        <f ca="1">Drivers!$R68*I128/$T128*INDEX($B$163:$S$167,$A128,I$4)</f>
        <v>0</v>
      </c>
      <c r="J182" s="738">
        <f ca="1">Drivers!$R68*J128/$T128*INDEX($B$163:$S$167,$A128,J$4)</f>
        <v>0</v>
      </c>
      <c r="K182" s="738">
        <f ca="1">Drivers!$R68*K128/$T128*INDEX($B$163:$S$167,$A128,K$4)</f>
        <v>0</v>
      </c>
      <c r="L182" s="738">
        <f ca="1">Drivers!$R68*L128/$T128*INDEX($B$163:$S$167,$A128,L$4)</f>
        <v>0.13973875678366676</v>
      </c>
      <c r="M182" s="738">
        <f ca="1">Drivers!$R68*M128/$T128*INDEX($B$163:$S$167,$A128,M$4)</f>
        <v>0</v>
      </c>
      <c r="N182" s="738">
        <f ca="1">Drivers!$R68*N128/$T128*INDEX($B$163:$S$167,$A128,N$4)</f>
        <v>0</v>
      </c>
      <c r="O182" s="738">
        <f ca="1">Drivers!$R68*O128/$T128*INDEX($B$163:$S$167,$A128,O$4)</f>
        <v>0</v>
      </c>
      <c r="P182" s="738">
        <f ca="1">Drivers!$R68*P128/$T128*INDEX($B$163:$S$167,$A128,P$4)</f>
        <v>0</v>
      </c>
      <c r="Q182" s="738">
        <f ca="1">Drivers!$R68*Q128/$T128*INDEX($B$163:$S$167,$A128,Q$4)</f>
        <v>0</v>
      </c>
      <c r="R182" s="738">
        <f ca="1">Drivers!$R68*R128/$T128*INDEX($B$163:$S$167,$A128,R$4)</f>
        <v>0</v>
      </c>
      <c r="S182" s="738">
        <f ca="1">Drivers!$R68*S128/$T128*INDEX($B$163:$S$167,$A128,S$4)</f>
        <v>0</v>
      </c>
      <c r="T182" s="738">
        <f t="shared" si="70"/>
        <v>1.0784075449822654</v>
      </c>
      <c r="V182" s="613">
        <f ca="1">VLOOKUP($B182,Drivers!$E$58:$M$93,9,FALSE)</f>
        <v>1.2586896359997599</v>
      </c>
      <c r="W182" s="613" t="s">
        <v>361</v>
      </c>
      <c r="X182" s="613">
        <f t="shared" si="71"/>
        <v>1.1671743598756621</v>
      </c>
    </row>
    <row r="183" spans="1:24" hidden="1">
      <c r="A183" s="613" t="str">
        <f t="shared" si="69"/>
        <v>INM</v>
      </c>
      <c r="B183" s="613" t="s">
        <v>364</v>
      </c>
      <c r="C183" s="738">
        <f ca="1">Drivers!$R69*C129/$T129*INDEX($B$163:$S$167,$A129,C$4)</f>
        <v>0.89308890759999315</v>
      </c>
      <c r="D183" s="738">
        <f ca="1">Drivers!$R69*D129/$T129*INDEX($B$163:$S$167,$A129,D$4)</f>
        <v>0.42414243775890448</v>
      </c>
      <c r="E183" s="738">
        <f ca="1">Drivers!$R69*E129/$T129*INDEX($B$163:$S$167,$A129,E$4)</f>
        <v>0</v>
      </c>
      <c r="F183" s="738">
        <f ca="1">Drivers!$R69*F129/$T129*INDEX($B$163:$S$167,$A129,F$4)</f>
        <v>0</v>
      </c>
      <c r="G183" s="738">
        <f ca="1">Drivers!$R69*G129/$T129*INDEX($B$163:$S$167,$A129,G$4)</f>
        <v>0.41469229390795836</v>
      </c>
      <c r="H183" s="738">
        <f ca="1">Drivers!$R69*H129/$T129*INDEX($B$163:$S$167,$A129,H$4)</f>
        <v>0</v>
      </c>
      <c r="I183" s="738">
        <f ca="1">Drivers!$R69*I129/$T129*INDEX($B$163:$S$167,$A129,I$4)</f>
        <v>0</v>
      </c>
      <c r="J183" s="738">
        <f ca="1">Drivers!$R69*J129/$T129*INDEX($B$163:$S$167,$A129,J$4)</f>
        <v>0</v>
      </c>
      <c r="K183" s="738">
        <f ca="1">Drivers!$R69*K129/$T129*INDEX($B$163:$S$167,$A129,K$4)</f>
        <v>0</v>
      </c>
      <c r="L183" s="738">
        <f ca="1">Drivers!$R69*L129/$T129*INDEX($B$163:$S$167,$A129,L$4)</f>
        <v>0.35923688202099768</v>
      </c>
      <c r="M183" s="738">
        <f ca="1">Drivers!$R69*M129/$T129*INDEX($B$163:$S$167,$A129,M$4)</f>
        <v>0</v>
      </c>
      <c r="N183" s="738">
        <f ca="1">Drivers!$R69*N129/$T129*INDEX($B$163:$S$167,$A129,N$4)</f>
        <v>0</v>
      </c>
      <c r="O183" s="738">
        <f ca="1">Drivers!$R69*O129/$T129*INDEX($B$163:$S$167,$A129,O$4)</f>
        <v>0</v>
      </c>
      <c r="P183" s="738">
        <f ca="1">Drivers!$R69*P129/$T129*INDEX($B$163:$S$167,$A129,P$4)</f>
        <v>0</v>
      </c>
      <c r="Q183" s="738">
        <f ca="1">Drivers!$R69*Q129/$T129*INDEX($B$163:$S$167,$A129,Q$4)</f>
        <v>0</v>
      </c>
      <c r="R183" s="738">
        <f ca="1">Drivers!$R69*R129/$T129*INDEX($B$163:$S$167,$A129,R$4)</f>
        <v>0</v>
      </c>
      <c r="S183" s="738">
        <f ca="1">Drivers!$R69*S129/$T129*INDEX($B$163:$S$167,$A129,S$4)</f>
        <v>0</v>
      </c>
      <c r="T183" s="738">
        <f t="shared" si="70"/>
        <v>2.0911605212878537</v>
      </c>
      <c r="V183" s="613">
        <f ca="1">VLOOKUP($B183,Drivers!$E$58:$M$93,9,FALSE)</f>
        <v>2.3786672213417139</v>
      </c>
      <c r="W183" s="613" t="s">
        <v>363</v>
      </c>
      <c r="X183" s="613">
        <f t="shared" si="71"/>
        <v>1.1374866716959622</v>
      </c>
    </row>
    <row r="184" spans="1:24" hidden="1">
      <c r="A184" s="613" t="str">
        <f t="shared" si="69"/>
        <v>INM</v>
      </c>
      <c r="B184" s="613" t="s">
        <v>966</v>
      </c>
      <c r="C184" s="738">
        <f ca="1">Drivers!$R70*C130/$T130*INDEX($B$163:$S$167,$A130,C$4)</f>
        <v>1.9632062856989332</v>
      </c>
      <c r="D184" s="738">
        <f ca="1">Drivers!$R70*D130/$T130*INDEX($B$163:$S$167,$A130,D$4)</f>
        <v>0</v>
      </c>
      <c r="E184" s="738">
        <f ca="1">Drivers!$R70*E130/$T130*INDEX($B$163:$S$167,$A130,E$4)</f>
        <v>0.71284496772325934</v>
      </c>
      <c r="F184" s="738">
        <f ca="1">Drivers!$R70*F130/$T130*INDEX($B$163:$S$167,$A130,F$4)</f>
        <v>0</v>
      </c>
      <c r="G184" s="738">
        <f ca="1">Drivers!$R70*G130/$T130*INDEX($B$163:$S$167,$A130,G$4)</f>
        <v>0</v>
      </c>
      <c r="H184" s="738">
        <f ca="1">Drivers!$R70*H130/$T130*INDEX($B$163:$S$167,$A130,H$4)</f>
        <v>0</v>
      </c>
      <c r="I184" s="738">
        <f ca="1">Drivers!$R70*I130/$T130*INDEX($B$163:$S$167,$A130,I$4)</f>
        <v>0</v>
      </c>
      <c r="J184" s="738">
        <f ca="1">Drivers!$R70*J130/$T130*INDEX($B$163:$S$167,$A130,J$4)</f>
        <v>0</v>
      </c>
      <c r="K184" s="738">
        <f ca="1">Drivers!$R70*K130/$T130*INDEX($B$163:$S$167,$A130,K$4)</f>
        <v>0</v>
      </c>
      <c r="L184" s="738">
        <f ca="1">Drivers!$R70*L130/$T130*INDEX($B$163:$S$167,$A130,L$4)</f>
        <v>0</v>
      </c>
      <c r="M184" s="738">
        <f ca="1">Drivers!$R70*M130/$T130*INDEX($B$163:$S$167,$A130,M$4)</f>
        <v>0.33674284677707206</v>
      </c>
      <c r="N184" s="738">
        <f ca="1">Drivers!$R70*N130/$T130*INDEX($B$163:$S$167,$A130,N$4)</f>
        <v>0</v>
      </c>
      <c r="O184" s="738">
        <f ca="1">Drivers!$R70*O130/$T130*INDEX($B$163:$S$167,$A130,O$4)</f>
        <v>0</v>
      </c>
      <c r="P184" s="738">
        <f ca="1">Drivers!$R70*P130/$T130*INDEX($B$163:$S$167,$A130,P$4)</f>
        <v>0</v>
      </c>
      <c r="Q184" s="738">
        <f ca="1">Drivers!$R70*Q130/$T130*INDEX($B$163:$S$167,$A130,Q$4)</f>
        <v>0</v>
      </c>
      <c r="R184" s="738">
        <f ca="1">Drivers!$R70*R130/$T130*INDEX($B$163:$S$167,$A130,R$4)</f>
        <v>0</v>
      </c>
      <c r="S184" s="738">
        <f ca="1">Drivers!$R70*S130/$T130*INDEX($B$163:$S$167,$A130,S$4)</f>
        <v>0</v>
      </c>
      <c r="T184" s="738">
        <f t="shared" si="70"/>
        <v>3.0127941001992649</v>
      </c>
      <c r="V184" s="613">
        <f ca="1">VLOOKUP($B184,Drivers!$E$58:$M$93,9,FALSE)</f>
        <v>2.484196781409695</v>
      </c>
      <c r="W184" s="613" t="s">
        <v>239</v>
      </c>
      <c r="X184" s="613">
        <f t="shared" si="71"/>
        <v>0.82454913903522031</v>
      </c>
    </row>
    <row r="185" spans="1:24" hidden="1">
      <c r="A185" s="613" t="str">
        <f t="shared" si="69"/>
        <v>INM</v>
      </c>
      <c r="B185" s="613" t="s">
        <v>967</v>
      </c>
      <c r="C185" s="738">
        <f ca="1">Drivers!$R71*C131/$T131*INDEX($B$163:$S$167,$A131,C$4)</f>
        <v>0</v>
      </c>
      <c r="D185" s="738">
        <f ca="1">Drivers!$R71*D131/$T131*INDEX($B$163:$S$167,$A131,D$4)</f>
        <v>3.5833780233411822E-3</v>
      </c>
      <c r="E185" s="738">
        <f ca="1">Drivers!$R71*E131/$T131*INDEX($B$163:$S$167,$A131,E$4)</f>
        <v>7.0136600276740624E-2</v>
      </c>
      <c r="F185" s="738">
        <f ca="1">Drivers!$R71*F131/$T131*INDEX($B$163:$S$167,$A131,F$4)</f>
        <v>0</v>
      </c>
      <c r="G185" s="738">
        <f ca="1">Drivers!$R71*G131/$T131*INDEX($B$163:$S$167,$A131,G$4)</f>
        <v>1.4014152983987969E-2</v>
      </c>
      <c r="H185" s="738">
        <f ca="1">Drivers!$R71*H131/$T131*INDEX($B$163:$S$167,$A131,H$4)</f>
        <v>0.41018079599999996</v>
      </c>
      <c r="I185" s="738">
        <f ca="1">Drivers!$R71*I131/$T131*INDEX($B$163:$S$167,$A131,I$4)</f>
        <v>0</v>
      </c>
      <c r="J185" s="738">
        <f ca="1">Drivers!$R71*J131/$T131*INDEX($B$163:$S$167,$A131,J$4)</f>
        <v>0</v>
      </c>
      <c r="K185" s="738">
        <f ca="1">Drivers!$R71*K131/$T131*INDEX($B$163:$S$167,$A131,K$4)</f>
        <v>9.173924E-3</v>
      </c>
      <c r="L185" s="738">
        <f ca="1">Drivers!$R71*L131/$T131*INDEX($B$163:$S$167,$A131,L$4)</f>
        <v>4.8560348924646208E-3</v>
      </c>
      <c r="M185" s="738">
        <f ca="1">Drivers!$R71*M131/$T131*INDEX($B$163:$S$167,$A131,M$4)</f>
        <v>6.6264053222927971E-2</v>
      </c>
      <c r="N185" s="738">
        <f ca="1">Drivers!$R71*N131/$T131*INDEX($B$163:$S$167,$A131,N$4)</f>
        <v>0</v>
      </c>
      <c r="O185" s="738">
        <f ca="1">Drivers!$R71*O131/$T131*INDEX($B$163:$S$167,$A131,O$4)</f>
        <v>0</v>
      </c>
      <c r="P185" s="738">
        <f ca="1">Drivers!$R71*P131/$T131*INDEX($B$163:$S$167,$A131,P$4)</f>
        <v>6.1841772828536811E-4</v>
      </c>
      <c r="Q185" s="738">
        <f ca="1">Drivers!$R71*Q131/$T131*INDEX($B$163:$S$167,$A131,Q$4)</f>
        <v>1.7644707146007065E-3</v>
      </c>
      <c r="R185" s="738">
        <f ca="1">Drivers!$R71*R131/$T131*INDEX($B$163:$S$167,$A131,R$4)</f>
        <v>0</v>
      </c>
      <c r="S185" s="738">
        <f ca="1">Drivers!$R71*S131/$T131*INDEX($B$163:$S$167,$A131,S$4)</f>
        <v>1.2838857565950617</v>
      </c>
      <c r="T185" s="738">
        <f t="shared" si="70"/>
        <v>1.86447758443741</v>
      </c>
      <c r="V185" s="613">
        <f ca="1">VLOOKUP($B185,Drivers!$E$58:$M$93,9,FALSE)</f>
        <v>0.41882695262966063</v>
      </c>
      <c r="W185" s="613" t="s">
        <v>240</v>
      </c>
      <c r="X185" s="613">
        <f t="shared" si="71"/>
        <v>0.22463501633141814</v>
      </c>
    </row>
    <row r="186" spans="1:24" hidden="1">
      <c r="A186" s="613" t="str">
        <f t="shared" si="69"/>
        <v>INF</v>
      </c>
      <c r="B186" s="613" t="s">
        <v>259</v>
      </c>
      <c r="C186" s="738">
        <f ca="1">Drivers!$R72*C132/$T132*INDEX($B$163:$S$167,$A132,C$4)</f>
        <v>0</v>
      </c>
      <c r="D186" s="738">
        <f ca="1">Drivers!$R72*D132/$T132*INDEX($B$163:$S$167,$A132,D$4)</f>
        <v>0</v>
      </c>
      <c r="E186" s="738">
        <f ca="1">Drivers!$R72*E132/$T132*INDEX($B$163:$S$167,$A132,E$4)</f>
        <v>0</v>
      </c>
      <c r="F186" s="738">
        <f ca="1">Drivers!$R72*F132/$T132*INDEX($B$163:$S$167,$A132,F$4)</f>
        <v>0</v>
      </c>
      <c r="G186" s="738">
        <f ca="1">Drivers!$R72*G132/$T132*INDEX($B$163:$S$167,$A132,G$4)</f>
        <v>0</v>
      </c>
      <c r="H186" s="738">
        <f ca="1">Drivers!$R72*H132/$T132*INDEX($B$163:$S$167,$A132,H$4)</f>
        <v>0</v>
      </c>
      <c r="I186" s="738">
        <f ca="1">Drivers!$R72*I132/$T132*INDEX($B$163:$S$167,$A132,I$4)</f>
        <v>0</v>
      </c>
      <c r="J186" s="738">
        <f ca="1">Drivers!$R72*J132/$T132*INDEX($B$163:$S$167,$A132,J$4)</f>
        <v>0</v>
      </c>
      <c r="K186" s="738">
        <f ca="1">Drivers!$R72*K132/$T132*INDEX($B$163:$S$167,$A132,K$4)</f>
        <v>0</v>
      </c>
      <c r="L186" s="738">
        <f ca="1">Drivers!$R72*L132/$T132*INDEX($B$163:$S$167,$A132,L$4)</f>
        <v>0</v>
      </c>
      <c r="M186" s="738">
        <f ca="1">Drivers!$R72*M132/$T132*INDEX($B$163:$S$167,$A132,M$4)</f>
        <v>0</v>
      </c>
      <c r="N186" s="738">
        <f ca="1">Drivers!$R72*N132/$T132*INDEX($B$163:$S$167,$A132,N$4)</f>
        <v>0</v>
      </c>
      <c r="O186" s="738">
        <f ca="1">Drivers!$R72*O132/$T132*INDEX($B$163:$S$167,$A132,O$4)</f>
        <v>0</v>
      </c>
      <c r="P186" s="738">
        <f ca="1">Drivers!$R72*P132/$T132*INDEX($B$163:$S$167,$A132,P$4)</f>
        <v>0</v>
      </c>
      <c r="Q186" s="738">
        <f ca="1">Drivers!$R72*Q132/$T132*INDEX($B$163:$S$167,$A132,Q$4)</f>
        <v>0</v>
      </c>
      <c r="R186" s="738">
        <f ca="1">Drivers!$R72*R132/$T132*INDEX($B$163:$S$167,$A132,R$4)</f>
        <v>0</v>
      </c>
      <c r="S186" s="738">
        <f ca="1">Drivers!$R72*S132/$T132*INDEX($B$163:$S$167,$A132,S$4)</f>
        <v>0</v>
      </c>
      <c r="T186" s="738">
        <f t="shared" si="70"/>
        <v>0</v>
      </c>
      <c r="V186" s="613">
        <f ca="1">VLOOKUP($B186,Drivers!$E$58:$M$93,9,FALSE)</f>
        <v>0</v>
      </c>
      <c r="W186" s="613" t="s">
        <v>221</v>
      </c>
      <c r="X186" s="613" t="b">
        <f t="shared" si="71"/>
        <v>0</v>
      </c>
    </row>
    <row r="187" spans="1:24" hidden="1">
      <c r="A187" s="613" t="str">
        <f t="shared" si="69"/>
        <v>INF</v>
      </c>
      <c r="B187" s="613" t="s">
        <v>370</v>
      </c>
      <c r="C187" s="738">
        <f ca="1">Drivers!$R73*C133/$T133*INDEX($B$163:$S$167,$A133,C$4)</f>
        <v>1.5688927861222894</v>
      </c>
      <c r="D187" s="738">
        <f ca="1">Drivers!$R73*D133/$T133*INDEX($B$163:$S$167,$A133,D$4)</f>
        <v>1.1469589490213395E-2</v>
      </c>
      <c r="E187" s="738">
        <f ca="1">Drivers!$R73*E133/$T133*INDEX($B$163:$S$167,$A133,E$4)</f>
        <v>0</v>
      </c>
      <c r="F187" s="738">
        <f ca="1">Drivers!$R73*F133/$T133*INDEX($B$163:$S$167,$A133,F$4)</f>
        <v>0</v>
      </c>
      <c r="G187" s="738">
        <f ca="1">Drivers!$R73*G133/$T133*INDEX($B$163:$S$167,$A133,G$4)</f>
        <v>0</v>
      </c>
      <c r="H187" s="738">
        <f ca="1">Drivers!$R73*H133/$T133*INDEX($B$163:$S$167,$A133,H$4)</f>
        <v>0</v>
      </c>
      <c r="I187" s="738">
        <f ca="1">Drivers!$R73*I133/$T133*INDEX($B$163:$S$167,$A133,I$4)</f>
        <v>0</v>
      </c>
      <c r="J187" s="738">
        <f ca="1">Drivers!$R73*J133/$T133*INDEX($B$163:$S$167,$A133,J$4)</f>
        <v>0</v>
      </c>
      <c r="K187" s="738">
        <f ca="1">Drivers!$R73*K133/$T133*INDEX($B$163:$S$167,$A133,K$4)</f>
        <v>0</v>
      </c>
      <c r="L187" s="738">
        <f ca="1">Drivers!$R73*L133/$T133*INDEX($B$163:$S$167,$A133,L$4)</f>
        <v>0.2589567040264189</v>
      </c>
      <c r="M187" s="738">
        <f ca="1">Drivers!$R73*M133/$T133*INDEX($B$163:$S$167,$A133,M$4)</f>
        <v>0</v>
      </c>
      <c r="N187" s="738">
        <f ca="1">Drivers!$R73*N133/$T133*INDEX($B$163:$S$167,$A133,N$4)</f>
        <v>0</v>
      </c>
      <c r="O187" s="738">
        <f ca="1">Drivers!$R73*O133/$T133*INDEX($B$163:$S$167,$A133,O$4)</f>
        <v>0</v>
      </c>
      <c r="P187" s="738">
        <f ca="1">Drivers!$R73*P133/$T133*INDEX($B$163:$S$167,$A133,P$4)</f>
        <v>0</v>
      </c>
      <c r="Q187" s="738">
        <f ca="1">Drivers!$R73*Q133/$T133*INDEX($B$163:$S$167,$A133,Q$4)</f>
        <v>0</v>
      </c>
      <c r="R187" s="738">
        <f ca="1">Drivers!$R73*R133/$T133*INDEX($B$163:$S$167,$A133,R$4)</f>
        <v>0</v>
      </c>
      <c r="S187" s="738">
        <f ca="1">Drivers!$R73*S133/$T133*INDEX($B$163:$S$167,$A133,S$4)</f>
        <v>0</v>
      </c>
      <c r="T187" s="738">
        <f t="shared" si="70"/>
        <v>1.8393190796389218</v>
      </c>
      <c r="V187" s="613">
        <f ca="1">VLOOKUP($B187,Drivers!$E$58:$M$93,9,FALSE)</f>
        <v>2.1028017000000006</v>
      </c>
      <c r="W187" s="613" t="s">
        <v>369</v>
      </c>
      <c r="X187" s="613">
        <f t="shared" si="71"/>
        <v>1.1432500881863321</v>
      </c>
    </row>
    <row r="188" spans="1:24" hidden="1">
      <c r="A188" s="613" t="str">
        <f t="shared" si="69"/>
        <v>INF</v>
      </c>
      <c r="B188" s="613" t="s">
        <v>417</v>
      </c>
      <c r="C188" s="738">
        <f ca="1">Drivers!$R74*C134/$T134*INDEX($B$163:$S$167,$A134,C$4)</f>
        <v>3.6356001000451448</v>
      </c>
      <c r="D188" s="738">
        <f ca="1">Drivers!$R74*D134/$T134*INDEX($B$163:$S$167,$A134,D$4)</f>
        <v>8.1212129651135802E-3</v>
      </c>
      <c r="E188" s="738">
        <f ca="1">Drivers!$R74*E134/$T134*INDEX($B$163:$S$167,$A134,E$4)</f>
        <v>0</v>
      </c>
      <c r="F188" s="738">
        <f ca="1">Drivers!$R74*F134/$T134*INDEX($B$163:$S$167,$A134,F$4)</f>
        <v>0</v>
      </c>
      <c r="G188" s="738">
        <f ca="1">Drivers!$R74*G134/$T134*INDEX($B$163:$S$167,$A134,G$4)</f>
        <v>0</v>
      </c>
      <c r="H188" s="738">
        <f ca="1">Drivers!$R74*H134/$T134*INDEX($B$163:$S$167,$A134,H$4)</f>
        <v>0</v>
      </c>
      <c r="I188" s="738">
        <f ca="1">Drivers!$R74*I134/$T134*INDEX($B$163:$S$167,$A134,I$4)</f>
        <v>0</v>
      </c>
      <c r="J188" s="738">
        <f ca="1">Drivers!$R74*J134/$T134*INDEX($B$163:$S$167,$A134,J$4)</f>
        <v>0</v>
      </c>
      <c r="K188" s="738">
        <f ca="1">Drivers!$R74*K134/$T134*INDEX($B$163:$S$167,$A134,K$4)</f>
        <v>0</v>
      </c>
      <c r="L188" s="738">
        <f ca="1">Drivers!$R74*L134/$T134*INDEX($B$163:$S$167,$A134,L$4)</f>
        <v>9.1679067674431028E-2</v>
      </c>
      <c r="M188" s="738">
        <f ca="1">Drivers!$R74*M134/$T134*INDEX($B$163:$S$167,$A134,M$4)</f>
        <v>0</v>
      </c>
      <c r="N188" s="738">
        <f ca="1">Drivers!$R74*N134/$T134*INDEX($B$163:$S$167,$A134,N$4)</f>
        <v>0</v>
      </c>
      <c r="O188" s="738">
        <f ca="1">Drivers!$R74*O134/$T134*INDEX($B$163:$S$167,$A134,O$4)</f>
        <v>0</v>
      </c>
      <c r="P188" s="738">
        <f ca="1">Drivers!$R74*P134/$T134*INDEX($B$163:$S$167,$A134,P$4)</f>
        <v>0</v>
      </c>
      <c r="Q188" s="738">
        <f ca="1">Drivers!$R74*Q134/$T134*INDEX($B$163:$S$167,$A134,Q$4)</f>
        <v>0</v>
      </c>
      <c r="R188" s="738">
        <f ca="1">Drivers!$R74*R134/$T134*INDEX($B$163:$S$167,$A134,R$4)</f>
        <v>0</v>
      </c>
      <c r="S188" s="738">
        <f ca="1">Drivers!$R74*S134/$T134*INDEX($B$163:$S$167,$A134,S$4)</f>
        <v>0</v>
      </c>
      <c r="T188" s="738">
        <f t="shared" si="70"/>
        <v>3.7354003806846894</v>
      </c>
      <c r="V188" s="613">
        <f ca="1">VLOOKUP($B188,Drivers!$E$58:$M$93,9,FALSE)</f>
        <v>4.2385872000000004</v>
      </c>
      <c r="W188" s="613" t="s">
        <v>404</v>
      </c>
      <c r="X188" s="613">
        <f t="shared" si="71"/>
        <v>1.1347075997307356</v>
      </c>
    </row>
    <row r="189" spans="1:24" hidden="1">
      <c r="A189" s="613" t="str">
        <f t="shared" si="69"/>
        <v>INF</v>
      </c>
      <c r="B189" s="613" t="s">
        <v>418</v>
      </c>
      <c r="C189" s="738">
        <f ca="1">Drivers!$R75*C135/$T135*INDEX($B$163:$S$167,$A135,C$4)</f>
        <v>0.27340846764501503</v>
      </c>
      <c r="D189" s="738">
        <f ca="1">Drivers!$R75*D135/$T135*INDEX($B$163:$S$167,$A135,D$4)</f>
        <v>1.2825551477964306E-2</v>
      </c>
      <c r="E189" s="738">
        <f ca="1">Drivers!$R75*E135/$T135*INDEX($B$163:$S$167,$A135,E$4)</f>
        <v>0.12521139492536673</v>
      </c>
      <c r="F189" s="738">
        <f ca="1">Drivers!$R75*F135/$T135*INDEX($B$163:$S$167,$A135,F$4)</f>
        <v>0</v>
      </c>
      <c r="G189" s="738">
        <f ca="1">Drivers!$R75*G135/$T135*INDEX($B$163:$S$167,$A135,G$4)</f>
        <v>0</v>
      </c>
      <c r="H189" s="738">
        <f ca="1">Drivers!$R75*H135/$T135*INDEX($B$163:$S$167,$A135,H$4)</f>
        <v>0</v>
      </c>
      <c r="I189" s="738">
        <f ca="1">Drivers!$R75*I135/$T135*INDEX($B$163:$S$167,$A135,I$4)</f>
        <v>0</v>
      </c>
      <c r="J189" s="738">
        <f ca="1">Drivers!$R75*J135/$T135*INDEX($B$163:$S$167,$A135,J$4)</f>
        <v>0</v>
      </c>
      <c r="K189" s="738">
        <f ca="1">Drivers!$R75*K135/$T135*INDEX($B$163:$S$167,$A135,K$4)</f>
        <v>0</v>
      </c>
      <c r="L189" s="738">
        <f ca="1">Drivers!$R75*L135/$T135*INDEX($B$163:$S$167,$A135,L$4)</f>
        <v>0.10341827780100966</v>
      </c>
      <c r="M189" s="738">
        <f ca="1">Drivers!$R75*M135/$T135*INDEX($B$163:$S$167,$A135,M$4)</f>
        <v>0</v>
      </c>
      <c r="N189" s="738">
        <f ca="1">Drivers!$R75*N135/$T135*INDEX($B$163:$S$167,$A135,N$4)</f>
        <v>0</v>
      </c>
      <c r="O189" s="738">
        <f ca="1">Drivers!$R75*O135/$T135*INDEX($B$163:$S$167,$A135,O$4)</f>
        <v>0</v>
      </c>
      <c r="P189" s="738">
        <f ca="1">Drivers!$R75*P135/$T135*INDEX($B$163:$S$167,$A135,P$4)</f>
        <v>0</v>
      </c>
      <c r="Q189" s="738">
        <f ca="1">Drivers!$R75*Q135/$T135*INDEX($B$163:$S$167,$A135,Q$4)</f>
        <v>0</v>
      </c>
      <c r="R189" s="738">
        <f ca="1">Drivers!$R75*R135/$T135*INDEX($B$163:$S$167,$A135,R$4)</f>
        <v>0</v>
      </c>
      <c r="S189" s="738">
        <f ca="1">Drivers!$R75*S135/$T135*INDEX($B$163:$S$167,$A135,S$4)</f>
        <v>0</v>
      </c>
      <c r="T189" s="738">
        <f t="shared" si="70"/>
        <v>0.51486369184935576</v>
      </c>
      <c r="V189" s="613">
        <f ca="1">VLOOKUP($B189,Drivers!$E$58:$M$93,9,FALSE)</f>
        <v>0.55902224512544607</v>
      </c>
      <c r="W189" s="613" t="s">
        <v>405</v>
      </c>
      <c r="X189" s="613">
        <f t="shared" si="71"/>
        <v>1.08576746423403</v>
      </c>
    </row>
    <row r="190" spans="1:24" hidden="1">
      <c r="A190" s="613" t="str">
        <f t="shared" si="69"/>
        <v>INF</v>
      </c>
      <c r="B190" s="613" t="s">
        <v>968</v>
      </c>
      <c r="C190" s="738">
        <f ca="1">Drivers!$R76*C136/$T136*INDEX($B$163:$S$167,$A136,C$4)</f>
        <v>1.9673838512396067</v>
      </c>
      <c r="D190" s="738">
        <f ca="1">Drivers!$R76*D136/$T136*INDEX($B$163:$S$167,$A136,D$4)</f>
        <v>0</v>
      </c>
      <c r="E190" s="738">
        <f ca="1">Drivers!$R76*E136/$T136*INDEX($B$163:$S$167,$A136,E$4)</f>
        <v>0.1671944150237068</v>
      </c>
      <c r="F190" s="738">
        <f ca="1">Drivers!$R76*F136/$T136*INDEX($B$163:$S$167,$A136,F$4)</f>
        <v>0</v>
      </c>
      <c r="G190" s="738">
        <f ca="1">Drivers!$R76*G136/$T136*INDEX($B$163:$S$167,$A136,G$4)</f>
        <v>0</v>
      </c>
      <c r="H190" s="738">
        <f ca="1">Drivers!$R76*H136/$T136*INDEX($B$163:$S$167,$A136,H$4)</f>
        <v>0</v>
      </c>
      <c r="I190" s="738">
        <f ca="1">Drivers!$R76*I136/$T136*INDEX($B$163:$S$167,$A136,I$4)</f>
        <v>0</v>
      </c>
      <c r="J190" s="738">
        <f ca="1">Drivers!$R76*J136/$T136*INDEX($B$163:$S$167,$A136,J$4)</f>
        <v>0</v>
      </c>
      <c r="K190" s="738">
        <f ca="1">Drivers!$R76*K136/$T136*INDEX($B$163:$S$167,$A136,K$4)</f>
        <v>0</v>
      </c>
      <c r="L190" s="738">
        <f ca="1">Drivers!$R76*L136/$T136*INDEX($B$163:$S$167,$A136,L$4)</f>
        <v>0</v>
      </c>
      <c r="M190" s="738">
        <f ca="1">Drivers!$R76*M136/$T136*INDEX($B$163:$S$167,$A136,M$4)</f>
        <v>0</v>
      </c>
      <c r="N190" s="738">
        <f ca="1">Drivers!$R76*N136/$T136*INDEX($B$163:$S$167,$A136,N$4)</f>
        <v>0</v>
      </c>
      <c r="O190" s="738">
        <f ca="1">Drivers!$R76*O136/$T136*INDEX($B$163:$S$167,$A136,O$4)</f>
        <v>0</v>
      </c>
      <c r="P190" s="738">
        <f ca="1">Drivers!$R76*P136/$T136*INDEX($B$163:$S$167,$A136,P$4)</f>
        <v>0</v>
      </c>
      <c r="Q190" s="738">
        <f ca="1">Drivers!$R76*Q136/$T136*INDEX($B$163:$S$167,$A136,Q$4)</f>
        <v>0</v>
      </c>
      <c r="R190" s="738">
        <f ca="1">Drivers!$R76*R136/$T136*INDEX($B$163:$S$167,$A136,R$4)</f>
        <v>0</v>
      </c>
      <c r="S190" s="738">
        <f ca="1">Drivers!$R76*S136/$T136*INDEX($B$163:$S$167,$A136,S$4)</f>
        <v>0</v>
      </c>
      <c r="T190" s="738">
        <f t="shared" si="70"/>
        <v>2.1345782662633135</v>
      </c>
      <c r="V190" s="613">
        <f ca="1">VLOOKUP($B190,Drivers!$E$58:$M$93,9,FALSE)</f>
        <v>2.3776382644478566</v>
      </c>
      <c r="W190" s="613" t="s">
        <v>235</v>
      </c>
      <c r="X190" s="613">
        <f t="shared" si="71"/>
        <v>1.1138679251194812</v>
      </c>
    </row>
    <row r="191" spans="1:24" hidden="1">
      <c r="A191" s="613" t="str">
        <f t="shared" si="69"/>
        <v>INF</v>
      </c>
      <c r="B191" s="613" t="s">
        <v>969</v>
      </c>
      <c r="C191" s="738">
        <f ca="1">Drivers!$R77*C137/$T137*INDEX($B$163:$S$167,$A137,C$4)</f>
        <v>0</v>
      </c>
      <c r="D191" s="738">
        <f ca="1">Drivers!$R77*D137/$T137*INDEX($B$163:$S$167,$A137,D$4)</f>
        <v>2.2351822066708726E-2</v>
      </c>
      <c r="E191" s="738">
        <f ca="1">Drivers!$R77*E137/$T137*INDEX($B$163:$S$167,$A137,E$4)</f>
        <v>0.25458190205092651</v>
      </c>
      <c r="F191" s="738">
        <f ca="1">Drivers!$R77*F137/$T137*INDEX($B$163:$S$167,$A137,F$4)</f>
        <v>0</v>
      </c>
      <c r="G191" s="738">
        <f ca="1">Drivers!$R77*G137/$T137*INDEX($B$163:$S$167,$A137,G$4)</f>
        <v>0</v>
      </c>
      <c r="H191" s="738">
        <f ca="1">Drivers!$R77*H137/$T137*INDEX($B$163:$S$167,$A137,H$4)</f>
        <v>0</v>
      </c>
      <c r="I191" s="738">
        <f ca="1">Drivers!$R77*I137/$T137*INDEX($B$163:$S$167,$A137,I$4)</f>
        <v>0</v>
      </c>
      <c r="J191" s="738">
        <f ca="1">Drivers!$R77*J137/$T137*INDEX($B$163:$S$167,$A137,J$4)</f>
        <v>0</v>
      </c>
      <c r="K191" s="738">
        <f ca="1">Drivers!$R77*K137/$T137*INDEX($B$163:$S$167,$A137,K$4)</f>
        <v>0</v>
      </c>
      <c r="L191" s="738">
        <f ca="1">Drivers!$R77*L137/$T137*INDEX($B$163:$S$167,$A137,L$4)</f>
        <v>0.10093045049814037</v>
      </c>
      <c r="M191" s="738">
        <f ca="1">Drivers!$R77*M137/$T137*INDEX($B$163:$S$167,$A137,M$4)</f>
        <v>0.33780552000000003</v>
      </c>
      <c r="N191" s="738">
        <f ca="1">Drivers!$R77*N137/$T137*INDEX($B$163:$S$167,$A137,N$4)</f>
        <v>0</v>
      </c>
      <c r="O191" s="738">
        <f ca="1">Drivers!$R77*O137/$T137*INDEX($B$163:$S$167,$A137,O$4)</f>
        <v>0</v>
      </c>
      <c r="P191" s="738">
        <f ca="1">Drivers!$R77*P137/$T137*INDEX($B$163:$S$167,$A137,P$4)</f>
        <v>0</v>
      </c>
      <c r="Q191" s="738">
        <f ca="1">Drivers!$R77*Q137/$T137*INDEX($B$163:$S$167,$A137,Q$4)</f>
        <v>0.39605365857623392</v>
      </c>
      <c r="R191" s="738">
        <f ca="1">Drivers!$R77*R137/$T137*INDEX($B$163:$S$167,$A137,R$4)</f>
        <v>0</v>
      </c>
      <c r="S191" s="738">
        <f ca="1">Drivers!$R77*S137/$T137*INDEX($B$163:$S$167,$A137,S$4)</f>
        <v>3.2843775546148497</v>
      </c>
      <c r="T191" s="738">
        <f t="shared" si="70"/>
        <v>4.3961009078068596</v>
      </c>
      <c r="V191" s="613">
        <f ca="1">VLOOKUP($B191,Drivers!$E$58:$M$93,9,FALSE)</f>
        <v>3.095785434708354</v>
      </c>
      <c r="W191" s="613" t="s">
        <v>236</v>
      </c>
      <c r="X191" s="613">
        <f t="shared" si="71"/>
        <v>0.704211641095561</v>
      </c>
    </row>
    <row r="192" spans="1:24" hidden="1">
      <c r="A192" s="613" t="str">
        <f t="shared" si="69"/>
        <v>ICH</v>
      </c>
      <c r="B192" s="613" t="s">
        <v>360</v>
      </c>
      <c r="C192" s="738">
        <f ca="1">Drivers!$R78*C138/$T138*INDEX($B$163:$S$167,$A138,C$4)</f>
        <v>0.44348695541583333</v>
      </c>
      <c r="D192" s="738">
        <f ca="1">Drivers!$R78*D138/$T138*INDEX($B$163:$S$167,$A138,D$4)</f>
        <v>3.4385678875789069E-2</v>
      </c>
      <c r="E192" s="738">
        <f ca="1">Drivers!$R78*E138/$T138*INDEX($B$163:$S$167,$A138,E$4)</f>
        <v>0</v>
      </c>
      <c r="F192" s="738">
        <f ca="1">Drivers!$R78*F138/$T138*INDEX($B$163:$S$167,$A138,F$4)</f>
        <v>0</v>
      </c>
      <c r="G192" s="738">
        <f ca="1">Drivers!$R78*G138/$T138*INDEX($B$163:$S$167,$A138,G$4)</f>
        <v>0</v>
      </c>
      <c r="H192" s="738">
        <f ca="1">Drivers!$R78*H138/$T138*INDEX($B$163:$S$167,$A138,H$4)</f>
        <v>0</v>
      </c>
      <c r="I192" s="738">
        <f ca="1">Drivers!$R78*I138/$T138*INDEX($B$163:$S$167,$A138,I$4)</f>
        <v>0</v>
      </c>
      <c r="J192" s="738">
        <f ca="1">Drivers!$R78*J138/$T138*INDEX($B$163:$S$167,$A138,J$4)</f>
        <v>0</v>
      </c>
      <c r="K192" s="738">
        <f ca="1">Drivers!$R78*K138/$T138*INDEX($B$163:$S$167,$A138,K$4)</f>
        <v>0</v>
      </c>
      <c r="L192" s="738">
        <f ca="1">Drivers!$R78*L138/$T138*INDEX($B$163:$S$167,$A138,L$4)</f>
        <v>0.1226458073203497</v>
      </c>
      <c r="M192" s="738">
        <f ca="1">Drivers!$R78*M138/$T138*INDEX($B$163:$S$167,$A138,M$4)</f>
        <v>2.7853935467370684E-2</v>
      </c>
      <c r="N192" s="738">
        <f ca="1">Drivers!$R78*N138/$T138*INDEX($B$163:$S$167,$A138,N$4)</f>
        <v>1.5696412466135232</v>
      </c>
      <c r="O192" s="738">
        <f ca="1">Drivers!$R78*O138/$T138*INDEX($B$163:$S$167,$A138,O$4)</f>
        <v>0</v>
      </c>
      <c r="P192" s="738">
        <f ca="1">Drivers!$R78*P138/$T138*INDEX($B$163:$S$167,$A138,P$4)</f>
        <v>0</v>
      </c>
      <c r="Q192" s="738">
        <f ca="1">Drivers!$R78*Q138/$T138*INDEX($B$163:$S$167,$A138,Q$4)</f>
        <v>0</v>
      </c>
      <c r="R192" s="738">
        <f ca="1">Drivers!$R78*R138/$T138*INDEX($B$163:$S$167,$A138,R$4)</f>
        <v>0</v>
      </c>
      <c r="S192" s="738">
        <f ca="1">Drivers!$R78*S138/$T138*INDEX($B$163:$S$167,$A138,S$4)</f>
        <v>0</v>
      </c>
      <c r="T192" s="738">
        <f t="shared" si="70"/>
        <v>2.1980136236928658</v>
      </c>
      <c r="V192" s="613">
        <f ca="1">VLOOKUP($B192,Drivers!$E$58:$M$93,9,FALSE)</f>
        <v>2.322981475457957</v>
      </c>
      <c r="W192" s="613" t="s">
        <v>359</v>
      </c>
      <c r="X192" s="613">
        <f t="shared" si="71"/>
        <v>1.056854903180779</v>
      </c>
    </row>
    <row r="193" spans="1:24" hidden="1">
      <c r="A193" s="613" t="str">
        <f t="shared" si="69"/>
        <v>ICH</v>
      </c>
      <c r="B193" s="613" t="s">
        <v>972</v>
      </c>
      <c r="C193" s="738">
        <f ca="1">Drivers!$R79*C139/$T139*INDEX($B$163:$S$167,$A139,C$4)</f>
        <v>3.9028925975359147E-2</v>
      </c>
      <c r="D193" s="738">
        <f ca="1">Drivers!$R79*D139/$T139*INDEX($B$163:$S$167,$A139,D$4)</f>
        <v>2.2695754053193434E-3</v>
      </c>
      <c r="E193" s="738">
        <f ca="1">Drivers!$R79*E139/$T139*INDEX($B$163:$S$167,$A139,E$4)</f>
        <v>0</v>
      </c>
      <c r="F193" s="738">
        <f ca="1">Drivers!$R79*F139/$T139*INDEX($B$163:$S$167,$A139,F$4)</f>
        <v>0</v>
      </c>
      <c r="G193" s="738">
        <f ca="1">Drivers!$R79*G139/$T139*INDEX($B$163:$S$167,$A139,G$4)</f>
        <v>0</v>
      </c>
      <c r="H193" s="738">
        <f ca="1">Drivers!$R79*H139/$T139*INDEX($B$163:$S$167,$A139,H$4)</f>
        <v>0</v>
      </c>
      <c r="I193" s="738">
        <f ca="1">Drivers!$R79*I139/$T139*INDEX($B$163:$S$167,$A139,I$4)</f>
        <v>0</v>
      </c>
      <c r="J193" s="738">
        <f ca="1">Drivers!$R79*J139/$T139*INDEX($B$163:$S$167,$A139,J$4)</f>
        <v>0</v>
      </c>
      <c r="K193" s="738">
        <f ca="1">Drivers!$R79*K139/$T139*INDEX($B$163:$S$167,$A139,K$4)</f>
        <v>0</v>
      </c>
      <c r="L193" s="738">
        <f ca="1">Drivers!$R79*L139/$T139*INDEX($B$163:$S$167,$A139,L$4)</f>
        <v>1.0793404578508584E-2</v>
      </c>
      <c r="M193" s="738">
        <f ca="1">Drivers!$R79*M139/$T139*INDEX($B$163:$S$167,$A139,M$4)</f>
        <v>2.4512765757881611E-3</v>
      </c>
      <c r="N193" s="738">
        <f ca="1">Drivers!$R79*N139/$T139*INDEX($B$163:$S$167,$A139,N$4)</f>
        <v>0.27627153977734564</v>
      </c>
      <c r="O193" s="738">
        <f ca="1">Drivers!$R79*O139/$T139*INDEX($B$163:$S$167,$A139,O$4)</f>
        <v>0</v>
      </c>
      <c r="P193" s="738">
        <f ca="1">Drivers!$R79*P139/$T139*INDEX($B$163:$S$167,$A139,P$4)</f>
        <v>0</v>
      </c>
      <c r="Q193" s="738">
        <f ca="1">Drivers!$R79*Q139/$T139*INDEX($B$163:$S$167,$A139,Q$4)</f>
        <v>0</v>
      </c>
      <c r="R193" s="738">
        <f ca="1">Drivers!$R79*R139/$T139*INDEX($B$163:$S$167,$A139,R$4)</f>
        <v>0</v>
      </c>
      <c r="S193" s="738">
        <f ca="1">Drivers!$R79*S139/$T139*INDEX($B$163:$S$167,$A139,S$4)</f>
        <v>0</v>
      </c>
      <c r="T193" s="738">
        <f t="shared" si="70"/>
        <v>0.3308147223123209</v>
      </c>
      <c r="V193" s="613">
        <f ca="1">VLOOKUP($B193,Drivers!$E$58:$M$93,9,FALSE)</f>
        <v>0.35254203794807831</v>
      </c>
      <c r="W193" s="613" t="s">
        <v>253</v>
      </c>
      <c r="X193" s="613">
        <f t="shared" si="71"/>
        <v>1.0656782004255685</v>
      </c>
    </row>
    <row r="194" spans="1:24" hidden="1">
      <c r="A194" s="613" t="str">
        <f t="shared" si="69"/>
        <v>ICH</v>
      </c>
      <c r="B194" s="613" t="s">
        <v>358</v>
      </c>
      <c r="C194" s="738">
        <f ca="1">Drivers!$R80*C140/$T140*INDEX($B$163:$S$167,$A140,C$4)</f>
        <v>0.28912979780993525</v>
      </c>
      <c r="D194" s="738">
        <f ca="1">Drivers!$R80*D140/$T140*INDEX($B$163:$S$167,$A140,D$4)</f>
        <v>8.4066094781685211E-2</v>
      </c>
      <c r="E194" s="738">
        <f ca="1">Drivers!$R80*E140/$T140*INDEX($B$163:$S$167,$A140,E$4)</f>
        <v>0</v>
      </c>
      <c r="F194" s="738">
        <f ca="1">Drivers!$R80*F140/$T140*INDEX($B$163:$S$167,$A140,F$4)</f>
        <v>0</v>
      </c>
      <c r="G194" s="738">
        <f ca="1">Drivers!$R80*G140/$T140*INDEX($B$163:$S$167,$A140,G$4)</f>
        <v>0</v>
      </c>
      <c r="H194" s="738">
        <f ca="1">Drivers!$R80*H140/$T140*INDEX($B$163:$S$167,$A140,H$4)</f>
        <v>0</v>
      </c>
      <c r="I194" s="738">
        <f ca="1">Drivers!$R80*I140/$T140*INDEX($B$163:$S$167,$A140,I$4)</f>
        <v>0</v>
      </c>
      <c r="J194" s="738">
        <f ca="1">Drivers!$R80*J140/$T140*INDEX($B$163:$S$167,$A140,J$4)</f>
        <v>0</v>
      </c>
      <c r="K194" s="738">
        <f ca="1">Drivers!$R80*K140/$T140*INDEX($B$163:$S$167,$A140,K$4)</f>
        <v>0</v>
      </c>
      <c r="L194" s="738">
        <f ca="1">Drivers!$R80*L140/$T140*INDEX($B$163:$S$167,$A140,L$4)</f>
        <v>0</v>
      </c>
      <c r="M194" s="738">
        <f ca="1">Drivers!$R80*M140/$T140*INDEX($B$163:$S$167,$A140,M$4)</f>
        <v>0</v>
      </c>
      <c r="N194" s="738">
        <f ca="1">Drivers!$R80*N140/$T140*INDEX($B$163:$S$167,$A140,N$4)</f>
        <v>0</v>
      </c>
      <c r="O194" s="738">
        <f ca="1">Drivers!$R80*O140/$T140*INDEX($B$163:$S$167,$A140,O$4)</f>
        <v>0</v>
      </c>
      <c r="P194" s="738">
        <f ca="1">Drivers!$R80*P140/$T140*INDEX($B$163:$S$167,$A140,P$4)</f>
        <v>0</v>
      </c>
      <c r="Q194" s="738">
        <f ca="1">Drivers!$R80*Q140/$T140*INDEX($B$163:$S$167,$A140,Q$4)</f>
        <v>0</v>
      </c>
      <c r="R194" s="738">
        <f ca="1">Drivers!$R80*R140/$T140*INDEX($B$163:$S$167,$A140,R$4)</f>
        <v>0</v>
      </c>
      <c r="S194" s="738">
        <f ca="1">Drivers!$R80*S140/$T140*INDEX($B$163:$S$167,$A140,S$4)</f>
        <v>0</v>
      </c>
      <c r="T194" s="738">
        <f t="shared" si="70"/>
        <v>0.37319589259162045</v>
      </c>
      <c r="V194" s="613">
        <f ca="1">VLOOKUP($B194,Drivers!$E$58:$M$93,9,FALSE)</f>
        <v>0.40516585714285708</v>
      </c>
      <c r="W194" s="613" t="s">
        <v>357</v>
      </c>
      <c r="X194" s="613">
        <f t="shared" si="71"/>
        <v>1.0856653708839732</v>
      </c>
    </row>
    <row r="195" spans="1:24" hidden="1">
      <c r="A195" s="613" t="str">
        <f t="shared" si="69"/>
        <v>ICH</v>
      </c>
      <c r="B195" s="613" t="s">
        <v>541</v>
      </c>
      <c r="C195" s="738">
        <f ca="1">Drivers!$R81*C141/$T141*INDEX($B$163:$S$167,$A141,C$4)</f>
        <v>0.81155840942978485</v>
      </c>
      <c r="D195" s="738">
        <f ca="1">Drivers!$R81*D141/$T141*INDEX($B$163:$S$167,$A141,D$4)</f>
        <v>0</v>
      </c>
      <c r="E195" s="738">
        <f ca="1">Drivers!$R81*E141/$T141*INDEX($B$163:$S$167,$A141,E$4)</f>
        <v>0</v>
      </c>
      <c r="F195" s="738">
        <f ca="1">Drivers!$R81*F141/$T141*INDEX($B$163:$S$167,$A141,F$4)</f>
        <v>0</v>
      </c>
      <c r="G195" s="738">
        <f ca="1">Drivers!$R81*G141/$T141*INDEX($B$163:$S$167,$A141,G$4)</f>
        <v>0</v>
      </c>
      <c r="H195" s="738">
        <f ca="1">Drivers!$R81*H141/$T141*INDEX($B$163:$S$167,$A141,H$4)</f>
        <v>0</v>
      </c>
      <c r="I195" s="738">
        <f ca="1">Drivers!$R81*I141/$T141*INDEX($B$163:$S$167,$A141,I$4)</f>
        <v>0</v>
      </c>
      <c r="J195" s="738">
        <f ca="1">Drivers!$R81*J141/$T141*INDEX($B$163:$S$167,$A141,J$4)</f>
        <v>0</v>
      </c>
      <c r="K195" s="738">
        <f ca="1">Drivers!$R81*K141/$T141*INDEX($B$163:$S$167,$A141,K$4)</f>
        <v>0</v>
      </c>
      <c r="L195" s="738">
        <f ca="1">Drivers!$R81*L141/$T141*INDEX($B$163:$S$167,$A141,L$4)</f>
        <v>0</v>
      </c>
      <c r="M195" s="738">
        <f ca="1">Drivers!$R81*M141/$T141*INDEX($B$163:$S$167,$A141,M$4)</f>
        <v>0</v>
      </c>
      <c r="N195" s="738">
        <f ca="1">Drivers!$R81*N141/$T141*INDEX($B$163:$S$167,$A141,N$4)</f>
        <v>0</v>
      </c>
      <c r="O195" s="738">
        <f ca="1">Drivers!$R81*O141/$T141*INDEX($B$163:$S$167,$A141,O$4)</f>
        <v>0</v>
      </c>
      <c r="P195" s="738">
        <f ca="1">Drivers!$R81*P141/$T141*INDEX($B$163:$S$167,$A141,P$4)</f>
        <v>0</v>
      </c>
      <c r="Q195" s="738">
        <f ca="1">Drivers!$R81*Q141/$T141*INDEX($B$163:$S$167,$A141,Q$4)</f>
        <v>0</v>
      </c>
      <c r="R195" s="738">
        <f ca="1">Drivers!$R81*R141/$T141*INDEX($B$163:$S$167,$A141,R$4)</f>
        <v>0</v>
      </c>
      <c r="S195" s="738">
        <f ca="1">Drivers!$R81*S141/$T141*INDEX($B$163:$S$167,$A141,S$4)</f>
        <v>0</v>
      </c>
      <c r="T195" s="738">
        <f t="shared" si="70"/>
        <v>0.81155840942978485</v>
      </c>
      <c r="V195" s="613">
        <f ca="1">VLOOKUP($B195,Drivers!$E$58:$M$93,9,FALSE)</f>
        <v>0.8640000000000001</v>
      </c>
      <c r="W195" s="613" t="s">
        <v>540</v>
      </c>
      <c r="X195" s="613">
        <f t="shared" si="71"/>
        <v>1.0646183810812355</v>
      </c>
    </row>
    <row r="196" spans="1:24" hidden="1">
      <c r="A196" s="613" t="str">
        <f t="shared" si="69"/>
        <v>ICH</v>
      </c>
      <c r="B196" s="613" t="s">
        <v>356</v>
      </c>
      <c r="C196" s="738">
        <f ca="1">Drivers!$R82*C142/$T142*INDEX($B$163:$S$167,$A142,C$4)</f>
        <v>0</v>
      </c>
      <c r="D196" s="738">
        <f ca="1">Drivers!$R82*D142/$T142*INDEX($B$163:$S$167,$A142,D$4)</f>
        <v>0</v>
      </c>
      <c r="E196" s="738">
        <f ca="1">Drivers!$R82*E142/$T142*INDEX($B$163:$S$167,$A142,E$4)</f>
        <v>0</v>
      </c>
      <c r="F196" s="738">
        <f ca="1">Drivers!$R82*F142/$T142*INDEX($B$163:$S$167,$A142,F$4)</f>
        <v>0</v>
      </c>
      <c r="G196" s="738">
        <f ca="1">Drivers!$R82*G142/$T142*INDEX($B$163:$S$167,$A142,G$4)</f>
        <v>0</v>
      </c>
      <c r="H196" s="738">
        <f ca="1">Drivers!$R82*H142/$T142*INDEX($B$163:$S$167,$A142,H$4)</f>
        <v>0</v>
      </c>
      <c r="I196" s="738">
        <f ca="1">Drivers!$R82*I142/$T142*INDEX($B$163:$S$167,$A142,I$4)</f>
        <v>0</v>
      </c>
      <c r="J196" s="738">
        <f ca="1">Drivers!$R82*J142/$T142*INDEX($B$163:$S$167,$A142,J$4)</f>
        <v>0</v>
      </c>
      <c r="K196" s="738">
        <f ca="1">Drivers!$R82*K142/$T142*INDEX($B$163:$S$167,$A142,K$4)</f>
        <v>0</v>
      </c>
      <c r="L196" s="738">
        <f ca="1">Drivers!$R82*L142/$T142*INDEX($B$163:$S$167,$A142,L$4)</f>
        <v>0</v>
      </c>
      <c r="M196" s="738">
        <f ca="1">Drivers!$R82*M142/$T142*INDEX($B$163:$S$167,$A142,M$4)</f>
        <v>0</v>
      </c>
      <c r="N196" s="738">
        <f ca="1">Drivers!$R82*N142/$T142*INDEX($B$163:$S$167,$A142,N$4)</f>
        <v>0</v>
      </c>
      <c r="O196" s="738">
        <f ca="1">Drivers!$R82*O142/$T142*INDEX($B$163:$S$167,$A142,O$4)</f>
        <v>0</v>
      </c>
      <c r="P196" s="738">
        <f ca="1">Drivers!$R82*P142/$T142*INDEX($B$163:$S$167,$A142,P$4)</f>
        <v>0</v>
      </c>
      <c r="Q196" s="738">
        <f ca="1">Drivers!$R82*Q142/$T142*INDEX($B$163:$S$167,$A142,Q$4)</f>
        <v>0</v>
      </c>
      <c r="R196" s="738">
        <f ca="1">Drivers!$R82*R142/$T142*INDEX($B$163:$S$167,$A142,R$4)</f>
        <v>0</v>
      </c>
      <c r="S196" s="738">
        <f ca="1">Drivers!$R82*S142/$T142*INDEX($B$163:$S$167,$A142,S$4)</f>
        <v>0</v>
      </c>
      <c r="T196" s="738">
        <f t="shared" si="70"/>
        <v>0</v>
      </c>
      <c r="V196" s="613">
        <f ca="1">VLOOKUP($B196,Drivers!$E$58:$M$93,9,FALSE)</f>
        <v>0</v>
      </c>
      <c r="W196" s="613" t="s">
        <v>354</v>
      </c>
      <c r="X196" s="613" t="b">
        <f t="shared" si="71"/>
        <v>0</v>
      </c>
    </row>
    <row r="197" spans="1:24" hidden="1">
      <c r="A197" s="613" t="str">
        <f t="shared" si="69"/>
        <v>ICH</v>
      </c>
      <c r="B197" s="613" t="s">
        <v>536</v>
      </c>
      <c r="C197" s="738">
        <f ca="1">Drivers!$R83*C143/$T143*INDEX($B$163:$S$167,$A143,C$4)</f>
        <v>3.9210092792720204</v>
      </c>
      <c r="D197" s="738">
        <f ca="1">Drivers!$R83*D143/$T143*INDEX($B$163:$S$167,$A143,D$4)</f>
        <v>9.5004602375802522E-2</v>
      </c>
      <c r="E197" s="738">
        <f ca="1">Drivers!$R83*E143/$T143*INDEX($B$163:$S$167,$A143,E$4)</f>
        <v>0</v>
      </c>
      <c r="F197" s="738">
        <f ca="1">Drivers!$R83*F143/$T143*INDEX($B$163:$S$167,$A143,F$4)</f>
        <v>0</v>
      </c>
      <c r="G197" s="738">
        <f ca="1">Drivers!$R83*G143/$T143*INDEX($B$163:$S$167,$A143,G$4)</f>
        <v>0</v>
      </c>
      <c r="H197" s="738">
        <f ca="1">Drivers!$R83*H143/$T143*INDEX($B$163:$S$167,$A143,H$4)</f>
        <v>0</v>
      </c>
      <c r="I197" s="738">
        <f ca="1">Drivers!$R83*I143/$T143*INDEX($B$163:$S$167,$A143,I$4)</f>
        <v>0</v>
      </c>
      <c r="J197" s="738">
        <f ca="1">Drivers!$R83*J143/$T143*INDEX($B$163:$S$167,$A143,J$4)</f>
        <v>0</v>
      </c>
      <c r="K197" s="738">
        <f ca="1">Drivers!$R83*K143/$T143*INDEX($B$163:$S$167,$A143,K$4)</f>
        <v>0</v>
      </c>
      <c r="L197" s="738">
        <f ca="1">Drivers!$R83*L143/$T143*INDEX($B$163:$S$167,$A143,L$4)</f>
        <v>0.75904542374012618</v>
      </c>
      <c r="M197" s="738">
        <f ca="1">Drivers!$R83*M143/$T143*INDEX($B$163:$S$167,$A143,M$4)</f>
        <v>6.1566376472899344E-2</v>
      </c>
      <c r="N197" s="738">
        <f ca="1">Drivers!$R83*N143/$T143*INDEX($B$163:$S$167,$A143,N$4)</f>
        <v>4.8571941886433194</v>
      </c>
      <c r="O197" s="738">
        <f ca="1">Drivers!$R83*O143/$T143*INDEX($B$163:$S$167,$A143,O$4)</f>
        <v>0</v>
      </c>
      <c r="P197" s="738">
        <f ca="1">Drivers!$R83*P143/$T143*INDEX($B$163:$S$167,$A143,P$4)</f>
        <v>0</v>
      </c>
      <c r="Q197" s="738">
        <f ca="1">Drivers!$R83*Q143/$T143*INDEX($B$163:$S$167,$A143,Q$4)</f>
        <v>0</v>
      </c>
      <c r="R197" s="738">
        <f ca="1">Drivers!$R83*R143/$T143*INDEX($B$163:$S$167,$A143,R$4)</f>
        <v>0</v>
      </c>
      <c r="S197" s="738">
        <f ca="1">Drivers!$R83*S143/$T143*INDEX($B$163:$S$167,$A143,S$4)</f>
        <v>0</v>
      </c>
      <c r="T197" s="738">
        <f t="shared" si="70"/>
        <v>9.6938198705041678</v>
      </c>
      <c r="V197" s="613">
        <f ca="1">VLOOKUP($B197,Drivers!$E$58:$M$93,9,FALSE)</f>
        <v>10.264552483713384</v>
      </c>
      <c r="W197" s="613" t="s">
        <v>535</v>
      </c>
      <c r="X197" s="613">
        <f t="shared" si="71"/>
        <v>1.0588759251598856</v>
      </c>
    </row>
    <row r="198" spans="1:24" hidden="1">
      <c r="A198" s="613" t="str">
        <f t="shared" si="69"/>
        <v>ICH</v>
      </c>
      <c r="B198" s="613" t="s">
        <v>973</v>
      </c>
      <c r="C198" s="738">
        <f ca="1">Drivers!$R84*C144/$T144*INDEX($B$163:$S$167,$A144,C$4)</f>
        <v>11.058855427424303</v>
      </c>
      <c r="D198" s="738">
        <f ca="1">Drivers!$R84*D144/$T144*INDEX($B$163:$S$167,$A144,D$4)</f>
        <v>0</v>
      </c>
      <c r="E198" s="738">
        <f ca="1">Drivers!$R84*E144/$T144*INDEX($B$163:$S$167,$A144,E$4)</f>
        <v>0</v>
      </c>
      <c r="F198" s="738">
        <f ca="1">Drivers!$R84*F144/$T144*INDEX($B$163:$S$167,$A144,F$4)</f>
        <v>0</v>
      </c>
      <c r="G198" s="738">
        <f ca="1">Drivers!$R84*G144/$T144*INDEX($B$163:$S$167,$A144,G$4)</f>
        <v>0</v>
      </c>
      <c r="H198" s="738">
        <f ca="1">Drivers!$R84*H144/$T144*INDEX($B$163:$S$167,$A144,H$4)</f>
        <v>0</v>
      </c>
      <c r="I198" s="738">
        <f ca="1">Drivers!$R84*I144/$T144*INDEX($B$163:$S$167,$A144,I$4)</f>
        <v>0</v>
      </c>
      <c r="J198" s="738">
        <f ca="1">Drivers!$R84*J144/$T144*INDEX($B$163:$S$167,$A144,J$4)</f>
        <v>0</v>
      </c>
      <c r="K198" s="738">
        <f ca="1">Drivers!$R84*K144/$T144*INDEX($B$163:$S$167,$A144,K$4)</f>
        <v>0</v>
      </c>
      <c r="L198" s="738">
        <f ca="1">Drivers!$R84*L144/$T144*INDEX($B$163:$S$167,$A144,L$4)</f>
        <v>0</v>
      </c>
      <c r="M198" s="738">
        <f ca="1">Drivers!$R84*M144/$T144*INDEX($B$163:$S$167,$A144,M$4)</f>
        <v>1.4470204142834434E-2</v>
      </c>
      <c r="N198" s="738">
        <f ca="1">Drivers!$R84*N144/$T144*INDEX($B$163:$S$167,$A144,N$4)</f>
        <v>0</v>
      </c>
      <c r="O198" s="738">
        <f ca="1">Drivers!$R84*O144/$T144*INDEX($B$163:$S$167,$A144,O$4)</f>
        <v>0</v>
      </c>
      <c r="P198" s="738">
        <f ca="1">Drivers!$R84*P144/$T144*INDEX($B$163:$S$167,$A144,P$4)</f>
        <v>0</v>
      </c>
      <c r="Q198" s="738">
        <f ca="1">Drivers!$R84*Q144/$T144*INDEX($B$163:$S$167,$A144,Q$4)</f>
        <v>0</v>
      </c>
      <c r="R198" s="738">
        <f ca="1">Drivers!$R84*R144/$T144*INDEX($B$163:$S$167,$A144,R$4)</f>
        <v>0</v>
      </c>
      <c r="S198" s="738">
        <f ca="1">Drivers!$R84*S144/$T144*INDEX($B$163:$S$167,$A144,S$4)</f>
        <v>0</v>
      </c>
      <c r="T198" s="738">
        <f t="shared" si="70"/>
        <v>11.073325631567139</v>
      </c>
      <c r="V198" s="613">
        <f ca="1">VLOOKUP($B198,Drivers!$E$58:$M$93,9,FALSE)</f>
        <v>11.755394650819786</v>
      </c>
      <c r="W198" s="613" t="s">
        <v>227</v>
      </c>
      <c r="X198" s="613">
        <f t="shared" si="71"/>
        <v>1.0615956797394497</v>
      </c>
    </row>
    <row r="199" spans="1:24" hidden="1">
      <c r="A199" s="613" t="str">
        <f t="shared" si="69"/>
        <v>ICH</v>
      </c>
      <c r="B199" s="613" t="s">
        <v>974</v>
      </c>
      <c r="C199" s="738">
        <f ca="1">Drivers!$R85*C145/$T145*INDEX($B$163:$S$167,$A145,C$4)</f>
        <v>0</v>
      </c>
      <c r="D199" s="738">
        <f ca="1">Drivers!$R85*D145/$T145*INDEX($B$163:$S$167,$A145,D$4)</f>
        <v>0.24715084856140371</v>
      </c>
      <c r="E199" s="738">
        <f ca="1">Drivers!$R85*E145/$T145*INDEX($B$163:$S$167,$A145,E$4)</f>
        <v>0</v>
      </c>
      <c r="F199" s="738">
        <f ca="1">Drivers!$R85*F145/$T145*INDEX($B$163:$S$167,$A145,F$4)</f>
        <v>0</v>
      </c>
      <c r="G199" s="738">
        <f ca="1">Drivers!$R85*G145/$T145*INDEX($B$163:$S$167,$A145,G$4)</f>
        <v>0</v>
      </c>
      <c r="H199" s="738">
        <f ca="1">Drivers!$R85*H145/$T145*INDEX($B$163:$S$167,$A145,H$4)</f>
        <v>0</v>
      </c>
      <c r="I199" s="738">
        <f ca="1">Drivers!$R85*I145/$T145*INDEX($B$163:$S$167,$A145,I$4)</f>
        <v>0</v>
      </c>
      <c r="J199" s="738">
        <f ca="1">Drivers!$R85*J145/$T145*INDEX($B$163:$S$167,$A145,J$4)</f>
        <v>0</v>
      </c>
      <c r="K199" s="738">
        <f ca="1">Drivers!$R85*K145/$T145*INDEX($B$163:$S$167,$A145,K$4)</f>
        <v>0</v>
      </c>
      <c r="L199" s="738">
        <f ca="1">Drivers!$R85*L145/$T145*INDEX($B$163:$S$167,$A145,L$4)</f>
        <v>0.88153022836101447</v>
      </c>
      <c r="M199" s="738">
        <f ca="1">Drivers!$R85*M145/$T145*INDEX($B$163:$S$167,$A145,M$4)</f>
        <v>6.0060967341107371E-2</v>
      </c>
      <c r="N199" s="738">
        <f ca="1">Drivers!$R85*N145/$T145*INDEX($B$163:$S$167,$A145,N$4)</f>
        <v>2.2563938169658115</v>
      </c>
      <c r="O199" s="738">
        <f ca="1">Drivers!$R85*O145/$T145*INDEX($B$163:$S$167,$A145,O$4)</f>
        <v>0</v>
      </c>
      <c r="P199" s="738">
        <f ca="1">Drivers!$R85*P145/$T145*INDEX($B$163:$S$167,$A145,P$4)</f>
        <v>0</v>
      </c>
      <c r="Q199" s="738">
        <f ca="1">Drivers!$R85*Q145/$T145*INDEX($B$163:$S$167,$A145,Q$4)</f>
        <v>0.32593433599999999</v>
      </c>
      <c r="R199" s="738">
        <f ca="1">Drivers!$R85*R145/$T145*INDEX($B$163:$S$167,$A145,R$4)</f>
        <v>0</v>
      </c>
      <c r="S199" s="738">
        <f ca="1">Drivers!$R85*S145/$T145*INDEX($B$163:$S$167,$A145,S$4)</f>
        <v>16.805391184845284</v>
      </c>
      <c r="T199" s="738">
        <f t="shared" si="70"/>
        <v>20.576461382074623</v>
      </c>
      <c r="V199" s="613">
        <f ca="1">VLOOKUP($B199,Drivers!$E$58:$M$93,9,FALSE)</f>
        <v>18.972553027090449</v>
      </c>
      <c r="W199" s="613" t="s">
        <v>228</v>
      </c>
      <c r="X199" s="613">
        <f t="shared" si="71"/>
        <v>0.92205130293290205</v>
      </c>
    </row>
    <row r="200" spans="1:24" hidden="1">
      <c r="A200" s="613" t="s">
        <v>978</v>
      </c>
      <c r="B200" s="613" t="s">
        <v>341</v>
      </c>
      <c r="C200" s="738">
        <f ca="1">Drivers!$R86*C146/$T146*INDEX($B$163:$S$167,$A146,C$4)</f>
        <v>0</v>
      </c>
      <c r="D200" s="738">
        <f ca="1">Drivers!$R86*D146/$T146*INDEX($B$163:$S$167,$A146,D$4)</f>
        <v>2.3966867693462133</v>
      </c>
      <c r="E200" s="738">
        <f ca="1">Drivers!$R86*E146/$T146*INDEX($B$163:$S$167,$A146,E$4)</f>
        <v>1.7268089636562658</v>
      </c>
      <c r="F200" s="738">
        <f ca="1">Drivers!$R86*F146/$T146*INDEX($B$163:$S$167,$A146,F$4)</f>
        <v>0</v>
      </c>
      <c r="G200" s="738">
        <f ca="1">Drivers!$R86*G146/$T146*INDEX($B$163:$S$167,$A146,G$4)</f>
        <v>0</v>
      </c>
      <c r="H200" s="738">
        <f ca="1">Drivers!$R86*H146/$T146*INDEX($B$163:$S$167,$A146,H$4)</f>
        <v>0</v>
      </c>
      <c r="I200" s="738">
        <f ca="1">Drivers!$R86*I146/$T146*INDEX($B$163:$S$167,$A146,I$4)</f>
        <v>0</v>
      </c>
      <c r="J200" s="738">
        <f ca="1">Drivers!$R86*J146/$T146*INDEX($B$163:$S$167,$A146,J$4)</f>
        <v>0</v>
      </c>
      <c r="K200" s="738">
        <f ca="1">Drivers!$R86*K146/$T146*INDEX($B$163:$S$167,$A146,K$4)</f>
        <v>0</v>
      </c>
      <c r="L200" s="738">
        <f ca="1">Drivers!$R86*L146/$T146*INDEX($B$163:$S$167,$A146,L$4)</f>
        <v>0</v>
      </c>
      <c r="M200" s="738">
        <f ca="1">Drivers!$R86*M146/$T146*INDEX($B$163:$S$167,$A146,M$4)</f>
        <v>0.15317362960667658</v>
      </c>
      <c r="N200" s="738">
        <f ca="1">Drivers!$R86*N146/$T146*INDEX($B$163:$S$167,$A146,N$4)</f>
        <v>0</v>
      </c>
      <c r="O200" s="738">
        <f ca="1">Drivers!$R86*O146/$T146*INDEX($B$163:$S$167,$A146,O$4)</f>
        <v>0</v>
      </c>
      <c r="P200" s="738">
        <f ca="1">Drivers!$R86*P146/$T146*INDEX($B$163:$S$167,$A146,P$4)</f>
        <v>0</v>
      </c>
      <c r="Q200" s="738">
        <f ca="1">Drivers!$R86*Q146/$T146*INDEX($B$163:$S$167,$A146,Q$4)</f>
        <v>0</v>
      </c>
      <c r="R200" s="738">
        <f ca="1">Drivers!$R86*R146/$T146*INDEX($B$163:$S$167,$A146,R$4)</f>
        <v>0</v>
      </c>
      <c r="S200" s="738">
        <f ca="1">Drivers!$R86*S146/$T146*INDEX($B$163:$S$167,$A146,S$4)</f>
        <v>0</v>
      </c>
      <c r="T200" s="738">
        <f t="shared" si="70"/>
        <v>4.2766693626091561</v>
      </c>
      <c r="V200" s="613">
        <f ca="1">VLOOKUP($B200,Drivers!$E$58:$M$93,9,FALSE)</f>
        <v>5.8789999999999996</v>
      </c>
      <c r="W200" s="613" t="s">
        <v>454</v>
      </c>
      <c r="X200" s="613">
        <f t="shared" si="71"/>
        <v>1.3746678785598887</v>
      </c>
    </row>
    <row r="201" spans="1:24" hidden="1">
      <c r="A201" s="613" t="s">
        <v>978</v>
      </c>
      <c r="B201" s="613" t="s">
        <v>342</v>
      </c>
      <c r="C201" s="738">
        <f ca="1">Drivers!$R87*C147/$T147*INDEX($B$163:$S$167,$A147,C$4)</f>
        <v>0</v>
      </c>
      <c r="D201" s="738">
        <f ca="1">Drivers!$R87*D147/$T147*INDEX($B$163:$S$167,$A147,D$4)</f>
        <v>0</v>
      </c>
      <c r="E201" s="738">
        <f ca="1">Drivers!$R87*E147/$T147*INDEX($B$163:$S$167,$A147,E$4)</f>
        <v>0</v>
      </c>
      <c r="F201" s="738">
        <f ca="1">Drivers!$R87*F147/$T147*INDEX($B$163:$S$167,$A147,F$4)</f>
        <v>0</v>
      </c>
      <c r="G201" s="738">
        <f ca="1">Drivers!$R87*G147/$T147*INDEX($B$163:$S$167,$A147,G$4)</f>
        <v>0</v>
      </c>
      <c r="H201" s="738">
        <f ca="1">Drivers!$R87*H147/$T147*INDEX($B$163:$S$167,$A147,H$4)</f>
        <v>0</v>
      </c>
      <c r="I201" s="738">
        <f ca="1">Drivers!$R87*I147/$T147*INDEX($B$163:$S$167,$A147,I$4)</f>
        <v>0</v>
      </c>
      <c r="J201" s="738">
        <f ca="1">Drivers!$R87*J147/$T147*INDEX($B$163:$S$167,$A147,J$4)</f>
        <v>0</v>
      </c>
      <c r="K201" s="738">
        <f ca="1">Drivers!$R87*K147/$T147*INDEX($B$163:$S$167,$A147,K$4)</f>
        <v>0</v>
      </c>
      <c r="L201" s="738">
        <f ca="1">Drivers!$R87*L147/$T147*INDEX($B$163:$S$167,$A147,L$4)</f>
        <v>0</v>
      </c>
      <c r="M201" s="738">
        <f ca="1">Drivers!$R87*M147/$T147*INDEX($B$163:$S$167,$A147,M$4)</f>
        <v>0</v>
      </c>
      <c r="N201" s="738">
        <f ca="1">Drivers!$R87*N147/$T147*INDEX($B$163:$S$167,$A147,N$4)</f>
        <v>0</v>
      </c>
      <c r="O201" s="738">
        <f ca="1">Drivers!$R87*O147/$T147*INDEX($B$163:$S$167,$A147,O$4)</f>
        <v>0</v>
      </c>
      <c r="P201" s="738">
        <f ca="1">Drivers!$R87*P147/$T147*INDEX($B$163:$S$167,$A147,P$4)</f>
        <v>0</v>
      </c>
      <c r="Q201" s="738">
        <f ca="1">Drivers!$R87*Q147/$T147*INDEX($B$163:$S$167,$A147,Q$4)</f>
        <v>0</v>
      </c>
      <c r="R201" s="738">
        <f ca="1">Drivers!$R87*R147/$T147*INDEX($B$163:$S$167,$A147,R$4)</f>
        <v>0</v>
      </c>
      <c r="S201" s="738">
        <f ca="1">Drivers!$R87*S147/$T147*INDEX($B$163:$S$167,$A147,S$4)</f>
        <v>0</v>
      </c>
      <c r="T201" s="738">
        <f t="shared" si="70"/>
        <v>0</v>
      </c>
      <c r="V201" s="613">
        <f ca="1">VLOOKUP($B201,Drivers!$E$58:$M$93,9,FALSE)</f>
        <v>0</v>
      </c>
      <c r="W201" s="613" t="s">
        <v>340</v>
      </c>
      <c r="X201" s="613" t="b">
        <f t="shared" si="71"/>
        <v>0</v>
      </c>
    </row>
    <row r="202" spans="1:24" hidden="1">
      <c r="A202" s="613" t="s">
        <v>978</v>
      </c>
      <c r="B202" s="613" t="s">
        <v>343</v>
      </c>
      <c r="C202" s="738">
        <f ca="1">Drivers!$R88*C148/$T148*INDEX($B$163:$S$167,$A148,C$4)</f>
        <v>0</v>
      </c>
      <c r="D202" s="738">
        <f ca="1">Drivers!$R88*D148/$T148*INDEX($B$163:$S$167,$A148,D$4)</f>
        <v>5.5208981588030221</v>
      </c>
      <c r="E202" s="738">
        <f ca="1">Drivers!$R88*E148/$T148*INDEX($B$163:$S$167,$A148,E$4)</f>
        <v>0</v>
      </c>
      <c r="F202" s="738">
        <f ca="1">Drivers!$R88*F148/$T148*INDEX($B$163:$S$167,$A148,F$4)</f>
        <v>0</v>
      </c>
      <c r="G202" s="738">
        <f ca="1">Drivers!$R88*G148/$T148*INDEX($B$163:$S$167,$A148,G$4)</f>
        <v>7.4223617398694153E-2</v>
      </c>
      <c r="H202" s="738">
        <f ca="1">Drivers!$R88*H148/$T148*INDEX($B$163:$S$167,$A148,H$4)</f>
        <v>0</v>
      </c>
      <c r="I202" s="738">
        <f ca="1">Drivers!$R88*I148/$T148*INDEX($B$163:$S$167,$A148,I$4)</f>
        <v>0</v>
      </c>
      <c r="J202" s="738">
        <f ca="1">Drivers!$R88*J148/$T148*INDEX($B$163:$S$167,$A148,J$4)</f>
        <v>0</v>
      </c>
      <c r="K202" s="738">
        <f ca="1">Drivers!$R88*K148/$T148*INDEX($B$163:$S$167,$A148,K$4)</f>
        <v>0</v>
      </c>
      <c r="L202" s="738">
        <f ca="1">Drivers!$R88*L148/$T148*INDEX($B$163:$S$167,$A148,L$4)</f>
        <v>2.6068024504974909</v>
      </c>
      <c r="M202" s="738">
        <f ca="1">Drivers!$R88*M148/$T148*INDEX($B$163:$S$167,$A148,M$4)</f>
        <v>0</v>
      </c>
      <c r="N202" s="738">
        <f ca="1">Drivers!$R88*N148/$T148*INDEX($B$163:$S$167,$A148,N$4)</f>
        <v>0</v>
      </c>
      <c r="O202" s="738">
        <f ca="1">Drivers!$R88*O148/$T148*INDEX($B$163:$S$167,$A148,O$4)</f>
        <v>0</v>
      </c>
      <c r="P202" s="738">
        <f ca="1">Drivers!$R88*P148/$T148*INDEX($B$163:$S$167,$A148,P$4)</f>
        <v>0</v>
      </c>
      <c r="Q202" s="738">
        <f ca="1">Drivers!$R88*Q148/$T148*INDEX($B$163:$S$167,$A148,Q$4)</f>
        <v>2.5857936335664262</v>
      </c>
      <c r="R202" s="738">
        <f ca="1">Drivers!$R88*R148/$T148*INDEX($B$163:$S$167,$A148,R$4)</f>
        <v>0</v>
      </c>
      <c r="S202" s="738">
        <f ca="1">Drivers!$R88*S148/$T148*INDEX($B$163:$S$167,$A148,S$4)</f>
        <v>0</v>
      </c>
      <c r="T202" s="738">
        <f t="shared" si="70"/>
        <v>10.787717860265634</v>
      </c>
      <c r="V202" s="613">
        <f ca="1">VLOOKUP($B202,Drivers!$E$58:$M$93,9,FALSE)</f>
        <v>12.89673756</v>
      </c>
      <c r="W202" s="613" t="s">
        <v>248</v>
      </c>
      <c r="X202" s="613">
        <f t="shared" si="71"/>
        <v>1.1955019334999957</v>
      </c>
    </row>
    <row r="203" spans="1:24" hidden="1">
      <c r="A203" s="613" t="s">
        <v>978</v>
      </c>
      <c r="B203" s="613" t="s">
        <v>344</v>
      </c>
      <c r="C203" s="738">
        <f ca="1">Drivers!$R89*C149/$T149*INDEX($B$163:$S$167,$A149,C$4)</f>
        <v>0</v>
      </c>
      <c r="D203" s="738">
        <f ca="1">Drivers!$R89*D149/$T149*INDEX($B$163:$S$167,$A149,D$4)</f>
        <v>0.22461207353803261</v>
      </c>
      <c r="E203" s="738">
        <f ca="1">Drivers!$R89*E149/$T149*INDEX($B$163:$S$167,$A149,E$4)</f>
        <v>0.10357288820995468</v>
      </c>
      <c r="F203" s="738">
        <f ca="1">Drivers!$R89*F149/$T149*INDEX($B$163:$S$167,$A149,F$4)</f>
        <v>0</v>
      </c>
      <c r="G203" s="738">
        <f ca="1">Drivers!$R89*G149/$T149*INDEX($B$163:$S$167,$A149,G$4)</f>
        <v>0</v>
      </c>
      <c r="H203" s="738">
        <f ca="1">Drivers!$R89*H149/$T149*INDEX($B$163:$S$167,$A149,H$4)</f>
        <v>0</v>
      </c>
      <c r="I203" s="738">
        <f ca="1">Drivers!$R89*I149/$T149*INDEX($B$163:$S$167,$A149,I$4)</f>
        <v>0</v>
      </c>
      <c r="J203" s="738">
        <f ca="1">Drivers!$R89*J149/$T149*INDEX($B$163:$S$167,$A149,J$4)</f>
        <v>0</v>
      </c>
      <c r="K203" s="738">
        <f ca="1">Drivers!$R89*K149/$T149*INDEX($B$163:$S$167,$A149,K$4)</f>
        <v>0</v>
      </c>
      <c r="L203" s="738">
        <f ca="1">Drivers!$R89*L149/$T149*INDEX($B$163:$S$167,$A149,L$4)</f>
        <v>0</v>
      </c>
      <c r="M203" s="738">
        <f ca="1">Drivers!$R89*M149/$T149*INDEX($B$163:$S$167,$A149,M$4)</f>
        <v>9.8434880773879668E-3</v>
      </c>
      <c r="N203" s="738">
        <f ca="1">Drivers!$R89*N149/$T149*INDEX($B$163:$S$167,$A149,N$4)</f>
        <v>0</v>
      </c>
      <c r="O203" s="738">
        <f ca="1">Drivers!$R89*O149/$T149*INDEX($B$163:$S$167,$A149,O$4)</f>
        <v>0</v>
      </c>
      <c r="P203" s="738">
        <f ca="1">Drivers!$R89*P149/$T149*INDEX($B$163:$S$167,$A149,P$4)</f>
        <v>0</v>
      </c>
      <c r="Q203" s="738">
        <f ca="1">Drivers!$R89*Q149/$T149*INDEX($B$163:$S$167,$A149,Q$4)</f>
        <v>0</v>
      </c>
      <c r="R203" s="738">
        <f ca="1">Drivers!$R89*R149/$T149*INDEX($B$163:$S$167,$A149,R$4)</f>
        <v>0</v>
      </c>
      <c r="S203" s="738">
        <f ca="1">Drivers!$R89*S149/$T149*INDEX($B$163:$S$167,$A149,S$4)</f>
        <v>0</v>
      </c>
      <c r="T203" s="738">
        <f t="shared" si="70"/>
        <v>0.33802844982537522</v>
      </c>
      <c r="V203" s="613">
        <f ca="1">VLOOKUP($B203,Drivers!$E$58:$M$93,9,FALSE)</f>
        <v>0.45184826999999955</v>
      </c>
      <c r="W203" s="613" t="s">
        <v>339</v>
      </c>
      <c r="X203" s="613">
        <f t="shared" si="71"/>
        <v>1.3367166882947972</v>
      </c>
    </row>
    <row r="204" spans="1:24" hidden="1">
      <c r="A204" s="613" t="s">
        <v>978</v>
      </c>
      <c r="B204" s="613" t="s">
        <v>345</v>
      </c>
      <c r="C204" s="738">
        <f ca="1">Drivers!$R90*C150/$T150*INDEX($B$163:$S$167,$A150,C$4)</f>
        <v>0</v>
      </c>
      <c r="D204" s="738">
        <f ca="1">Drivers!$R90*D150/$T150*INDEX($B$163:$S$167,$A150,D$4)</f>
        <v>0</v>
      </c>
      <c r="E204" s="738">
        <f ca="1">Drivers!$R90*E150/$T150*INDEX($B$163:$S$167,$A150,E$4)</f>
        <v>0</v>
      </c>
      <c r="F204" s="738">
        <f ca="1">Drivers!$R90*F150/$T150*INDEX($B$163:$S$167,$A150,F$4)</f>
        <v>0</v>
      </c>
      <c r="G204" s="738">
        <f ca="1">Drivers!$R90*G150/$T150*INDEX($B$163:$S$167,$A150,G$4)</f>
        <v>0</v>
      </c>
      <c r="H204" s="738">
        <f ca="1">Drivers!$R90*H150/$T150*INDEX($B$163:$S$167,$A150,H$4)</f>
        <v>0</v>
      </c>
      <c r="I204" s="738">
        <f ca="1">Drivers!$R90*I150/$T150*INDEX($B$163:$S$167,$A150,I$4)</f>
        <v>0</v>
      </c>
      <c r="J204" s="738">
        <f ca="1">Drivers!$R90*J150/$T150*INDEX($B$163:$S$167,$A150,J$4)</f>
        <v>0</v>
      </c>
      <c r="K204" s="738">
        <f ca="1">Drivers!$R90*K150/$T150*INDEX($B$163:$S$167,$A150,K$4)</f>
        <v>0</v>
      </c>
      <c r="L204" s="738">
        <f ca="1">Drivers!$R90*L150/$T150*INDEX($B$163:$S$167,$A150,L$4)</f>
        <v>0</v>
      </c>
      <c r="M204" s="738">
        <f ca="1">Drivers!$R90*M150/$T150*INDEX($B$163:$S$167,$A150,M$4)</f>
        <v>0</v>
      </c>
      <c r="N204" s="738">
        <f ca="1">Drivers!$R90*N150/$T150*INDEX($B$163:$S$167,$A150,N$4)</f>
        <v>0</v>
      </c>
      <c r="O204" s="738">
        <f ca="1">Drivers!$R90*O150/$T150*INDEX($B$163:$S$167,$A150,O$4)</f>
        <v>0</v>
      </c>
      <c r="P204" s="738">
        <f ca="1">Drivers!$R90*P150/$T150*INDEX($B$163:$S$167,$A150,P$4)</f>
        <v>0</v>
      </c>
      <c r="Q204" s="738">
        <f ca="1">Drivers!$R90*Q150/$T150*INDEX($B$163:$S$167,$A150,Q$4)</f>
        <v>0</v>
      </c>
      <c r="R204" s="738">
        <f ca="1">Drivers!$R90*R150/$T150*INDEX($B$163:$S$167,$A150,R$4)</f>
        <v>0</v>
      </c>
      <c r="S204" s="738">
        <f ca="1">Drivers!$R90*S150/$T150*INDEX($B$163:$S$167,$A150,S$4)</f>
        <v>0</v>
      </c>
      <c r="T204" s="738">
        <f t="shared" si="70"/>
        <v>0</v>
      </c>
      <c r="V204" s="613">
        <f ca="1">VLOOKUP($B204,Drivers!$E$58:$M$93,9,FALSE)</f>
        <v>0</v>
      </c>
      <c r="W204" s="613" t="s">
        <v>346</v>
      </c>
      <c r="X204" s="613" t="b">
        <f t="shared" si="71"/>
        <v>0</v>
      </c>
    </row>
    <row r="205" spans="1:24" hidden="1">
      <c r="A205" s="613" t="s">
        <v>978</v>
      </c>
      <c r="B205" s="613" t="s">
        <v>970</v>
      </c>
      <c r="C205" s="738">
        <f ca="1">Drivers!$R91*C151/$T151*INDEX($B$163:$S$167,$A151,C$4)</f>
        <v>75.340543673109337</v>
      </c>
      <c r="D205" s="738">
        <f ca="1">Drivers!$R91*D151/$T151*INDEX($B$163:$S$167,$A151,D$4)</f>
        <v>0</v>
      </c>
      <c r="E205" s="738">
        <f ca="1">Drivers!$R91*E151/$T151*INDEX($B$163:$S$167,$A151,E$4)</f>
        <v>0</v>
      </c>
      <c r="F205" s="738">
        <f ca="1">Drivers!$R91*F151/$T151*INDEX($B$163:$S$167,$A151,F$4)</f>
        <v>0</v>
      </c>
      <c r="G205" s="738">
        <f ca="1">Drivers!$R91*G151/$T151*INDEX($B$163:$S$167,$A151,G$4)</f>
        <v>0</v>
      </c>
      <c r="H205" s="738">
        <f ca="1">Drivers!$R91*H151/$T151*INDEX($B$163:$S$167,$A151,H$4)</f>
        <v>0</v>
      </c>
      <c r="I205" s="738">
        <f ca="1">Drivers!$R91*I151/$T151*INDEX($B$163:$S$167,$A151,I$4)</f>
        <v>0</v>
      </c>
      <c r="J205" s="738">
        <f ca="1">Drivers!$R91*J151/$T151*INDEX($B$163:$S$167,$A151,J$4)</f>
        <v>0</v>
      </c>
      <c r="K205" s="738">
        <f ca="1">Drivers!$R91*K151/$T151*INDEX($B$163:$S$167,$A151,K$4)</f>
        <v>0</v>
      </c>
      <c r="L205" s="738">
        <f ca="1">Drivers!$R91*L151/$T151*INDEX($B$163:$S$167,$A151,L$4)</f>
        <v>0</v>
      </c>
      <c r="M205" s="738">
        <f ca="1">Drivers!$R91*M151/$T151*INDEX($B$163:$S$167,$A151,M$4)</f>
        <v>0</v>
      </c>
      <c r="N205" s="738">
        <f ca="1">Drivers!$R91*N151/$T151*INDEX($B$163:$S$167,$A151,N$4)</f>
        <v>0</v>
      </c>
      <c r="O205" s="738">
        <f ca="1">Drivers!$R91*O151/$T151*INDEX($B$163:$S$167,$A151,O$4)</f>
        <v>0</v>
      </c>
      <c r="P205" s="738">
        <f ca="1">Drivers!$R91*P151/$T151*INDEX($B$163:$S$167,$A151,P$4)</f>
        <v>0</v>
      </c>
      <c r="Q205" s="738">
        <f ca="1">Drivers!$R91*Q151/$T151*INDEX($B$163:$S$167,$A151,Q$4)</f>
        <v>0</v>
      </c>
      <c r="R205" s="738">
        <f ca="1">Drivers!$R91*R151/$T151*INDEX($B$163:$S$167,$A151,R$4)</f>
        <v>0</v>
      </c>
      <c r="S205" s="738">
        <f ca="1">Drivers!$R91*S151/$T151*INDEX($B$163:$S$167,$A151,S$4)</f>
        <v>0</v>
      </c>
      <c r="T205" s="738">
        <f t="shared" si="70"/>
        <v>75.340543673109337</v>
      </c>
      <c r="V205" s="613">
        <f ca="1">VLOOKUP($B205,Drivers!$E$58:$M$93,9,FALSE)</f>
        <v>76.709195623158848</v>
      </c>
      <c r="W205" s="613" t="s">
        <v>231</v>
      </c>
      <c r="X205" s="613">
        <f t="shared" si="71"/>
        <v>1.0181662075069151</v>
      </c>
    </row>
    <row r="206" spans="1:24" hidden="1">
      <c r="A206" s="613" t="s">
        <v>978</v>
      </c>
      <c r="B206" s="613" t="s">
        <v>971</v>
      </c>
      <c r="C206" s="738">
        <f ca="1">Drivers!$R92*C152/$T152*INDEX($B$163:$S$167,$A152,C$4)</f>
        <v>0</v>
      </c>
      <c r="D206" s="738">
        <f ca="1">Drivers!$R92*D152/$T152*INDEX($B$163:$S$167,$A152,D$4)</f>
        <v>12.997453810312736</v>
      </c>
      <c r="E206" s="738">
        <f ca="1">Drivers!$R92*E152/$T152*INDEX($B$163:$S$167,$A152,E$4)</f>
        <v>0.78860164813377964</v>
      </c>
      <c r="F206" s="738">
        <f ca="1">Drivers!$R92*F152/$T152*INDEX($B$163:$S$167,$A152,F$4)</f>
        <v>0</v>
      </c>
      <c r="G206" s="738">
        <f ca="1">Drivers!$R92*G152/$T152*INDEX($B$163:$S$167,$A152,G$4)</f>
        <v>0.42673183460130593</v>
      </c>
      <c r="H206" s="738">
        <f ca="1">Drivers!$R92*H152/$T152*INDEX($B$163:$S$167,$A152,H$4)</f>
        <v>0</v>
      </c>
      <c r="I206" s="738">
        <f ca="1">Drivers!$R92*I152/$T152*INDEX($B$163:$S$167,$A152,I$4)</f>
        <v>0</v>
      </c>
      <c r="J206" s="738">
        <f ca="1">Drivers!$R92*J152/$T152*INDEX($B$163:$S$167,$A152,J$4)</f>
        <v>0</v>
      </c>
      <c r="K206" s="738">
        <f ca="1">Drivers!$R92*K152/$T152*INDEX($B$163:$S$167,$A152,K$4)</f>
        <v>8.4986661680000015</v>
      </c>
      <c r="L206" s="738">
        <f ca="1">Drivers!$R92*L152/$T152*INDEX($B$163:$S$167,$A152,L$4)</f>
        <v>2.0672025895025095</v>
      </c>
      <c r="M206" s="738">
        <f ca="1">Drivers!$R92*M152/$T152*INDEX($B$163:$S$167,$A152,M$4)</f>
        <v>4.9965398315935473E-2</v>
      </c>
      <c r="N206" s="738">
        <f ca="1">Drivers!$R92*N152/$T152*INDEX($B$163:$S$167,$A152,N$4)</f>
        <v>0</v>
      </c>
      <c r="O206" s="738">
        <f ca="1">Drivers!$R92*O152/$T152*INDEX($B$163:$S$167,$A152,O$4)</f>
        <v>0</v>
      </c>
      <c r="P206" s="738">
        <f ca="1">Drivers!$R92*P152/$T152*INDEX($B$163:$S$167,$A152,P$4)</f>
        <v>0</v>
      </c>
      <c r="Q206" s="738">
        <f ca="1">Drivers!$R92*Q152/$T152*INDEX($B$163:$S$167,$A152,Q$4)</f>
        <v>117.90619554501755</v>
      </c>
      <c r="R206" s="738">
        <f ca="1">Drivers!$R92*R152/$T152*INDEX($B$163:$S$167,$A152,R$4)</f>
        <v>0</v>
      </c>
      <c r="S206" s="738">
        <f ca="1">Drivers!$R92*S152/$T152*INDEX($B$163:$S$167,$A152,S$4)</f>
        <v>20.017576526955455</v>
      </c>
      <c r="T206" s="738">
        <f t="shared" si="70"/>
        <v>162.75239352083929</v>
      </c>
      <c r="V206" s="613">
        <f ca="1">VLOOKUP($B206,Drivers!$E$58:$M$93,9,FALSE)</f>
        <v>159.09046217132803</v>
      </c>
      <c r="W206" s="613" t="s">
        <v>232</v>
      </c>
      <c r="X206" s="613">
        <f t="shared" si="71"/>
        <v>0.9774999846681679</v>
      </c>
    </row>
    <row r="207" spans="1:24" hidden="1">
      <c r="K207" s="738">
        <f>SUM(T200,T202:T203)</f>
        <v>15.402415672700164</v>
      </c>
    </row>
    <row r="208" spans="1:24" hidden="1">
      <c r="B208" s="612" t="s">
        <v>676</v>
      </c>
    </row>
    <row r="209" spans="1:21" hidden="1">
      <c r="C209" s="613" t="s">
        <v>905</v>
      </c>
      <c r="D209" s="613" t="s">
        <v>906</v>
      </c>
      <c r="E209" s="613" t="s">
        <v>907</v>
      </c>
      <c r="F209" s="613" t="s">
        <v>908</v>
      </c>
      <c r="G209" s="613" t="s">
        <v>909</v>
      </c>
      <c r="H209" s="613" t="s">
        <v>910</v>
      </c>
      <c r="I209" s="613" t="s">
        <v>911</v>
      </c>
      <c r="J209" s="613" t="s">
        <v>912</v>
      </c>
      <c r="K209" s="613" t="s">
        <v>1150</v>
      </c>
      <c r="L209" s="613" t="s">
        <v>913</v>
      </c>
      <c r="M209" s="613" t="s">
        <v>826</v>
      </c>
      <c r="N209" s="613" t="s">
        <v>914</v>
      </c>
      <c r="O209" s="613" t="s">
        <v>915</v>
      </c>
      <c r="P209" s="613" t="s">
        <v>916</v>
      </c>
      <c r="Q209" s="613" t="s">
        <v>917</v>
      </c>
      <c r="R209" s="613" t="s">
        <v>950</v>
      </c>
      <c r="S209" s="613" t="s">
        <v>946</v>
      </c>
      <c r="T209" s="613" t="s">
        <v>888</v>
      </c>
      <c r="U209" s="613" t="s">
        <v>382</v>
      </c>
    </row>
    <row r="210" spans="1:21" hidden="1">
      <c r="B210" s="655" t="s">
        <v>50</v>
      </c>
      <c r="C210" s="751">
        <f ca="1">Drivers!$X$29</f>
        <v>0.86</v>
      </c>
      <c r="D210" s="751">
        <v>0.35</v>
      </c>
      <c r="E210" s="751">
        <v>0.35</v>
      </c>
      <c r="F210" s="751"/>
      <c r="G210" s="751"/>
      <c r="H210" s="751"/>
      <c r="I210" s="751"/>
      <c r="J210" s="751"/>
      <c r="K210" s="751"/>
      <c r="L210" s="751"/>
      <c r="M210" s="751">
        <v>0.35</v>
      </c>
      <c r="N210" s="751"/>
      <c r="O210" s="751">
        <v>0.35</v>
      </c>
      <c r="P210" s="751"/>
      <c r="Q210" s="751"/>
      <c r="R210" s="751"/>
      <c r="S210" s="751"/>
      <c r="T210" s="751"/>
      <c r="U210" s="751"/>
    </row>
    <row r="211" spans="1:21" hidden="1">
      <c r="A211" s="613" t="s">
        <v>579</v>
      </c>
      <c r="B211" s="613" t="s">
        <v>962</v>
      </c>
      <c r="C211" s="738">
        <f t="shared" ref="C211:L215" si="72">VLOOKUP($B211,$B$172:$T$206,C$4,FALSE)</f>
        <v>5.8082681893631065</v>
      </c>
      <c r="D211" s="738">
        <f t="shared" si="72"/>
        <v>0</v>
      </c>
      <c r="E211" s="738">
        <f t="shared" si="72"/>
        <v>2.1770059831516444</v>
      </c>
      <c r="F211" s="738">
        <f t="shared" si="72"/>
        <v>0</v>
      </c>
      <c r="G211" s="738">
        <f t="shared" si="72"/>
        <v>0</v>
      </c>
      <c r="H211" s="738">
        <f t="shared" si="72"/>
        <v>0</v>
      </c>
      <c r="I211" s="738">
        <f t="shared" si="72"/>
        <v>0</v>
      </c>
      <c r="J211" s="738">
        <f t="shared" si="72"/>
        <v>0</v>
      </c>
      <c r="K211" s="738">
        <f t="shared" si="72"/>
        <v>0</v>
      </c>
      <c r="L211" s="738">
        <f t="shared" si="72"/>
        <v>0</v>
      </c>
      <c r="M211" s="738">
        <f t="shared" ref="M211:T215" si="73">VLOOKUP($B211,$B$172:$T$206,M$4,FALSE)</f>
        <v>7.5956010686809836E-2</v>
      </c>
      <c r="N211" s="738">
        <f t="shared" si="73"/>
        <v>0</v>
      </c>
      <c r="O211" s="738">
        <f t="shared" si="73"/>
        <v>0</v>
      </c>
      <c r="P211" s="738">
        <f t="shared" si="73"/>
        <v>0</v>
      </c>
      <c r="Q211" s="738">
        <f t="shared" si="73"/>
        <v>0</v>
      </c>
      <c r="R211" s="738">
        <f t="shared" si="73"/>
        <v>0</v>
      </c>
      <c r="S211" s="738">
        <f t="shared" si="73"/>
        <v>0</v>
      </c>
      <c r="T211" s="738">
        <f t="shared" si="73"/>
        <v>8.0612301832015607</v>
      </c>
      <c r="U211" s="738">
        <f>SUMPRODUCT($C$210:$S$210,$C211:$S211)</f>
        <v>5.7836473406957305</v>
      </c>
    </row>
    <row r="212" spans="1:21" hidden="1">
      <c r="A212" s="613" t="s">
        <v>653</v>
      </c>
      <c r="B212" s="613" t="s">
        <v>966</v>
      </c>
      <c r="C212" s="738">
        <f t="shared" si="72"/>
        <v>1.9632062856989332</v>
      </c>
      <c r="D212" s="738">
        <f t="shared" si="72"/>
        <v>0</v>
      </c>
      <c r="E212" s="738">
        <f t="shared" si="72"/>
        <v>0.71284496772325934</v>
      </c>
      <c r="F212" s="738">
        <f t="shared" si="72"/>
        <v>0</v>
      </c>
      <c r="G212" s="738">
        <f t="shared" si="72"/>
        <v>0</v>
      </c>
      <c r="H212" s="738">
        <f t="shared" si="72"/>
        <v>0</v>
      </c>
      <c r="I212" s="738">
        <f t="shared" si="72"/>
        <v>0</v>
      </c>
      <c r="J212" s="738">
        <f t="shared" si="72"/>
        <v>0</v>
      </c>
      <c r="K212" s="738">
        <f t="shared" si="72"/>
        <v>0</v>
      </c>
      <c r="L212" s="738">
        <f t="shared" si="72"/>
        <v>0</v>
      </c>
      <c r="M212" s="738">
        <f t="shared" si="73"/>
        <v>0.33674284677707206</v>
      </c>
      <c r="N212" s="738">
        <f t="shared" si="73"/>
        <v>0</v>
      </c>
      <c r="O212" s="738">
        <f t="shared" si="73"/>
        <v>0</v>
      </c>
      <c r="P212" s="738">
        <f t="shared" si="73"/>
        <v>0</v>
      </c>
      <c r="Q212" s="738">
        <f t="shared" si="73"/>
        <v>0</v>
      </c>
      <c r="R212" s="738">
        <f t="shared" si="73"/>
        <v>0</v>
      </c>
      <c r="S212" s="738">
        <f t="shared" si="73"/>
        <v>0</v>
      </c>
      <c r="T212" s="738">
        <f t="shared" si="73"/>
        <v>3.0127941001992649</v>
      </c>
      <c r="U212" s="738">
        <f>SUMPRODUCT($C$210:$S$210,$C212:$S212)</f>
        <v>2.0557131407761986</v>
      </c>
    </row>
    <row r="213" spans="1:21" hidden="1">
      <c r="A213" s="613" t="s">
        <v>862</v>
      </c>
      <c r="B213" s="613" t="s">
        <v>968</v>
      </c>
      <c r="C213" s="738">
        <f t="shared" si="72"/>
        <v>1.9673838512396067</v>
      </c>
      <c r="D213" s="738">
        <f t="shared" si="72"/>
        <v>0</v>
      </c>
      <c r="E213" s="738">
        <f t="shared" si="72"/>
        <v>0.1671944150237068</v>
      </c>
      <c r="F213" s="738">
        <f t="shared" si="72"/>
        <v>0</v>
      </c>
      <c r="G213" s="738">
        <f t="shared" si="72"/>
        <v>0</v>
      </c>
      <c r="H213" s="738">
        <f t="shared" si="72"/>
        <v>0</v>
      </c>
      <c r="I213" s="738">
        <f t="shared" si="72"/>
        <v>0</v>
      </c>
      <c r="J213" s="738">
        <f t="shared" si="72"/>
        <v>0</v>
      </c>
      <c r="K213" s="738">
        <f t="shared" si="72"/>
        <v>0</v>
      </c>
      <c r="L213" s="738">
        <f t="shared" si="72"/>
        <v>0</v>
      </c>
      <c r="M213" s="738">
        <f t="shared" si="73"/>
        <v>0</v>
      </c>
      <c r="N213" s="738">
        <f t="shared" si="73"/>
        <v>0</v>
      </c>
      <c r="O213" s="738">
        <f t="shared" si="73"/>
        <v>0</v>
      </c>
      <c r="P213" s="738">
        <f t="shared" si="73"/>
        <v>0</v>
      </c>
      <c r="Q213" s="738">
        <f t="shared" si="73"/>
        <v>0</v>
      </c>
      <c r="R213" s="738">
        <f t="shared" si="73"/>
        <v>0</v>
      </c>
      <c r="S213" s="738">
        <f t="shared" si="73"/>
        <v>0</v>
      </c>
      <c r="T213" s="738">
        <f t="shared" si="73"/>
        <v>2.1345782662633135</v>
      </c>
      <c r="U213" s="738">
        <f>SUMPRODUCT($C$210:$S$210,$C213:$S213)</f>
        <v>1.7504681573243592</v>
      </c>
    </row>
    <row r="214" spans="1:21" hidden="1">
      <c r="A214" s="613" t="s">
        <v>572</v>
      </c>
      <c r="B214" s="613" t="s">
        <v>973</v>
      </c>
      <c r="C214" s="738">
        <f t="shared" si="72"/>
        <v>11.058855427424303</v>
      </c>
      <c r="D214" s="738">
        <f t="shared" si="72"/>
        <v>0</v>
      </c>
      <c r="E214" s="738">
        <f t="shared" si="72"/>
        <v>0</v>
      </c>
      <c r="F214" s="738">
        <f t="shared" si="72"/>
        <v>0</v>
      </c>
      <c r="G214" s="738">
        <f t="shared" si="72"/>
        <v>0</v>
      </c>
      <c r="H214" s="738">
        <f t="shared" si="72"/>
        <v>0</v>
      </c>
      <c r="I214" s="738">
        <f t="shared" si="72"/>
        <v>0</v>
      </c>
      <c r="J214" s="738">
        <f t="shared" si="72"/>
        <v>0</v>
      </c>
      <c r="K214" s="738">
        <f t="shared" si="72"/>
        <v>0</v>
      </c>
      <c r="L214" s="738">
        <f t="shared" si="72"/>
        <v>0</v>
      </c>
      <c r="M214" s="738">
        <f t="shared" si="73"/>
        <v>1.4470204142834434E-2</v>
      </c>
      <c r="N214" s="738">
        <f t="shared" si="73"/>
        <v>0</v>
      </c>
      <c r="O214" s="738">
        <f t="shared" si="73"/>
        <v>0</v>
      </c>
      <c r="P214" s="738">
        <f t="shared" si="73"/>
        <v>0</v>
      </c>
      <c r="Q214" s="738">
        <f t="shared" si="73"/>
        <v>0</v>
      </c>
      <c r="R214" s="738">
        <f t="shared" si="73"/>
        <v>0</v>
      </c>
      <c r="S214" s="738">
        <f t="shared" si="73"/>
        <v>0</v>
      </c>
      <c r="T214" s="738">
        <f t="shared" si="73"/>
        <v>11.073325631567139</v>
      </c>
      <c r="U214" s="738">
        <f>SUMPRODUCT($C$210:$S$210,$C214:$S214)</f>
        <v>9.5156802390348929</v>
      </c>
    </row>
    <row r="215" spans="1:21" hidden="1">
      <c r="A215" s="613" t="s">
        <v>981</v>
      </c>
      <c r="B215" s="613" t="s">
        <v>970</v>
      </c>
      <c r="C215" s="738">
        <f t="shared" si="72"/>
        <v>75.340543673109337</v>
      </c>
      <c r="D215" s="738">
        <f t="shared" si="72"/>
        <v>0</v>
      </c>
      <c r="E215" s="738">
        <f t="shared" si="72"/>
        <v>0</v>
      </c>
      <c r="F215" s="738">
        <f t="shared" si="72"/>
        <v>0</v>
      </c>
      <c r="G215" s="738">
        <f t="shared" si="72"/>
        <v>0</v>
      </c>
      <c r="H215" s="738">
        <f t="shared" si="72"/>
        <v>0</v>
      </c>
      <c r="I215" s="738">
        <f t="shared" si="72"/>
        <v>0</v>
      </c>
      <c r="J215" s="738">
        <f t="shared" si="72"/>
        <v>0</v>
      </c>
      <c r="K215" s="738">
        <f t="shared" si="72"/>
        <v>0</v>
      </c>
      <c r="L215" s="738">
        <f t="shared" si="72"/>
        <v>0</v>
      </c>
      <c r="M215" s="738">
        <f t="shared" si="73"/>
        <v>0</v>
      </c>
      <c r="N215" s="738">
        <f t="shared" si="73"/>
        <v>0</v>
      </c>
      <c r="O215" s="738">
        <f t="shared" si="73"/>
        <v>0</v>
      </c>
      <c r="P215" s="738">
        <f t="shared" si="73"/>
        <v>0</v>
      </c>
      <c r="Q215" s="738">
        <f t="shared" si="73"/>
        <v>0</v>
      </c>
      <c r="R215" s="738">
        <f t="shared" si="73"/>
        <v>0</v>
      </c>
      <c r="S215" s="738">
        <f t="shared" si="73"/>
        <v>0</v>
      </c>
      <c r="T215" s="738">
        <f t="shared" si="73"/>
        <v>75.340543673109337</v>
      </c>
      <c r="U215" s="738">
        <f>SUMPRODUCT($C$210:$S$210,$C215:$S215)</f>
        <v>64.792867558874036</v>
      </c>
    </row>
    <row r="216" spans="1:21" hidden="1">
      <c r="B216" s="655" t="s">
        <v>674</v>
      </c>
      <c r="C216" s="753">
        <f t="shared" ref="C216:U216" si="74">SUM(C211:C215)</f>
        <v>96.138257426835281</v>
      </c>
      <c r="D216" s="753">
        <f t="shared" si="74"/>
        <v>0</v>
      </c>
      <c r="E216" s="753">
        <f t="shared" si="74"/>
        <v>3.0570453658986105</v>
      </c>
      <c r="F216" s="753">
        <f t="shared" si="74"/>
        <v>0</v>
      </c>
      <c r="G216" s="753">
        <f t="shared" si="74"/>
        <v>0</v>
      </c>
      <c r="H216" s="753">
        <f t="shared" si="74"/>
        <v>0</v>
      </c>
      <c r="I216" s="753">
        <f t="shared" si="74"/>
        <v>0</v>
      </c>
      <c r="J216" s="753">
        <f t="shared" si="74"/>
        <v>0</v>
      </c>
      <c r="K216" s="753">
        <f t="shared" si="74"/>
        <v>0</v>
      </c>
      <c r="L216" s="753">
        <f t="shared" si="74"/>
        <v>0</v>
      </c>
      <c r="M216" s="753">
        <f t="shared" si="74"/>
        <v>0.42716906160671636</v>
      </c>
      <c r="N216" s="753">
        <f t="shared" si="74"/>
        <v>0</v>
      </c>
      <c r="O216" s="753">
        <f t="shared" si="74"/>
        <v>0</v>
      </c>
      <c r="P216" s="753">
        <f t="shared" si="74"/>
        <v>0</v>
      </c>
      <c r="Q216" s="753">
        <f t="shared" si="74"/>
        <v>0</v>
      </c>
      <c r="R216" s="753">
        <f t="shared" si="74"/>
        <v>0</v>
      </c>
      <c r="S216" s="753">
        <f t="shared" si="74"/>
        <v>0</v>
      </c>
      <c r="T216" s="753">
        <f t="shared" si="74"/>
        <v>99.622471854340617</v>
      </c>
      <c r="U216" s="753">
        <f t="shared" si="74"/>
        <v>83.89837643670522</v>
      </c>
    </row>
    <row r="217" spans="1:21" hidden="1"/>
    <row r="218" spans="1:21" hidden="1">
      <c r="C218" s="613" t="s">
        <v>905</v>
      </c>
      <c r="D218" s="613" t="s">
        <v>906</v>
      </c>
      <c r="E218" s="613" t="s">
        <v>907</v>
      </c>
      <c r="F218" s="613" t="s">
        <v>908</v>
      </c>
      <c r="G218" s="613" t="s">
        <v>909</v>
      </c>
      <c r="H218" s="613" t="s">
        <v>910</v>
      </c>
      <c r="I218" s="613" t="s">
        <v>911</v>
      </c>
      <c r="J218" s="613" t="s">
        <v>912</v>
      </c>
      <c r="K218" s="613" t="s">
        <v>1150</v>
      </c>
      <c r="L218" s="613" t="s">
        <v>913</v>
      </c>
      <c r="M218" s="613" t="s">
        <v>826</v>
      </c>
      <c r="N218" s="613" t="s">
        <v>914</v>
      </c>
      <c r="O218" s="613" t="s">
        <v>915</v>
      </c>
      <c r="P218" s="613" t="s">
        <v>916</v>
      </c>
      <c r="Q218" s="613" t="s">
        <v>917</v>
      </c>
      <c r="R218" s="613" t="s">
        <v>950</v>
      </c>
      <c r="S218" s="613" t="s">
        <v>946</v>
      </c>
      <c r="T218" s="613" t="s">
        <v>888</v>
      </c>
      <c r="U218" s="613" t="s">
        <v>382</v>
      </c>
    </row>
    <row r="219" spans="1:21" hidden="1">
      <c r="B219" s="655" t="s">
        <v>50</v>
      </c>
      <c r="C219" s="751">
        <v>0.95</v>
      </c>
      <c r="D219" s="751">
        <f t="array" aca="1" ref="D219:Q219" ca="1">Drivers!$X$27</f>
        <v>0.81499999999999995</v>
      </c>
      <c r="E219" s="751">
        <f ca="1"/>
        <v>0.81499999999999995</v>
      </c>
      <c r="F219" s="751">
        <f ca="1"/>
        <v>0.81499999999999995</v>
      </c>
      <c r="G219" s="751">
        <f ca="1"/>
        <v>0.81499999999999995</v>
      </c>
      <c r="H219" s="751">
        <f ca="1"/>
        <v>0.81499999999999995</v>
      </c>
      <c r="I219" s="751">
        <f ca="1"/>
        <v>0.81499999999999995</v>
      </c>
      <c r="J219" s="751">
        <f ca="1"/>
        <v>0.81499999999999995</v>
      </c>
      <c r="K219" s="751">
        <f ca="1"/>
        <v>0.81499999999999995</v>
      </c>
      <c r="L219" s="751">
        <f ca="1"/>
        <v>0.81499999999999995</v>
      </c>
      <c r="M219" s="751">
        <f ca="1"/>
        <v>0.81499999999999995</v>
      </c>
      <c r="N219" s="751">
        <f ca="1"/>
        <v>0.81499999999999995</v>
      </c>
      <c r="O219" s="751">
        <f ca="1"/>
        <v>0.81499999999999995</v>
      </c>
      <c r="P219" s="751">
        <f ca="1"/>
        <v>0.81499999999999995</v>
      </c>
      <c r="Q219" s="751">
        <f ca="1"/>
        <v>0.81499999999999995</v>
      </c>
      <c r="R219" s="754">
        <f>SQRT(Q219)</f>
        <v>0.90277350426338943</v>
      </c>
      <c r="S219" s="751">
        <f>U$47</f>
        <v>0.81499999999999995</v>
      </c>
      <c r="T219" s="751"/>
      <c r="U219" s="751"/>
    </row>
    <row r="220" spans="1:21" hidden="1">
      <c r="A220" s="613" t="s">
        <v>577</v>
      </c>
      <c r="B220" s="613" t="s">
        <v>963</v>
      </c>
      <c r="C220" s="738">
        <f t="shared" ref="C220:L224" si="75">VLOOKUP($B220,$B$172:$T$206,C$4,FALSE)</f>
        <v>0</v>
      </c>
      <c r="D220" s="738">
        <f t="shared" si="75"/>
        <v>0.21724460261128672</v>
      </c>
      <c r="E220" s="738">
        <f t="shared" si="75"/>
        <v>2.4272787772600335</v>
      </c>
      <c r="F220" s="738">
        <f t="shared" si="75"/>
        <v>0</v>
      </c>
      <c r="G220" s="738">
        <f t="shared" si="75"/>
        <v>0</v>
      </c>
      <c r="H220" s="738">
        <f t="shared" si="75"/>
        <v>0.16245210355448519</v>
      </c>
      <c r="I220" s="738">
        <f t="shared" si="75"/>
        <v>1.2213938473966903</v>
      </c>
      <c r="J220" s="738">
        <f t="shared" si="75"/>
        <v>0.30635121174073821</v>
      </c>
      <c r="K220" s="738">
        <f t="shared" si="75"/>
        <v>0</v>
      </c>
      <c r="L220" s="738">
        <f t="shared" si="75"/>
        <v>0.71804123128312236</v>
      </c>
      <c r="M220" s="738">
        <f t="shared" ref="M220:T224" si="76">VLOOKUP($B220,$B$172:$T$206,M$4,FALSE)</f>
        <v>3.3875223894152671E-2</v>
      </c>
      <c r="N220" s="738">
        <f t="shared" si="76"/>
        <v>0</v>
      </c>
      <c r="O220" s="738">
        <f t="shared" si="76"/>
        <v>0</v>
      </c>
      <c r="P220" s="738">
        <f t="shared" si="76"/>
        <v>0</v>
      </c>
      <c r="Q220" s="738">
        <f t="shared" si="76"/>
        <v>0</v>
      </c>
      <c r="R220" s="738">
        <f t="shared" si="76"/>
        <v>0</v>
      </c>
      <c r="S220" s="738">
        <f t="shared" si="76"/>
        <v>1.8294829327928601</v>
      </c>
      <c r="T220" s="738">
        <f t="shared" si="76"/>
        <v>6.9161199305333696</v>
      </c>
      <c r="U220" s="738">
        <f>SUMPRODUCT($C$219:$S$219,$C220:$S220)</f>
        <v>5.6366377433846955</v>
      </c>
    </row>
    <row r="221" spans="1:21" hidden="1">
      <c r="A221" s="613" t="s">
        <v>92</v>
      </c>
      <c r="B221" s="613" t="s">
        <v>967</v>
      </c>
      <c r="C221" s="738">
        <f t="shared" si="75"/>
        <v>0</v>
      </c>
      <c r="D221" s="738">
        <f t="shared" si="75"/>
        <v>3.5833780233411822E-3</v>
      </c>
      <c r="E221" s="738">
        <f t="shared" si="75"/>
        <v>7.0136600276740624E-2</v>
      </c>
      <c r="F221" s="738">
        <f t="shared" si="75"/>
        <v>0</v>
      </c>
      <c r="G221" s="738">
        <f t="shared" si="75"/>
        <v>1.4014152983987969E-2</v>
      </c>
      <c r="H221" s="738">
        <f t="shared" si="75"/>
        <v>0.41018079599999996</v>
      </c>
      <c r="I221" s="738">
        <f t="shared" si="75"/>
        <v>0</v>
      </c>
      <c r="J221" s="738">
        <f t="shared" si="75"/>
        <v>0</v>
      </c>
      <c r="K221" s="738">
        <f t="shared" si="75"/>
        <v>9.173924E-3</v>
      </c>
      <c r="L221" s="738">
        <f t="shared" si="75"/>
        <v>4.8560348924646208E-3</v>
      </c>
      <c r="M221" s="738">
        <f t="shared" si="76"/>
        <v>6.6264053222927971E-2</v>
      </c>
      <c r="N221" s="738">
        <f t="shared" si="76"/>
        <v>0</v>
      </c>
      <c r="O221" s="738">
        <f t="shared" si="76"/>
        <v>0</v>
      </c>
      <c r="P221" s="738">
        <f t="shared" si="76"/>
        <v>6.1841772828536811E-4</v>
      </c>
      <c r="Q221" s="738">
        <f t="shared" si="76"/>
        <v>1.7644707146007065E-3</v>
      </c>
      <c r="R221" s="738">
        <f t="shared" si="76"/>
        <v>0</v>
      </c>
      <c r="S221" s="738">
        <f t="shared" si="76"/>
        <v>1.2838857565950617</v>
      </c>
      <c r="T221" s="738">
        <f t="shared" si="76"/>
        <v>1.86447758443741</v>
      </c>
      <c r="U221" s="738">
        <f>SUMPRODUCT($C$219:$S$219,$C221:$S221)</f>
        <v>1.5195492313164891</v>
      </c>
    </row>
    <row r="222" spans="1:21" hidden="1">
      <c r="A222" s="613" t="s">
        <v>859</v>
      </c>
      <c r="B222" s="613" t="s">
        <v>969</v>
      </c>
      <c r="C222" s="738">
        <f t="shared" si="75"/>
        <v>0</v>
      </c>
      <c r="D222" s="738">
        <f t="shared" si="75"/>
        <v>2.2351822066708726E-2</v>
      </c>
      <c r="E222" s="738">
        <f t="shared" si="75"/>
        <v>0.25458190205092651</v>
      </c>
      <c r="F222" s="738">
        <f t="shared" si="75"/>
        <v>0</v>
      </c>
      <c r="G222" s="738">
        <f t="shared" si="75"/>
        <v>0</v>
      </c>
      <c r="H222" s="738">
        <f t="shared" si="75"/>
        <v>0</v>
      </c>
      <c r="I222" s="738">
        <f t="shared" si="75"/>
        <v>0</v>
      </c>
      <c r="J222" s="738">
        <f t="shared" si="75"/>
        <v>0</v>
      </c>
      <c r="K222" s="738">
        <f t="shared" si="75"/>
        <v>0</v>
      </c>
      <c r="L222" s="738">
        <f t="shared" si="75"/>
        <v>0.10093045049814037</v>
      </c>
      <c r="M222" s="738">
        <f t="shared" si="76"/>
        <v>0.33780552000000003</v>
      </c>
      <c r="N222" s="738">
        <f t="shared" si="76"/>
        <v>0</v>
      </c>
      <c r="O222" s="738">
        <f t="shared" si="76"/>
        <v>0</v>
      </c>
      <c r="P222" s="738">
        <f t="shared" si="76"/>
        <v>0</v>
      </c>
      <c r="Q222" s="738">
        <f t="shared" si="76"/>
        <v>0.39605365857623392</v>
      </c>
      <c r="R222" s="738">
        <f t="shared" si="76"/>
        <v>0</v>
      </c>
      <c r="S222" s="738">
        <f t="shared" si="76"/>
        <v>3.2843775546148497</v>
      </c>
      <c r="T222" s="738">
        <f t="shared" si="76"/>
        <v>4.3961009078068596</v>
      </c>
      <c r="U222" s="738">
        <f>SUMPRODUCT($C$219:$S$219,$C222:$S222)</f>
        <v>3.5828222398625904</v>
      </c>
    </row>
    <row r="223" spans="1:21" hidden="1">
      <c r="A223" s="613" t="s">
        <v>570</v>
      </c>
      <c r="B223" s="613" t="s">
        <v>974</v>
      </c>
      <c r="C223" s="738">
        <f t="shared" si="75"/>
        <v>0</v>
      </c>
      <c r="D223" s="738">
        <f t="shared" si="75"/>
        <v>0.24715084856140371</v>
      </c>
      <c r="E223" s="738">
        <f t="shared" si="75"/>
        <v>0</v>
      </c>
      <c r="F223" s="738">
        <f t="shared" si="75"/>
        <v>0</v>
      </c>
      <c r="G223" s="738">
        <f t="shared" si="75"/>
        <v>0</v>
      </c>
      <c r="H223" s="738">
        <f t="shared" si="75"/>
        <v>0</v>
      </c>
      <c r="I223" s="738">
        <f t="shared" si="75"/>
        <v>0</v>
      </c>
      <c r="J223" s="738">
        <f t="shared" si="75"/>
        <v>0</v>
      </c>
      <c r="K223" s="738">
        <f t="shared" si="75"/>
        <v>0</v>
      </c>
      <c r="L223" s="738">
        <f t="shared" si="75"/>
        <v>0.88153022836101447</v>
      </c>
      <c r="M223" s="738">
        <f t="shared" si="76"/>
        <v>6.0060967341107371E-2</v>
      </c>
      <c r="N223" s="738">
        <f t="shared" si="76"/>
        <v>2.2563938169658115</v>
      </c>
      <c r="O223" s="738">
        <f t="shared" si="76"/>
        <v>0</v>
      </c>
      <c r="P223" s="738">
        <f t="shared" si="76"/>
        <v>0</v>
      </c>
      <c r="Q223" s="738">
        <f t="shared" si="76"/>
        <v>0.32593433599999999</v>
      </c>
      <c r="R223" s="738">
        <f t="shared" si="76"/>
        <v>0</v>
      </c>
      <c r="S223" s="738">
        <f t="shared" si="76"/>
        <v>16.805391184845284</v>
      </c>
      <c r="T223" s="738">
        <f t="shared" si="76"/>
        <v>20.576461382074623</v>
      </c>
      <c r="U223" s="738">
        <f>SUMPRODUCT($C$219:$S$219,$C223:$S223)</f>
        <v>16.769816026390814</v>
      </c>
    </row>
    <row r="224" spans="1:21" hidden="1">
      <c r="A224" s="613" t="s">
        <v>979</v>
      </c>
      <c r="B224" s="613" t="s">
        <v>971</v>
      </c>
      <c r="C224" s="738">
        <f t="shared" si="75"/>
        <v>0</v>
      </c>
      <c r="D224" s="738">
        <f t="shared" si="75"/>
        <v>12.997453810312736</v>
      </c>
      <c r="E224" s="738">
        <f t="shared" si="75"/>
        <v>0.78860164813377964</v>
      </c>
      <c r="F224" s="738">
        <f t="shared" si="75"/>
        <v>0</v>
      </c>
      <c r="G224" s="738">
        <f t="shared" si="75"/>
        <v>0.42673183460130593</v>
      </c>
      <c r="H224" s="738">
        <f t="shared" si="75"/>
        <v>0</v>
      </c>
      <c r="I224" s="738">
        <f t="shared" si="75"/>
        <v>0</v>
      </c>
      <c r="J224" s="738">
        <f t="shared" si="75"/>
        <v>0</v>
      </c>
      <c r="K224" s="738">
        <f t="shared" si="75"/>
        <v>8.4986661680000015</v>
      </c>
      <c r="L224" s="738">
        <f t="shared" si="75"/>
        <v>2.0672025895025095</v>
      </c>
      <c r="M224" s="738">
        <f t="shared" si="76"/>
        <v>4.9965398315935473E-2</v>
      </c>
      <c r="N224" s="738">
        <f t="shared" si="76"/>
        <v>0</v>
      </c>
      <c r="O224" s="738">
        <f t="shared" si="76"/>
        <v>0</v>
      </c>
      <c r="P224" s="738">
        <f t="shared" si="76"/>
        <v>0</v>
      </c>
      <c r="Q224" s="738">
        <f t="shared" si="76"/>
        <v>117.90619554501755</v>
      </c>
      <c r="R224" s="738">
        <f t="shared" si="76"/>
        <v>0</v>
      </c>
      <c r="S224" s="738">
        <f t="shared" si="76"/>
        <v>20.017576526955455</v>
      </c>
      <c r="T224" s="738">
        <f t="shared" si="76"/>
        <v>162.75239352083929</v>
      </c>
      <c r="U224" s="738">
        <f>SUMPRODUCT($C$219:$S$219,$C224:$S224)</f>
        <v>132.64320071948401</v>
      </c>
    </row>
    <row r="225" spans="1:38" hidden="1">
      <c r="B225" s="655" t="s">
        <v>675</v>
      </c>
      <c r="C225" s="753">
        <f t="shared" ref="C225:R225" si="77">SUM(C220:C224)</f>
        <v>0</v>
      </c>
      <c r="D225" s="753">
        <f t="shared" si="77"/>
        <v>13.487784461575476</v>
      </c>
      <c r="E225" s="753">
        <f t="shared" si="77"/>
        <v>3.5405989277214802</v>
      </c>
      <c r="F225" s="753">
        <f t="shared" si="77"/>
        <v>0</v>
      </c>
      <c r="G225" s="753">
        <f t="shared" si="77"/>
        <v>0.44074598758529387</v>
      </c>
      <c r="H225" s="753">
        <f t="shared" si="77"/>
        <v>0.57263289955448515</v>
      </c>
      <c r="I225" s="753">
        <f t="shared" si="77"/>
        <v>1.2213938473966903</v>
      </c>
      <c r="J225" s="753">
        <f t="shared" si="77"/>
        <v>0.30635121174073821</v>
      </c>
      <c r="K225" s="753">
        <f t="shared" si="77"/>
        <v>8.5078400920000021</v>
      </c>
      <c r="L225" s="753">
        <f t="shared" si="77"/>
        <v>3.7725605345372513</v>
      </c>
      <c r="M225" s="753">
        <f t="shared" si="77"/>
        <v>0.5479711627741235</v>
      </c>
      <c r="N225" s="753">
        <f t="shared" si="77"/>
        <v>2.2563938169658115</v>
      </c>
      <c r="O225" s="753">
        <f t="shared" si="77"/>
        <v>0</v>
      </c>
      <c r="P225" s="753">
        <f t="shared" si="77"/>
        <v>6.1841772828536811E-4</v>
      </c>
      <c r="Q225" s="753">
        <f t="shared" si="77"/>
        <v>118.62994801030838</v>
      </c>
      <c r="R225" s="753">
        <f t="shared" si="77"/>
        <v>0</v>
      </c>
      <c r="S225" s="753">
        <f>SUM(S220:S224)*S$219</f>
        <v>35.224881873979861</v>
      </c>
      <c r="T225" s="753">
        <f>SUM(T220:T224)</f>
        <v>196.50555332569155</v>
      </c>
      <c r="U225" s="753">
        <f>SUM(U220:U224)</f>
        <v>160.15202596043861</v>
      </c>
    </row>
    <row r="226" spans="1:38" hidden="1"/>
    <row r="227" spans="1:38" hidden="1"/>
    <row r="228" spans="1:38" ht="18" hidden="1">
      <c r="B228" s="728" t="s">
        <v>331</v>
      </c>
      <c r="C228" s="729"/>
      <c r="D228" s="708"/>
      <c r="E228" s="729"/>
      <c r="F228" s="708"/>
      <c r="G228" s="708"/>
    </row>
    <row r="229" spans="1:38" hidden="1"/>
    <row r="230" spans="1:38" hidden="1">
      <c r="C230" s="613" t="s">
        <v>557</v>
      </c>
      <c r="D230" s="613" t="s">
        <v>951</v>
      </c>
      <c r="E230" s="613" t="s">
        <v>1084</v>
      </c>
      <c r="F230" s="613" t="s">
        <v>756</v>
      </c>
      <c r="G230" s="613" t="s">
        <v>952</v>
      </c>
      <c r="H230" s="613" t="s">
        <v>953</v>
      </c>
      <c r="I230" s="613" t="s">
        <v>954</v>
      </c>
      <c r="J230" s="613" t="s">
        <v>955</v>
      </c>
      <c r="K230" s="613" t="s">
        <v>956</v>
      </c>
      <c r="L230" s="613" t="s">
        <v>830</v>
      </c>
      <c r="M230" s="613" t="s">
        <v>831</v>
      </c>
      <c r="N230" s="613" t="s">
        <v>832</v>
      </c>
      <c r="O230" s="613" t="s">
        <v>833</v>
      </c>
      <c r="P230" s="613" t="s">
        <v>834</v>
      </c>
      <c r="Q230" s="613" t="s">
        <v>835</v>
      </c>
      <c r="R230" s="613" t="s">
        <v>836</v>
      </c>
      <c r="S230" s="613" t="s">
        <v>837</v>
      </c>
      <c r="T230" s="613" t="s">
        <v>838</v>
      </c>
      <c r="U230" s="613" t="s">
        <v>839</v>
      </c>
      <c r="V230" s="613" t="s">
        <v>843</v>
      </c>
      <c r="W230" s="613" t="s">
        <v>841</v>
      </c>
      <c r="X230" s="613" t="s">
        <v>842</v>
      </c>
      <c r="Y230" s="613" t="s">
        <v>606</v>
      </c>
      <c r="Z230" s="613" t="s">
        <v>846</v>
      </c>
      <c r="AA230" s="613" t="s">
        <v>1289</v>
      </c>
      <c r="AB230" s="613" t="s">
        <v>847</v>
      </c>
      <c r="AC230" s="613" t="s">
        <v>608</v>
      </c>
      <c r="AD230" s="613" t="s">
        <v>609</v>
      </c>
      <c r="AE230" s="613" t="s">
        <v>844</v>
      </c>
      <c r="AF230" s="613" t="s">
        <v>845</v>
      </c>
      <c r="AG230" s="613" t="s">
        <v>757</v>
      </c>
      <c r="AH230" s="613" t="s">
        <v>310</v>
      </c>
      <c r="AI230" s="613" t="s">
        <v>311</v>
      </c>
      <c r="AJ230" s="613" t="s">
        <v>312</v>
      </c>
      <c r="AK230" s="613" t="s">
        <v>313</v>
      </c>
      <c r="AL230" s="613" t="s">
        <v>888</v>
      </c>
    </row>
    <row r="231" spans="1:38" hidden="1">
      <c r="B231" s="613" t="s">
        <v>291</v>
      </c>
      <c r="C231" s="613">
        <v>2</v>
      </c>
      <c r="D231" s="613">
        <f t="shared" ref="D231:AL231" si="78">C231+1</f>
        <v>3</v>
      </c>
      <c r="E231" s="613">
        <f t="shared" si="78"/>
        <v>4</v>
      </c>
      <c r="F231" s="613">
        <f t="shared" si="78"/>
        <v>5</v>
      </c>
      <c r="G231" s="613">
        <f t="shared" si="78"/>
        <v>6</v>
      </c>
      <c r="H231" s="613">
        <f t="shared" si="78"/>
        <v>7</v>
      </c>
      <c r="I231" s="613">
        <f t="shared" si="78"/>
        <v>8</v>
      </c>
      <c r="J231" s="613">
        <f t="shared" si="78"/>
        <v>9</v>
      </c>
      <c r="K231" s="613">
        <f t="shared" si="78"/>
        <v>10</v>
      </c>
      <c r="L231" s="613">
        <f t="shared" si="78"/>
        <v>11</v>
      </c>
      <c r="M231" s="613">
        <f t="shared" si="78"/>
        <v>12</v>
      </c>
      <c r="N231" s="613">
        <f t="shared" si="78"/>
        <v>13</v>
      </c>
      <c r="O231" s="613">
        <f t="shared" si="78"/>
        <v>14</v>
      </c>
      <c r="P231" s="613">
        <f t="shared" si="78"/>
        <v>15</v>
      </c>
      <c r="Q231" s="613">
        <f t="shared" si="78"/>
        <v>16</v>
      </c>
      <c r="R231" s="613">
        <f t="shared" si="78"/>
        <v>17</v>
      </c>
      <c r="S231" s="613">
        <f t="shared" si="78"/>
        <v>18</v>
      </c>
      <c r="T231" s="613">
        <f t="shared" si="78"/>
        <v>19</v>
      </c>
      <c r="U231" s="613">
        <f t="shared" si="78"/>
        <v>20</v>
      </c>
      <c r="V231" s="613">
        <f t="shared" si="78"/>
        <v>21</v>
      </c>
      <c r="W231" s="613">
        <f t="shared" si="78"/>
        <v>22</v>
      </c>
      <c r="X231" s="613">
        <f t="shared" si="78"/>
        <v>23</v>
      </c>
      <c r="Y231" s="613">
        <f t="shared" si="78"/>
        <v>24</v>
      </c>
      <c r="Z231" s="613">
        <f t="shared" si="78"/>
        <v>25</v>
      </c>
      <c r="AA231" s="613">
        <f t="shared" si="78"/>
        <v>26</v>
      </c>
      <c r="AB231" s="613">
        <f t="shared" si="78"/>
        <v>27</v>
      </c>
      <c r="AC231" s="613">
        <f t="shared" si="78"/>
        <v>28</v>
      </c>
      <c r="AD231" s="613">
        <f t="shared" si="78"/>
        <v>29</v>
      </c>
      <c r="AE231" s="613">
        <f t="shared" si="78"/>
        <v>30</v>
      </c>
      <c r="AF231" s="613">
        <f t="shared" si="78"/>
        <v>31</v>
      </c>
      <c r="AG231" s="613">
        <f t="shared" si="78"/>
        <v>32</v>
      </c>
      <c r="AH231" s="613">
        <f t="shared" si="78"/>
        <v>33</v>
      </c>
      <c r="AI231" s="613">
        <f t="shared" si="78"/>
        <v>34</v>
      </c>
      <c r="AJ231" s="613">
        <f t="shared" si="78"/>
        <v>35</v>
      </c>
      <c r="AK231" s="613">
        <f t="shared" si="78"/>
        <v>36</v>
      </c>
      <c r="AL231" s="613">
        <f t="shared" si="78"/>
        <v>37</v>
      </c>
    </row>
    <row r="232" spans="1:38" hidden="1">
      <c r="B232" s="613" t="s">
        <v>375</v>
      </c>
      <c r="C232" s="751">
        <f ca="1">IF(INDEX(IEAData!$A$21:$AK$21,1,C$231) &gt; 10^-5, INDEX(IEAData!$A$21:$AK$21,1,C$231),0)</f>
        <v>0</v>
      </c>
      <c r="D232" s="751">
        <f ca="1">IF(INDEX(IEAData!$A$21:$AK$21,1,D$231) &gt; 10^-5, INDEX(IEAData!$A$21:$AK$21,1,D$231),0)</f>
        <v>1.3792993920000003</v>
      </c>
      <c r="E232" s="751">
        <f ca="1">IF(INDEX(IEAData!$A$21:$AK$21,1,E$231) &gt; 10^-5, INDEX(IEAData!$A$21:$AK$21,1,E$231),0)</f>
        <v>5.5200027240000002</v>
      </c>
      <c r="F232" s="751">
        <f ca="1">IF(INDEX(IEAData!$A$21:$AK$21,1,F$231) &gt; 10^-5, INDEX(IEAData!$A$21:$AK$21,1,F$231),0)</f>
        <v>0</v>
      </c>
      <c r="G232" s="751">
        <f ca="1">IF(INDEX(IEAData!$A$21:$AK$21,1,G$231) &gt; 10^-5, INDEX(IEAData!$A$21:$AK$21,1,G$231),0)</f>
        <v>0</v>
      </c>
      <c r="H232" s="751">
        <f ca="1">IF(INDEX(IEAData!$A$21:$AK$21,1,H$231) &gt; 10^-5, INDEX(IEAData!$A$21:$AK$21,1,H$231),0)</f>
        <v>0</v>
      </c>
      <c r="I232" s="751">
        <f ca="1">IF(INDEX(IEAData!$A$21:$AK$21,1,I$231) &gt; 10^-5, INDEX(IEAData!$A$21:$AK$21,1,I$231),0)</f>
        <v>0</v>
      </c>
      <c r="J232" s="751">
        <f ca="1">IF(INDEX(IEAData!$A$21:$AK$21,1,J$231) &gt; 10^-5, INDEX(IEAData!$A$21:$AK$21,1,J$231),0)</f>
        <v>0</v>
      </c>
      <c r="K232" s="751">
        <f ca="1">IF(INDEX(IEAData!$A$21:$AK$21,1,K$231) &gt; 10^-5, INDEX(IEAData!$A$21:$AK$21,1,K$231),0)</f>
        <v>0</v>
      </c>
      <c r="L232" s="751">
        <f ca="1">IF(INDEX(IEAData!$A$21:$AK$21,1,L$231) &gt; 10^-5, INDEX(IEAData!$A$21:$AK$21,1,L$231),0)</f>
        <v>0</v>
      </c>
      <c r="M232" s="751">
        <f ca="1">IF(INDEX(IEAData!$A$21:$AK$21,1,M$231) &gt; 10^-5, INDEX(IEAData!$A$21:$AK$21,1,M$231),0)</f>
        <v>0</v>
      </c>
      <c r="N232" s="751">
        <f ca="1">IF(INDEX(IEAData!$A$21:$AK$21,1,N$231) &gt; 10^-5, INDEX(IEAData!$A$21:$AK$21,1,N$231),0)</f>
        <v>0</v>
      </c>
      <c r="O232" s="751">
        <f ca="1">IF(INDEX(IEAData!$A$21:$AK$21,1,O$231) &gt; 10^-5, INDEX(IEAData!$A$21:$AK$21,1,O$231),0)</f>
        <v>2.9699903160000001</v>
      </c>
      <c r="P232" s="751">
        <f ca="1">IF(INDEX(IEAData!$A$21:$AK$21,1,P$231) &gt; 10^-5, INDEX(IEAData!$A$21:$AK$21,1,P$231),0)</f>
        <v>0</v>
      </c>
      <c r="Q232" s="751">
        <f ca="1">IF(INDEX(IEAData!$A$21:$AK$21,1,Q$231) &gt; 10^-5, INDEX(IEAData!$A$21:$AK$21,1,Q$231),0)</f>
        <v>1.6799953679999999</v>
      </c>
      <c r="R232" s="751">
        <f ca="1">IF(INDEX(IEAData!$A$21:$AK$21,1,R$231) &gt; 10^-5, INDEX(IEAData!$A$21:$AK$21,1,R$231),0)</f>
        <v>0</v>
      </c>
      <c r="S232" s="751">
        <f ca="1">IF(INDEX(IEAData!$A$21:$AK$21,1,S$231) &gt; 10^-5, INDEX(IEAData!$A$21:$AK$21,1,S$231),0)</f>
        <v>0</v>
      </c>
      <c r="T232" s="751">
        <f ca="1">IF(INDEX(IEAData!$A$21:$AK$21,1,T$231) &gt; 10^-5, INDEX(IEAData!$A$21:$AK$21,1,T$231),0)</f>
        <v>0</v>
      </c>
      <c r="U232" s="751">
        <f ca="1">IF(INDEX(IEAData!$A$21:$AK$21,1,U$231) &gt; 10^-5, INDEX(IEAData!$A$21:$AK$21,1,U$231),0)</f>
        <v>5.5200027240000002</v>
      </c>
      <c r="V232" s="751">
        <f ca="1">IF(INDEX(IEAData!$A$21:$AK$21,1,V$231) &gt; 10^-5, INDEX(IEAData!$A$21:$AK$21,1,V$231),0)</f>
        <v>0</v>
      </c>
      <c r="W232" s="751">
        <f ca="1">IF(INDEX(IEAData!$A$21:$AK$21,1,W$231) &gt; 10^-5, INDEX(IEAData!$A$21:$AK$21,1,W$231),0)</f>
        <v>13.774999060000003</v>
      </c>
      <c r="X232" s="751">
        <f ca="1">IF(INDEX(IEAData!$A$21:$AK$21,1,X$231) &gt; 10^-5, INDEX(IEAData!$A$21:$AK$21,1,X$231),0)</f>
        <v>0</v>
      </c>
      <c r="Y232" s="751">
        <f ca="1">IF(INDEX(IEAData!$A$21:$AK$21,1,Y$231) &gt; 10^-5, INDEX(IEAData!$A$21:$AK$21,1,Y$231),0)</f>
        <v>0</v>
      </c>
      <c r="Z232" s="751">
        <f ca="1">IF(INDEX(IEAData!$A$21:$AK$21,1,Z$231) &gt; 10^-5, INDEX(IEAData!$A$21:$AK$21,1,Z$231),0)</f>
        <v>0</v>
      </c>
      <c r="AA232" s="751">
        <f ca="1">IF(INDEX(IEAData!$A$21:$AK$21,1,AA$231) &gt; 10^-5, INDEX(IEAData!$A$21:$AK$21,1,AA$231),0)</f>
        <v>0</v>
      </c>
      <c r="AB232" s="751">
        <f ca="1">IF(INDEX(IEAData!$A$21:$AK$21,1,AB$231) &gt; 10^-5, INDEX(IEAData!$A$21:$AK$21,1,AB$231),0)</f>
        <v>0</v>
      </c>
      <c r="AC232" s="751">
        <f ca="1">IF(INDEX(IEAData!$A$21:$AK$21,1,AC$231) &gt; 10^-5, INDEX(IEAData!$A$21:$AK$21,1,AC$231),0)</f>
        <v>0</v>
      </c>
      <c r="AD232" s="751">
        <f ca="1">IF(INDEX(IEAData!$A$21:$AK$21,1,AD$231) &gt; 10^-5, INDEX(IEAData!$A$21:$AK$21,1,AD$231),0)</f>
        <v>0</v>
      </c>
      <c r="AE232" s="751">
        <f ca="1">IF(INDEX(IEAData!$A$21:$AK$21,1,AE$231) &gt; 10^-5, INDEX(IEAData!$A$21:$AK$21,1,AE$231),0)</f>
        <v>0</v>
      </c>
      <c r="AF232" s="751">
        <f ca="1">IF(INDEX(IEAData!$A$21:$AK$21,1,AF$231) &gt; 10^-5, INDEX(IEAData!$A$21:$AK$21,1,AF$231),0)</f>
        <v>0</v>
      </c>
      <c r="AG232" s="751">
        <f ca="1">IF(INDEX(IEAData!$A$21:$AK$21,1,AG$231) &gt; 10^-5, INDEX(IEAData!$A$21:$AK$21,1,AG$231),0)</f>
        <v>0</v>
      </c>
      <c r="AH232" s="751">
        <f ca="1">IF(INDEX(IEAData!$A$21:$AK$21,1,AH$231) &gt; 10^-5, INDEX(IEAData!$A$21:$AK$21,1,AH$231),0)</f>
        <v>0</v>
      </c>
      <c r="AI232" s="751">
        <f ca="1">IF(INDEX(IEAData!$A$21:$AK$21,1,AI$231) &gt; 10^-5, INDEX(IEAData!$A$21:$AK$21,1,AI$231),0)</f>
        <v>0</v>
      </c>
      <c r="AJ232" s="751">
        <f ca="1">IF(INDEX(IEAData!$A$21:$AK$21,1,AJ$231) &gt; 10^-5, INDEX(IEAData!$A$21:$AK$21,1,AJ$231),0)</f>
        <v>0</v>
      </c>
      <c r="AK232" s="751">
        <f ca="1">IF(INDEX(IEAData!$A$21:$AK$21,1,AK$231) &gt; 10^-5, INDEX(IEAData!$A$21:$AK$21,1,AK$231),0)</f>
        <v>0</v>
      </c>
      <c r="AL232" s="751">
        <f>MAX(0.001,SUM(C232:AK232))</f>
        <v>30.844289584000002</v>
      </c>
    </row>
    <row r="233" spans="1:38" hidden="1">
      <c r="B233" s="613" t="s">
        <v>504</v>
      </c>
      <c r="D233" s="755">
        <f ca="1">VLOOKUP(D$230,IND_Emi!$A$5:$B$47,2,0)</f>
        <v>56.1</v>
      </c>
      <c r="E233" s="755">
        <f ca="1">VLOOKUP(E$230,IND_Emi!$A$5:$B$47,2,0)</f>
        <v>63.1</v>
      </c>
      <c r="F233" s="755">
        <f ca="1">VLOOKUP(F$230,IND_Emi!$A$5:$B$47,2,0)</f>
        <v>64.2</v>
      </c>
      <c r="G233" s="755">
        <f ca="1">VLOOKUP(G$230,IND_Emi!$A$5:$B$47,2,0)</f>
        <v>94.6</v>
      </c>
      <c r="H233" s="755">
        <f ca="1">VLOOKUP(H$230,IND_Emi!$A$5:$B$47,2,0)</f>
        <v>104.5</v>
      </c>
      <c r="I233" s="755">
        <f ca="1">VLOOKUP(I$230,IND_Emi!$A$5:$B$47,2,0)</f>
        <v>104.86</v>
      </c>
      <c r="J233" s="755">
        <f ca="1">VLOOKUP(J$230,IND_Emi!$A$5:$B$47,2,0)</f>
        <v>104.86</v>
      </c>
      <c r="K233" s="755">
        <f ca="1">VLOOKUP(K$230,IND_Emi!$A$5:$B$47,2,0)</f>
        <v>44.4</v>
      </c>
      <c r="L233" s="755">
        <f ca="1">VLOOKUP(L$230,IND_Emi!$A$5:$B$47,2,0)</f>
        <v>0</v>
      </c>
      <c r="M233" s="755">
        <f ca="1">VLOOKUP(M$230,IND_Emi!$A$5:$B$47,2,0)</f>
        <v>0</v>
      </c>
      <c r="N233" s="755">
        <f ca="1">VLOOKUP(N$230,IND_Emi!$A$5:$B$47,2,0)</f>
        <v>44.4</v>
      </c>
      <c r="O233" s="755">
        <f ca="1">VLOOKUP(O$230,IND_Emi!$A$5:$B$47,2,0)</f>
        <v>57.6</v>
      </c>
      <c r="P233" s="755">
        <f ca="1">VLOOKUP(P$230,IND_Emi!$A$5:$B$47,2,0)</f>
        <v>73.3</v>
      </c>
      <c r="Q233" s="755">
        <f ca="1">VLOOKUP(Q$230,IND_Emi!$A$5:$B$47,2,0)</f>
        <v>77.400000000000006</v>
      </c>
      <c r="R233" s="755">
        <f ca="1">VLOOKUP(R$230,IND_Emi!$A$5:$B$47,2,0)</f>
        <v>74.099999999999994</v>
      </c>
      <c r="S233" s="755">
        <f ca="1">VLOOKUP(S$230,IND_Emi!$A$5:$B$47,2,0)</f>
        <v>71.900000000000006</v>
      </c>
      <c r="T233" s="755">
        <f ca="1">VLOOKUP(T$230,IND_Emi!$A$5:$B$47,2,0)</f>
        <v>69.3</v>
      </c>
      <c r="U233" s="755">
        <f ca="1">VLOOKUP(U$230,IND_Emi!$A$5:$B$47,2,0)</f>
        <v>73.3</v>
      </c>
      <c r="V233" s="755">
        <f ca="1">VLOOKUP(V$230,IND_Emi!$A$5:$B$47,2,0)</f>
        <v>61.6</v>
      </c>
      <c r="W233" s="755">
        <f ca="1">VLOOKUP(W$230,IND_Emi!$A$5:$B$47,2,0)</f>
        <v>73.3</v>
      </c>
      <c r="X233" s="755">
        <f ca="1">VLOOKUP(X$230,IND_Emi!$A$5:$B$47,2,0)</f>
        <v>97.5</v>
      </c>
      <c r="Y233" s="755">
        <f ca="1">VLOOKUP(Y$230,IND_Emi!$A$5:$B$47,2,0)</f>
        <v>0</v>
      </c>
      <c r="Z233" s="755">
        <f ca="1">VLOOKUP(Z$230,IND_Emi!$A$5:$B$47,2,0)</f>
        <v>0</v>
      </c>
      <c r="AA233" s="755">
        <f ca="1">VLOOKUP(AA$230,IND_Emi!$A$5:$B$47,2,0)</f>
        <v>0</v>
      </c>
      <c r="AB233" s="755">
        <f ca="1">VLOOKUP(AB$230,IND_Emi!$A$5:$B$47,2,0)</f>
        <v>0</v>
      </c>
      <c r="AC233" s="755">
        <f ca="1">VLOOKUP(AC$230,IND_Emi!$A$5:$B$47,2,0)</f>
        <v>27.51</v>
      </c>
      <c r="AD233" s="755">
        <f ca="1">VLOOKUP(AD$230,IND_Emi!$A$5:$B$47,2,0)</f>
        <v>85.85</v>
      </c>
      <c r="AE233" s="755">
        <v>0</v>
      </c>
      <c r="AF233" s="755">
        <v>0</v>
      </c>
      <c r="AG233" s="755">
        <f ca="1">VLOOKUP(AG$230,IND_Emi!$A$5:$B$47,2,0)</f>
        <v>71.5</v>
      </c>
      <c r="AH233" s="755">
        <f ca="1">VLOOKUP(AH$230,IND_Emi!$A$5:$B$47,2,0)</f>
        <v>73.3</v>
      </c>
      <c r="AI233" s="755">
        <f ca="1">VLOOKUP(AI$230,IND_Emi!$A$5:$B$47,2,0)</f>
        <v>37.049999999999997</v>
      </c>
      <c r="AJ233" s="755">
        <f ca="1">VLOOKUP(AJ$230,IND_Emi!$A$5:$B$47,2,0)</f>
        <v>0</v>
      </c>
      <c r="AK233" s="755">
        <f ca="1">VLOOKUP(AK$230,IND_Emi!$A$5:$B$47,2,0)</f>
        <v>80.7</v>
      </c>
    </row>
    <row r="234" spans="1:38" hidden="1">
      <c r="K234" s="756"/>
      <c r="S234" s="756"/>
      <c r="T234" s="756"/>
      <c r="X234" s="756"/>
      <c r="AB234" s="756"/>
    </row>
    <row r="235" spans="1:38" hidden="1">
      <c r="B235" s="613" t="s">
        <v>332</v>
      </c>
    </row>
    <row r="236" spans="1:38" hidden="1">
      <c r="C236" s="613" t="s">
        <v>557</v>
      </c>
      <c r="D236" s="613" t="s">
        <v>951</v>
      </c>
      <c r="E236" s="613" t="s">
        <v>1084</v>
      </c>
      <c r="F236" s="613" t="s">
        <v>756</v>
      </c>
      <c r="G236" s="613" t="s">
        <v>952</v>
      </c>
      <c r="H236" s="613" t="s">
        <v>953</v>
      </c>
      <c r="I236" s="613" t="s">
        <v>954</v>
      </c>
      <c r="J236" s="613" t="s">
        <v>955</v>
      </c>
      <c r="K236" s="613" t="s">
        <v>956</v>
      </c>
      <c r="L236" s="613" t="s">
        <v>830</v>
      </c>
      <c r="M236" s="613" t="s">
        <v>831</v>
      </c>
      <c r="N236" s="613" t="s">
        <v>832</v>
      </c>
      <c r="O236" s="613" t="s">
        <v>833</v>
      </c>
      <c r="P236" s="613" t="s">
        <v>834</v>
      </c>
      <c r="Q236" s="613" t="s">
        <v>835</v>
      </c>
      <c r="R236" s="613" t="s">
        <v>836</v>
      </c>
      <c r="S236" s="613" t="s">
        <v>837</v>
      </c>
      <c r="T236" s="613" t="s">
        <v>838</v>
      </c>
      <c r="U236" s="613" t="s">
        <v>839</v>
      </c>
      <c r="V236" s="613" t="s">
        <v>843</v>
      </c>
      <c r="W236" s="613" t="s">
        <v>841</v>
      </c>
      <c r="X236" s="613" t="s">
        <v>842</v>
      </c>
      <c r="Y236" s="613" t="s">
        <v>606</v>
      </c>
      <c r="Z236" s="613" t="s">
        <v>846</v>
      </c>
      <c r="AA236" s="613" t="s">
        <v>846</v>
      </c>
      <c r="AB236" s="613" t="s">
        <v>847</v>
      </c>
      <c r="AC236" s="613" t="s">
        <v>608</v>
      </c>
      <c r="AD236" s="613" t="s">
        <v>609</v>
      </c>
      <c r="AE236" s="613" t="s">
        <v>844</v>
      </c>
      <c r="AF236" s="613" t="s">
        <v>845</v>
      </c>
      <c r="AG236" s="613" t="s">
        <v>757</v>
      </c>
      <c r="AH236" s="613" t="s">
        <v>310</v>
      </c>
      <c r="AI236" s="613" t="s">
        <v>311</v>
      </c>
      <c r="AJ236" s="613" t="s">
        <v>312</v>
      </c>
      <c r="AK236" s="613" t="s">
        <v>313</v>
      </c>
      <c r="AL236" s="613" t="s">
        <v>888</v>
      </c>
    </row>
    <row r="237" spans="1:38" hidden="1">
      <c r="B237" s="613" t="s">
        <v>359</v>
      </c>
      <c r="D237" s="731">
        <v>0.15</v>
      </c>
      <c r="E237" s="731">
        <v>0.1</v>
      </c>
      <c r="O237" s="731">
        <v>0.02</v>
      </c>
      <c r="R237" s="731">
        <v>0.03</v>
      </c>
      <c r="S237" s="704">
        <v>0.02</v>
      </c>
      <c r="T237" s="704">
        <v>0.01</v>
      </c>
      <c r="V237" s="731">
        <v>0.05</v>
      </c>
      <c r="W237" s="731">
        <v>0.62</v>
      </c>
      <c r="AL237" s="704">
        <f>SUM(C237:AK237)</f>
        <v>1</v>
      </c>
    </row>
    <row r="238" spans="1:38" hidden="1">
      <c r="B238" s="613" t="s">
        <v>253</v>
      </c>
      <c r="E238" s="731">
        <v>0.05</v>
      </c>
      <c r="F238" s="731">
        <v>0.01</v>
      </c>
      <c r="Q238" s="731">
        <v>0.2</v>
      </c>
      <c r="R238" s="731">
        <v>0.03</v>
      </c>
      <c r="U238" s="731">
        <v>0.05</v>
      </c>
      <c r="V238" s="731">
        <v>0.05</v>
      </c>
      <c r="W238" s="731">
        <v>0.6</v>
      </c>
      <c r="X238" s="704"/>
      <c r="AL238" s="704">
        <f>SUM(C238:AK238)</f>
        <v>0.99</v>
      </c>
    </row>
    <row r="239" spans="1:38" hidden="1">
      <c r="B239" s="613" t="s">
        <v>357</v>
      </c>
      <c r="D239" s="731">
        <v>0.65</v>
      </c>
      <c r="G239" s="731">
        <v>0.02</v>
      </c>
      <c r="P239" s="731">
        <v>0.03</v>
      </c>
      <c r="Q239" s="731">
        <v>0.2</v>
      </c>
      <c r="R239" s="731">
        <v>0.05</v>
      </c>
      <c r="U239" s="731">
        <v>0.05</v>
      </c>
      <c r="AL239" s="704">
        <f>SUM(C239:AK239)</f>
        <v>1.0000000000000002</v>
      </c>
    </row>
    <row r="240" spans="1:38" s="736" customFormat="1" hidden="1">
      <c r="A240" s="613"/>
      <c r="B240" s="613" t="s">
        <v>354</v>
      </c>
      <c r="C240" s="613"/>
      <c r="D240" s="731">
        <v>0.9</v>
      </c>
      <c r="E240" s="613"/>
      <c r="F240" s="613"/>
      <c r="G240" s="731">
        <v>0.1</v>
      </c>
      <c r="P240" s="735"/>
      <c r="Q240" s="735"/>
      <c r="R240" s="735"/>
      <c r="U240" s="735"/>
      <c r="AL240" s="757"/>
    </row>
    <row r="241" spans="1:39" s="736" customFormat="1" hidden="1">
      <c r="A241" s="613"/>
      <c r="B241" s="613" t="s">
        <v>201</v>
      </c>
      <c r="C241" s="613"/>
      <c r="D241" s="731">
        <f t="shared" ref="D241:AK241" si="79">IF($AL232&gt;0,D232/$AL232)</f>
        <v>4.4718144285465743E-2</v>
      </c>
      <c r="E241" s="731">
        <f t="shared" si="79"/>
        <v>0.17896352285783934</v>
      </c>
      <c r="F241" s="731">
        <f t="shared" si="79"/>
        <v>0</v>
      </c>
      <c r="G241" s="731">
        <f t="shared" si="79"/>
        <v>0</v>
      </c>
      <c r="H241" s="731">
        <f t="shared" si="79"/>
        <v>0</v>
      </c>
      <c r="I241" s="731">
        <f t="shared" si="79"/>
        <v>0</v>
      </c>
      <c r="J241" s="731">
        <f t="shared" si="79"/>
        <v>0</v>
      </c>
      <c r="K241" s="731">
        <f t="shared" si="79"/>
        <v>0</v>
      </c>
      <c r="L241" s="731">
        <f t="shared" si="79"/>
        <v>0</v>
      </c>
      <c r="M241" s="731">
        <f t="shared" si="79"/>
        <v>0</v>
      </c>
      <c r="N241" s="731">
        <f t="shared" si="79"/>
        <v>0</v>
      </c>
      <c r="O241" s="731">
        <f t="shared" si="79"/>
        <v>9.6289794839062748E-2</v>
      </c>
      <c r="P241" s="731">
        <f t="shared" si="79"/>
        <v>0</v>
      </c>
      <c r="Q241" s="731">
        <f t="shared" si="79"/>
        <v>5.4466982078636414E-2</v>
      </c>
      <c r="R241" s="731">
        <f t="shared" si="79"/>
        <v>0</v>
      </c>
      <c r="S241" s="731">
        <f t="shared" si="79"/>
        <v>0</v>
      </c>
      <c r="T241" s="731">
        <f t="shared" si="79"/>
        <v>0</v>
      </c>
      <c r="U241" s="731">
        <f t="shared" si="79"/>
        <v>0.17896352285783934</v>
      </c>
      <c r="V241" s="731">
        <f t="shared" si="79"/>
        <v>0</v>
      </c>
      <c r="W241" s="731">
        <f t="shared" si="79"/>
        <v>0.44659803308115648</v>
      </c>
      <c r="X241" s="731">
        <f t="shared" si="79"/>
        <v>0</v>
      </c>
      <c r="Y241" s="731">
        <f t="shared" si="79"/>
        <v>0</v>
      </c>
      <c r="Z241" s="731">
        <f t="shared" si="79"/>
        <v>0</v>
      </c>
      <c r="AA241" s="731">
        <f t="shared" si="79"/>
        <v>0</v>
      </c>
      <c r="AB241" s="731">
        <f t="shared" si="79"/>
        <v>0</v>
      </c>
      <c r="AC241" s="731">
        <f t="shared" si="79"/>
        <v>0</v>
      </c>
      <c r="AD241" s="731">
        <f t="shared" si="79"/>
        <v>0</v>
      </c>
      <c r="AE241" s="731">
        <f t="shared" si="79"/>
        <v>0</v>
      </c>
      <c r="AF241" s="731">
        <f t="shared" si="79"/>
        <v>0</v>
      </c>
      <c r="AG241" s="731">
        <f t="shared" si="79"/>
        <v>0</v>
      </c>
      <c r="AH241" s="731">
        <f t="shared" si="79"/>
        <v>0</v>
      </c>
      <c r="AI241" s="731">
        <f t="shared" si="79"/>
        <v>0</v>
      </c>
      <c r="AJ241" s="731">
        <f t="shared" si="79"/>
        <v>0</v>
      </c>
      <c r="AK241" s="731">
        <f t="shared" si="79"/>
        <v>0</v>
      </c>
      <c r="AL241" s="757"/>
    </row>
    <row r="242" spans="1:39" hidden="1">
      <c r="C242" s="681">
        <f ca="1">SUMPRODUCT(Drivers!$W$88:$W$92,C237:C241)</f>
        <v>0</v>
      </c>
      <c r="D242" s="681">
        <f ca="1">SUMPRODUCT(Drivers!$W$88:$W$92,D237:D241)</f>
        <v>4.2874980477523952</v>
      </c>
      <c r="E242" s="681">
        <f ca="1">SUMPRODUCT(Drivers!$W$88:$W$92,E237:E241)</f>
        <v>2.7450420500995136</v>
      </c>
      <c r="F242" s="681">
        <f ca="1">SUMPRODUCT(Drivers!$W$88:$W$92,F237:F241)</f>
        <v>6.2482514469670944E-2</v>
      </c>
      <c r="G242" s="681">
        <f ca="1">SUMPRODUCT(Drivers!$W$88:$W$92,G237:G241)</f>
        <v>3.06612E-2</v>
      </c>
      <c r="H242" s="681">
        <f ca="1">SUMPRODUCT(Drivers!$W$88:$W$92,H237:H241)</f>
        <v>0</v>
      </c>
      <c r="I242" s="681">
        <f ca="1">SUMPRODUCT(Drivers!$W$88:$W$92,I237:I241)</f>
        <v>0</v>
      </c>
      <c r="J242" s="681">
        <f ca="1">SUMPRODUCT(Drivers!$W$88:$W$92,J237:J241)</f>
        <v>0</v>
      </c>
      <c r="K242" s="681">
        <f ca="1">SUMPRODUCT(Drivers!$W$88:$W$92,K237:K241)</f>
        <v>0</v>
      </c>
      <c r="L242" s="681">
        <f ca="1">SUMPRODUCT(Drivers!$W$88:$W$92,L237:L241)</f>
        <v>0</v>
      </c>
      <c r="M242" s="681">
        <f ca="1">SUMPRODUCT(Drivers!$W$88:$W$92,M237:M241)</f>
        <v>0</v>
      </c>
      <c r="N242" s="681">
        <f ca="1">SUMPRODUCT(Drivers!$W$88:$W$92,N237:N241)</f>
        <v>0</v>
      </c>
      <c r="O242" s="681">
        <f ca="1">SUMPRODUCT(Drivers!$W$88:$W$92,O237:O241)</f>
        <v>0.58331359963109097</v>
      </c>
      <c r="P242" s="681">
        <f ca="1">SUMPRODUCT(Drivers!$W$88:$W$92,P237:P241)</f>
        <v>4.5991799999999992E-2</v>
      </c>
      <c r="Q242" s="681">
        <f ca="1">SUMPRODUCT(Drivers!$W$88:$W$92,Q237:Q241)</f>
        <v>1.6434025819313731</v>
      </c>
      <c r="R242" s="681">
        <f ca="1">SUMPRODUCT(Drivers!$W$88:$W$92,R237:R241)</f>
        <v>0.90799367630410455</v>
      </c>
      <c r="S242" s="681">
        <f ca="1">SUMPRODUCT(Drivers!$W$88:$W$92,S237:S241)</f>
        <v>0.42926208859672782</v>
      </c>
      <c r="T242" s="681">
        <f ca="1">SUMPRODUCT(Drivers!$W$88:$W$92,T237:T241)</f>
        <v>0.21463104429836391</v>
      </c>
      <c r="U242" s="681">
        <f ca="1">SUMPRODUCT(Drivers!$W$88:$W$92,U237:U241)</f>
        <v>0.67538460711587445</v>
      </c>
      <c r="V242" s="681">
        <f ca="1">SUMPRODUCT(Drivers!$W$88:$W$92,V237:V241)</f>
        <v>1.3855677938401745</v>
      </c>
      <c r="W242" s="681">
        <f ca="1">SUMPRODUCT(Drivers!$W$88:$W$92,W237:W241)</f>
        <v>17.770576065491039</v>
      </c>
      <c r="X242" s="681">
        <f ca="1">SUMPRODUCT(Drivers!$W$88:$W$92,X237:X241)</f>
        <v>0</v>
      </c>
      <c r="Y242" s="681">
        <f ca="1">SUMPRODUCT(Drivers!$W$88:$W$92,Y237:Y241)</f>
        <v>0</v>
      </c>
      <c r="Z242" s="681">
        <f ca="1">SUMPRODUCT(Drivers!$W$88:$W$92,Z237:Z241)</f>
        <v>0</v>
      </c>
      <c r="AA242" s="681">
        <f ca="1">SUMPRODUCT(Drivers!$W$88:$W$92,AA237:AA241)</f>
        <v>0</v>
      </c>
      <c r="AB242" s="681">
        <f ca="1">SUMPRODUCT(Drivers!$W$88:$W$92,AB237:AB241)</f>
        <v>0</v>
      </c>
      <c r="AC242" s="681">
        <f ca="1">SUMPRODUCT(Drivers!$W$88:$W$92,AC237:AC241)</f>
        <v>0</v>
      </c>
      <c r="AD242" s="681">
        <f ca="1">SUMPRODUCT(Drivers!$W$88:$W$92,AD237:AD241)</f>
        <v>0</v>
      </c>
      <c r="AE242" s="681">
        <f ca="1">SUMPRODUCT(Drivers!$W$88:$W$92,AE237:AE241)</f>
        <v>0</v>
      </c>
      <c r="AF242" s="681">
        <f ca="1">SUMPRODUCT(Drivers!$W$88:$W$92,AF237:AF241)</f>
        <v>0</v>
      </c>
      <c r="AG242" s="681">
        <f ca="1">SUMPRODUCT(Drivers!$W$88:$W$92,AG237:AG241)</f>
        <v>0</v>
      </c>
      <c r="AH242" s="681">
        <f ca="1">SUMPRODUCT(Drivers!$W$88:$W$92,AH237:AH241)</f>
        <v>0</v>
      </c>
      <c r="AI242" s="681">
        <f ca="1">SUMPRODUCT(Drivers!$W$88:$W$92,AI237:AI241)</f>
        <v>0</v>
      </c>
      <c r="AJ242" s="681">
        <f ca="1">SUMPRODUCT(Drivers!$W$88:$W$92,AJ237:AJ241)</f>
        <v>0</v>
      </c>
      <c r="AK242" s="681">
        <f ca="1">SUMPRODUCT(Drivers!$W$88:$W$92,AK237:AK241)</f>
        <v>0</v>
      </c>
    </row>
    <row r="243" spans="1:39" hidden="1">
      <c r="B243" s="613" t="s">
        <v>255</v>
      </c>
      <c r="AM243" s="709" t="s">
        <v>503</v>
      </c>
    </row>
    <row r="244" spans="1:39" hidden="1">
      <c r="B244" s="613" t="s">
        <v>359</v>
      </c>
      <c r="C244" s="734">
        <f t="shared" ref="C244:AK244" si="80">IF(C$242&gt;0,C237*C$232/C$242,0)</f>
        <v>0</v>
      </c>
      <c r="D244" s="734">
        <f t="shared" si="80"/>
        <v>4.8255394287225174E-2</v>
      </c>
      <c r="E244" s="734">
        <f t="shared" si="80"/>
        <v>0.20108991495412207</v>
      </c>
      <c r="F244" s="734">
        <f t="shared" si="80"/>
        <v>0</v>
      </c>
      <c r="G244" s="734">
        <f t="shared" si="80"/>
        <v>0</v>
      </c>
      <c r="H244" s="734">
        <f t="shared" si="80"/>
        <v>0</v>
      </c>
      <c r="I244" s="734">
        <f t="shared" si="80"/>
        <v>0</v>
      </c>
      <c r="J244" s="734">
        <f t="shared" si="80"/>
        <v>0</v>
      </c>
      <c r="K244" s="734">
        <f t="shared" si="80"/>
        <v>0</v>
      </c>
      <c r="L244" s="734">
        <f t="shared" si="80"/>
        <v>0</v>
      </c>
      <c r="M244" s="734">
        <f t="shared" si="80"/>
        <v>0</v>
      </c>
      <c r="N244" s="734">
        <f t="shared" si="80"/>
        <v>0</v>
      </c>
      <c r="O244" s="734">
        <f t="shared" si="80"/>
        <v>0.10183168429051995</v>
      </c>
      <c r="P244" s="734">
        <f t="shared" si="80"/>
        <v>0</v>
      </c>
      <c r="Q244" s="734">
        <f t="shared" si="80"/>
        <v>0</v>
      </c>
      <c r="R244" s="734">
        <f t="shared" si="80"/>
        <v>0</v>
      </c>
      <c r="S244" s="734">
        <f t="shared" si="80"/>
        <v>0</v>
      </c>
      <c r="T244" s="734">
        <f t="shared" si="80"/>
        <v>0</v>
      </c>
      <c r="U244" s="734">
        <f t="shared" si="80"/>
        <v>0</v>
      </c>
      <c r="V244" s="734">
        <f t="shared" si="80"/>
        <v>0</v>
      </c>
      <c r="W244" s="734">
        <f t="shared" si="80"/>
        <v>0.48059778060796415</v>
      </c>
      <c r="X244" s="734">
        <f t="shared" si="80"/>
        <v>0</v>
      </c>
      <c r="Y244" s="734">
        <f t="shared" si="80"/>
        <v>0</v>
      </c>
      <c r="Z244" s="734">
        <f t="shared" si="80"/>
        <v>0</v>
      </c>
      <c r="AA244" s="734">
        <f t="shared" si="80"/>
        <v>0</v>
      </c>
      <c r="AB244" s="734">
        <f t="shared" si="80"/>
        <v>0</v>
      </c>
      <c r="AC244" s="734">
        <f t="shared" si="80"/>
        <v>0</v>
      </c>
      <c r="AD244" s="734">
        <f t="shared" si="80"/>
        <v>0</v>
      </c>
      <c r="AE244" s="734">
        <f t="shared" si="80"/>
        <v>0</v>
      </c>
      <c r="AF244" s="734">
        <f t="shared" si="80"/>
        <v>0</v>
      </c>
      <c r="AG244" s="734">
        <f t="shared" si="80"/>
        <v>0</v>
      </c>
      <c r="AH244" s="734">
        <f t="shared" si="80"/>
        <v>0</v>
      </c>
      <c r="AI244" s="734">
        <f t="shared" si="80"/>
        <v>0</v>
      </c>
      <c r="AJ244" s="734">
        <f t="shared" si="80"/>
        <v>0</v>
      </c>
      <c r="AK244" s="734">
        <f t="shared" si="80"/>
        <v>0</v>
      </c>
      <c r="AL244" s="734">
        <f ca="1">MAX(Tiny,SUM(C244:AK244))</f>
        <v>0.83177477413983136</v>
      </c>
      <c r="AM244" s="758">
        <v>0.24</v>
      </c>
    </row>
    <row r="245" spans="1:39" hidden="1">
      <c r="B245" s="613" t="s">
        <v>253</v>
      </c>
      <c r="C245" s="734">
        <f t="shared" ref="C245:AK245" si="81">IF(C$242&gt;0,C238*C$232/C$242,0)</f>
        <v>0</v>
      </c>
      <c r="D245" s="734">
        <f t="shared" si="81"/>
        <v>0</v>
      </c>
      <c r="E245" s="734">
        <f t="shared" si="81"/>
        <v>0.10054495747706103</v>
      </c>
      <c r="F245" s="734">
        <f t="shared" si="81"/>
        <v>0</v>
      </c>
      <c r="G245" s="734">
        <f t="shared" si="81"/>
        <v>0</v>
      </c>
      <c r="H245" s="734">
        <f t="shared" si="81"/>
        <v>0</v>
      </c>
      <c r="I245" s="734">
        <f t="shared" si="81"/>
        <v>0</v>
      </c>
      <c r="J245" s="734">
        <f t="shared" si="81"/>
        <v>0</v>
      </c>
      <c r="K245" s="734">
        <f t="shared" si="81"/>
        <v>0</v>
      </c>
      <c r="L245" s="734">
        <f t="shared" si="81"/>
        <v>0</v>
      </c>
      <c r="M245" s="734">
        <f t="shared" si="81"/>
        <v>0</v>
      </c>
      <c r="N245" s="734">
        <f t="shared" si="81"/>
        <v>0</v>
      </c>
      <c r="O245" s="734">
        <f t="shared" si="81"/>
        <v>0</v>
      </c>
      <c r="P245" s="734">
        <f t="shared" si="81"/>
        <v>0</v>
      </c>
      <c r="Q245" s="734">
        <f t="shared" si="81"/>
        <v>0.20445329543362675</v>
      </c>
      <c r="R245" s="734">
        <f t="shared" si="81"/>
        <v>0</v>
      </c>
      <c r="S245" s="734">
        <f t="shared" si="81"/>
        <v>0</v>
      </c>
      <c r="T245" s="734">
        <f t="shared" si="81"/>
        <v>0</v>
      </c>
      <c r="U245" s="734">
        <f t="shared" si="81"/>
        <v>0.40865624311252213</v>
      </c>
      <c r="V245" s="734">
        <f t="shared" si="81"/>
        <v>0</v>
      </c>
      <c r="W245" s="734">
        <f t="shared" si="81"/>
        <v>0.46509462639480409</v>
      </c>
      <c r="X245" s="734">
        <f t="shared" si="81"/>
        <v>0</v>
      </c>
      <c r="Y245" s="734">
        <f t="shared" si="81"/>
        <v>0</v>
      </c>
      <c r="Z245" s="734">
        <f t="shared" si="81"/>
        <v>0</v>
      </c>
      <c r="AA245" s="734">
        <f t="shared" si="81"/>
        <v>0</v>
      </c>
      <c r="AB245" s="734">
        <f t="shared" si="81"/>
        <v>0</v>
      </c>
      <c r="AC245" s="734">
        <f t="shared" si="81"/>
        <v>0</v>
      </c>
      <c r="AD245" s="734">
        <f t="shared" si="81"/>
        <v>0</v>
      </c>
      <c r="AE245" s="734">
        <f t="shared" si="81"/>
        <v>0</v>
      </c>
      <c r="AF245" s="734">
        <f t="shared" si="81"/>
        <v>0</v>
      </c>
      <c r="AG245" s="734">
        <f t="shared" si="81"/>
        <v>0</v>
      </c>
      <c r="AH245" s="734">
        <f t="shared" si="81"/>
        <v>0</v>
      </c>
      <c r="AI245" s="734">
        <f t="shared" si="81"/>
        <v>0</v>
      </c>
      <c r="AJ245" s="734">
        <f t="shared" si="81"/>
        <v>0</v>
      </c>
      <c r="AK245" s="734">
        <f t="shared" si="81"/>
        <v>0</v>
      </c>
      <c r="AL245" s="734">
        <f ca="1">MAX(Tiny,SUM(C245:AK245))</f>
        <v>1.178749122418014</v>
      </c>
      <c r="AM245" s="759">
        <v>0.25</v>
      </c>
    </row>
    <row r="246" spans="1:39" hidden="1">
      <c r="B246" s="613" t="s">
        <v>357</v>
      </c>
      <c r="C246" s="734">
        <f t="shared" ref="C246:AK246" si="82">IF(C$242&gt;0,C239*C$232/C$242,0)</f>
        <v>0</v>
      </c>
      <c r="D246" s="734">
        <f t="shared" si="82"/>
        <v>0.20910670857797578</v>
      </c>
      <c r="E246" s="734">
        <f t="shared" si="82"/>
        <v>0</v>
      </c>
      <c r="F246" s="734">
        <f t="shared" si="82"/>
        <v>0</v>
      </c>
      <c r="G246" s="734">
        <f t="shared" si="82"/>
        <v>0</v>
      </c>
      <c r="H246" s="734">
        <f t="shared" si="82"/>
        <v>0</v>
      </c>
      <c r="I246" s="734">
        <f t="shared" si="82"/>
        <v>0</v>
      </c>
      <c r="J246" s="734">
        <f t="shared" si="82"/>
        <v>0</v>
      </c>
      <c r="K246" s="734">
        <f t="shared" si="82"/>
        <v>0</v>
      </c>
      <c r="L246" s="734">
        <f t="shared" si="82"/>
        <v>0</v>
      </c>
      <c r="M246" s="734">
        <f t="shared" si="82"/>
        <v>0</v>
      </c>
      <c r="N246" s="734">
        <f t="shared" si="82"/>
        <v>0</v>
      </c>
      <c r="O246" s="734">
        <f t="shared" si="82"/>
        <v>0</v>
      </c>
      <c r="P246" s="734">
        <f t="shared" si="82"/>
        <v>0</v>
      </c>
      <c r="Q246" s="734">
        <f t="shared" si="82"/>
        <v>0.20445329543362675</v>
      </c>
      <c r="R246" s="734">
        <f t="shared" si="82"/>
        <v>0</v>
      </c>
      <c r="S246" s="734">
        <f t="shared" si="82"/>
        <v>0</v>
      </c>
      <c r="T246" s="734">
        <f t="shared" si="82"/>
        <v>0</v>
      </c>
      <c r="U246" s="734">
        <f t="shared" si="82"/>
        <v>0.40865624311252213</v>
      </c>
      <c r="V246" s="734">
        <f t="shared" si="82"/>
        <v>0</v>
      </c>
      <c r="W246" s="734">
        <f t="shared" si="82"/>
        <v>0</v>
      </c>
      <c r="X246" s="734">
        <f t="shared" si="82"/>
        <v>0</v>
      </c>
      <c r="Y246" s="734">
        <f t="shared" si="82"/>
        <v>0</v>
      </c>
      <c r="Z246" s="734">
        <f t="shared" si="82"/>
        <v>0</v>
      </c>
      <c r="AA246" s="734">
        <f t="shared" si="82"/>
        <v>0</v>
      </c>
      <c r="AB246" s="734">
        <f t="shared" si="82"/>
        <v>0</v>
      </c>
      <c r="AC246" s="734">
        <f t="shared" si="82"/>
        <v>0</v>
      </c>
      <c r="AD246" s="734">
        <f t="shared" si="82"/>
        <v>0</v>
      </c>
      <c r="AE246" s="734">
        <f t="shared" si="82"/>
        <v>0</v>
      </c>
      <c r="AF246" s="734">
        <f t="shared" si="82"/>
        <v>0</v>
      </c>
      <c r="AG246" s="734">
        <f t="shared" si="82"/>
        <v>0</v>
      </c>
      <c r="AH246" s="734">
        <f t="shared" si="82"/>
        <v>0</v>
      </c>
      <c r="AI246" s="734">
        <f t="shared" si="82"/>
        <v>0</v>
      </c>
      <c r="AJ246" s="734">
        <f t="shared" si="82"/>
        <v>0</v>
      </c>
      <c r="AK246" s="734">
        <f t="shared" si="82"/>
        <v>0</v>
      </c>
      <c r="AL246" s="734">
        <f ca="1">MAX(Tiny,SUM(C246:AK246))</f>
        <v>0.82221624712412467</v>
      </c>
      <c r="AM246" s="760">
        <v>0.85</v>
      </c>
    </row>
    <row r="247" spans="1:39" hidden="1">
      <c r="B247" s="613" t="s">
        <v>354</v>
      </c>
      <c r="C247" s="734">
        <f t="shared" ref="C247:AK247" si="83">IF(C$242&gt;0,C240*C$232/C$242,0)</f>
        <v>0</v>
      </c>
      <c r="D247" s="734">
        <f t="shared" si="83"/>
        <v>0.28953236572335111</v>
      </c>
      <c r="E247" s="734">
        <f t="shared" si="83"/>
        <v>0</v>
      </c>
      <c r="F247" s="734">
        <f t="shared" si="83"/>
        <v>0</v>
      </c>
      <c r="G247" s="734">
        <f t="shared" si="83"/>
        <v>0</v>
      </c>
      <c r="H247" s="734">
        <f t="shared" si="83"/>
        <v>0</v>
      </c>
      <c r="I247" s="734">
        <f t="shared" si="83"/>
        <v>0</v>
      </c>
      <c r="J247" s="734">
        <f t="shared" si="83"/>
        <v>0</v>
      </c>
      <c r="K247" s="734">
        <f t="shared" si="83"/>
        <v>0</v>
      </c>
      <c r="L247" s="734">
        <f t="shared" si="83"/>
        <v>0</v>
      </c>
      <c r="M247" s="734">
        <f t="shared" si="83"/>
        <v>0</v>
      </c>
      <c r="N247" s="734">
        <f t="shared" si="83"/>
        <v>0</v>
      </c>
      <c r="O247" s="734">
        <f t="shared" si="83"/>
        <v>0</v>
      </c>
      <c r="P247" s="734">
        <f t="shared" si="83"/>
        <v>0</v>
      </c>
      <c r="Q247" s="734">
        <f t="shared" si="83"/>
        <v>0</v>
      </c>
      <c r="R247" s="734">
        <f t="shared" si="83"/>
        <v>0</v>
      </c>
      <c r="S247" s="734">
        <f t="shared" si="83"/>
        <v>0</v>
      </c>
      <c r="T247" s="734">
        <f t="shared" si="83"/>
        <v>0</v>
      </c>
      <c r="U247" s="734">
        <f t="shared" si="83"/>
        <v>0</v>
      </c>
      <c r="V247" s="734">
        <f t="shared" si="83"/>
        <v>0</v>
      </c>
      <c r="W247" s="734">
        <f t="shared" si="83"/>
        <v>0</v>
      </c>
      <c r="X247" s="734">
        <f t="shared" si="83"/>
        <v>0</v>
      </c>
      <c r="Y247" s="734">
        <f t="shared" si="83"/>
        <v>0</v>
      </c>
      <c r="Z247" s="734">
        <f t="shared" si="83"/>
        <v>0</v>
      </c>
      <c r="AA247" s="734">
        <f t="shared" si="83"/>
        <v>0</v>
      </c>
      <c r="AB247" s="734">
        <f t="shared" si="83"/>
        <v>0</v>
      </c>
      <c r="AC247" s="734">
        <f t="shared" si="83"/>
        <v>0</v>
      </c>
      <c r="AD247" s="734">
        <f t="shared" si="83"/>
        <v>0</v>
      </c>
      <c r="AE247" s="734">
        <f t="shared" si="83"/>
        <v>0</v>
      </c>
      <c r="AF247" s="734">
        <f t="shared" si="83"/>
        <v>0</v>
      </c>
      <c r="AG247" s="734">
        <f t="shared" si="83"/>
        <v>0</v>
      </c>
      <c r="AH247" s="734">
        <f t="shared" si="83"/>
        <v>0</v>
      </c>
      <c r="AI247" s="734">
        <f t="shared" si="83"/>
        <v>0</v>
      </c>
      <c r="AJ247" s="734">
        <f t="shared" si="83"/>
        <v>0</v>
      </c>
      <c r="AK247" s="734">
        <f t="shared" si="83"/>
        <v>0</v>
      </c>
      <c r="AL247" s="734">
        <f ca="1">MAX(Tiny,SUM(C247:AK247))</f>
        <v>0.28953236572335111</v>
      </c>
      <c r="AM247" s="761">
        <v>0.05</v>
      </c>
    </row>
    <row r="248" spans="1:39" hidden="1">
      <c r="B248" s="613" t="s">
        <v>535</v>
      </c>
      <c r="C248" s="734">
        <f t="shared" ref="C248:AK248" si="84">IF(C$242&gt;0,C241*C$232/C$242,0)</f>
        <v>0</v>
      </c>
      <c r="D248" s="734">
        <f t="shared" si="84"/>
        <v>1.4385944561921167E-2</v>
      </c>
      <c r="E248" s="734">
        <f t="shared" si="84"/>
        <v>0.35987759591372992</v>
      </c>
      <c r="F248" s="734">
        <f t="shared" si="84"/>
        <v>0</v>
      </c>
      <c r="G248" s="734">
        <f t="shared" si="84"/>
        <v>0</v>
      </c>
      <c r="H248" s="734">
        <f t="shared" si="84"/>
        <v>0</v>
      </c>
      <c r="I248" s="734">
        <f t="shared" si="84"/>
        <v>0</v>
      </c>
      <c r="J248" s="734">
        <f t="shared" si="84"/>
        <v>0</v>
      </c>
      <c r="K248" s="734">
        <f t="shared" si="84"/>
        <v>0</v>
      </c>
      <c r="L248" s="734">
        <f t="shared" si="84"/>
        <v>0</v>
      </c>
      <c r="M248" s="734">
        <f t="shared" si="84"/>
        <v>0</v>
      </c>
      <c r="N248" s="734">
        <f t="shared" si="84"/>
        <v>0</v>
      </c>
      <c r="O248" s="734">
        <f t="shared" si="84"/>
        <v>0.49026759942251863</v>
      </c>
      <c r="P248" s="734">
        <f t="shared" si="84"/>
        <v>0</v>
      </c>
      <c r="Q248" s="734">
        <f t="shared" si="84"/>
        <v>5.5679769891507511E-2</v>
      </c>
      <c r="R248" s="734">
        <f t="shared" si="84"/>
        <v>0</v>
      </c>
      <c r="S248" s="734">
        <f t="shared" si="84"/>
        <v>0</v>
      </c>
      <c r="T248" s="734">
        <f t="shared" si="84"/>
        <v>0</v>
      </c>
      <c r="U248" s="734">
        <f t="shared" si="84"/>
        <v>1.462691218105332</v>
      </c>
      <c r="V248" s="734">
        <f t="shared" si="84"/>
        <v>0</v>
      </c>
      <c r="W248" s="734">
        <f t="shared" si="84"/>
        <v>0.34618390890755801</v>
      </c>
      <c r="X248" s="734">
        <f t="shared" si="84"/>
        <v>0</v>
      </c>
      <c r="Y248" s="734">
        <f t="shared" si="84"/>
        <v>0</v>
      </c>
      <c r="Z248" s="734">
        <f t="shared" si="84"/>
        <v>0</v>
      </c>
      <c r="AA248" s="734">
        <f t="shared" si="84"/>
        <v>0</v>
      </c>
      <c r="AB248" s="734">
        <f t="shared" si="84"/>
        <v>0</v>
      </c>
      <c r="AC248" s="734">
        <f t="shared" si="84"/>
        <v>0</v>
      </c>
      <c r="AD248" s="734">
        <f t="shared" si="84"/>
        <v>0</v>
      </c>
      <c r="AE248" s="734">
        <f t="shared" si="84"/>
        <v>0</v>
      </c>
      <c r="AF248" s="734">
        <f t="shared" si="84"/>
        <v>0</v>
      </c>
      <c r="AG248" s="734">
        <f t="shared" si="84"/>
        <v>0</v>
      </c>
      <c r="AH248" s="734">
        <f t="shared" si="84"/>
        <v>0</v>
      </c>
      <c r="AI248" s="734">
        <f t="shared" si="84"/>
        <v>0</v>
      </c>
      <c r="AJ248" s="734">
        <f t="shared" si="84"/>
        <v>0</v>
      </c>
      <c r="AK248" s="734">
        <f t="shared" si="84"/>
        <v>0</v>
      </c>
      <c r="AL248" s="734">
        <f ca="1">MAX(Tiny,SUM(C248:AK248))</f>
        <v>2.7290860368025669</v>
      </c>
      <c r="AM248" s="762">
        <v>0.25</v>
      </c>
    </row>
    <row r="249" spans="1:39" hidden="1">
      <c r="C249" s="681">
        <f ca="1">SUMPRODUCT(Drivers!$W$88:$W$92,C244:C248/$AL244:$AL248)</f>
        <v>0</v>
      </c>
      <c r="D249" s="681">
        <f ca="1">SUMPRODUCT(Drivers!$W$88:$W$92,D244:D248/$AL244:$AL248)</f>
        <v>1.6435040611952105</v>
      </c>
      <c r="E249" s="681">
        <f ca="1">SUMPRODUCT(Drivers!$W$88:$W$92,E244:E248/$AL244:$AL248)</f>
        <v>5.9328559871063957</v>
      </c>
      <c r="F249" s="681">
        <f ca="1">SUMPRODUCT(Drivers!$W$88:$W$92,F244:F248/$AL244:$AL248)</f>
        <v>0</v>
      </c>
      <c r="G249" s="681">
        <f ca="1">SUMPRODUCT(Drivers!$W$88:$W$92,G244:G248/$AL244:$AL248)</f>
        <v>0</v>
      </c>
      <c r="H249" s="681">
        <f ca="1">SUMPRODUCT(Drivers!$W$88:$W$92,H244:H248/$AL244:$AL248)</f>
        <v>0</v>
      </c>
      <c r="I249" s="681">
        <f ca="1">SUMPRODUCT(Drivers!$W$88:$W$92,I244:I248/$AL244:$AL248)</f>
        <v>0</v>
      </c>
      <c r="J249" s="681">
        <f ca="1">SUMPRODUCT(Drivers!$W$88:$W$92,J244:J248/$AL244:$AL248)</f>
        <v>0</v>
      </c>
      <c r="K249" s="681">
        <f ca="1">SUMPRODUCT(Drivers!$W$88:$W$92,K244:K248/$AL244:$AL248)</f>
        <v>0</v>
      </c>
      <c r="L249" s="681">
        <f ca="1">SUMPRODUCT(Drivers!$W$88:$W$92,L244:L248/$AL244:$AL248)</f>
        <v>0</v>
      </c>
      <c r="M249" s="681">
        <f ca="1">SUMPRODUCT(Drivers!$W$88:$W$92,M244:M248/$AL244:$AL248)</f>
        <v>0</v>
      </c>
      <c r="N249" s="681">
        <f ca="1">SUMPRODUCT(Drivers!$W$88:$W$92,N244:N248/$AL244:$AL248)</f>
        <v>0</v>
      </c>
      <c r="O249" s="681">
        <f ca="1">SUMPRODUCT(Drivers!$W$88:$W$92,O244:O248/$AL244:$AL248)</f>
        <v>2.9150731938574093</v>
      </c>
      <c r="P249" s="681">
        <f ca="1">SUMPRODUCT(Drivers!$W$88:$W$92,P244:P248/$AL244:$AL248)</f>
        <v>0</v>
      </c>
      <c r="Q249" s="681">
        <f ca="1">SUMPRODUCT(Drivers!$W$88:$W$92,Q244:Q248/$AL244:$AL248)</f>
        <v>1.49760904639333</v>
      </c>
      <c r="R249" s="681">
        <f ca="1">SUMPRODUCT(Drivers!$W$88:$W$92,R244:R248/$AL244:$AL248)</f>
        <v>0</v>
      </c>
      <c r="S249" s="681">
        <f ca="1">SUMPRODUCT(Drivers!$W$88:$W$92,S244:S248/$AL244:$AL248)</f>
        <v>0</v>
      </c>
      <c r="T249" s="681">
        <f ca="1">SUMPRODUCT(Drivers!$W$88:$W$92,T244:T248/$AL244:$AL248)</f>
        <v>0</v>
      </c>
      <c r="U249" s="681">
        <f ca="1">SUMPRODUCT(Drivers!$W$88:$W$92,U244:U248/$AL244:$AL248)</f>
        <v>3.7856162396140225</v>
      </c>
      <c r="V249" s="681">
        <f ca="1">SUMPRODUCT(Drivers!$W$88:$W$92,V244:V248/$AL244:$AL248)</f>
        <v>0</v>
      </c>
      <c r="W249" s="681">
        <f ca="1">SUMPRODUCT(Drivers!$W$88:$W$92,W244:W248/$AL244:$AL248)</f>
        <v>15.069631055833634</v>
      </c>
      <c r="X249" s="681">
        <f ca="1">SUMPRODUCT(Drivers!$W$88:$W$92,X244:X248/$AL244:$AL248)</f>
        <v>0</v>
      </c>
      <c r="Y249" s="681">
        <f ca="1">SUMPRODUCT(Drivers!$W$88:$W$92,Y244:Y248/$AL244:$AL248)</f>
        <v>0</v>
      </c>
      <c r="Z249" s="681">
        <f ca="1">SUMPRODUCT(Drivers!$W$88:$W$92,Z244:Z248/$AL244:$AL248)</f>
        <v>0</v>
      </c>
      <c r="AA249" s="681">
        <f ca="1">SUMPRODUCT(Drivers!$W$88:$W$92,AA244:AA248/$AL244:$AL248)</f>
        <v>0</v>
      </c>
      <c r="AB249" s="681">
        <f ca="1">SUMPRODUCT(Drivers!$W$88:$W$92,AB244:AB248/$AL244:$AL248)</f>
        <v>0</v>
      </c>
      <c r="AC249" s="681">
        <f ca="1">SUMPRODUCT(Drivers!$W$88:$W$92,AC244:AC248/$AL244:$AL248)</f>
        <v>0</v>
      </c>
      <c r="AD249" s="681">
        <f ca="1">SUMPRODUCT(Drivers!$W$88:$W$92,AD244:AD248/$AL244:$AL248)</f>
        <v>0</v>
      </c>
      <c r="AE249" s="681">
        <f ca="1">SUMPRODUCT(Drivers!$W$88:$W$92,AE244:AE248/$AL244:$AL248)</f>
        <v>0</v>
      </c>
      <c r="AF249" s="681">
        <f ca="1">SUMPRODUCT(Drivers!$W$88:$W$92,AF244:AF248/$AL244:$AL248)</f>
        <v>0</v>
      </c>
      <c r="AG249" s="681">
        <f ca="1">SUMPRODUCT(Drivers!$W$88:$W$92,AG244:AG248/$AL244:$AL248)</f>
        <v>0</v>
      </c>
      <c r="AH249" s="681">
        <f ca="1">SUMPRODUCT(Drivers!$W$88:$W$92,AH244:AH248/$AL244:$AL248)</f>
        <v>0</v>
      </c>
      <c r="AI249" s="681">
        <f ca="1">SUMPRODUCT(Drivers!$W$88:$W$92,AI244:AI248/$AL244:$AL248)</f>
        <v>0</v>
      </c>
      <c r="AJ249" s="681">
        <f ca="1">SUMPRODUCT(Drivers!$W$88:$W$92,AJ244:AJ248/$AL244:$AL248)</f>
        <v>0</v>
      </c>
      <c r="AK249" s="681">
        <f ca="1">SUMPRODUCT(Drivers!$W$88:$W$92,AK244:AK248/$AL244:$AL248)</f>
        <v>0</v>
      </c>
      <c r="AL249" s="681">
        <f>SUM(C249:AK249)</f>
        <v>30.844289584000002</v>
      </c>
    </row>
    <row r="250" spans="1:39" hidden="1">
      <c r="B250" s="613" t="s">
        <v>333</v>
      </c>
      <c r="AM250" s="709" t="s">
        <v>503</v>
      </c>
    </row>
    <row r="251" spans="1:39" hidden="1">
      <c r="B251" s="613" t="s">
        <v>360</v>
      </c>
      <c r="C251" s="613">
        <f ca="1">IF(C$249&gt;0,Drivers!$W88*C244/$AL244*C$232/C$249,0)</f>
        <v>0</v>
      </c>
      <c r="D251" s="613">
        <f ca="1">IF(D$249&gt;0,Drivers!$W88*D244/$AL244*D$232/D$249,0)</f>
        <v>1.045009949364279</v>
      </c>
      <c r="E251" s="613">
        <f ca="1">IF(E$249&gt;0,Drivers!$W88*E244/$AL244*E$232/E$249,0)</f>
        <v>4.8278366754351021</v>
      </c>
      <c r="F251" s="613">
        <f ca="1">IF(F$249&gt;0,Drivers!$W88*F244/$AL244*F$232/F$249,0)</f>
        <v>0</v>
      </c>
      <c r="G251" s="613">
        <f ca="1">IF(G$249&gt;0,Drivers!$W88*G244/$AL244*G$232/G$249,0)</f>
        <v>0</v>
      </c>
      <c r="H251" s="613">
        <f ca="1">IF(H$249&gt;0,Drivers!$W88*H244/$AL244*H$232/H$249,0)</f>
        <v>0</v>
      </c>
      <c r="I251" s="613">
        <f ca="1">IF(I$249&gt;0,Drivers!$W88*I244/$AL244*I$232/I$249,0)</f>
        <v>0</v>
      </c>
      <c r="J251" s="613">
        <f ca="1">IF(J$249&gt;0,Drivers!$W88*J244/$AL244*J$232/J$249,0)</f>
        <v>0</v>
      </c>
      <c r="K251" s="613">
        <f ca="1">IF(K$249&gt;0,Drivers!$W88*K244/$AL244*K$232/K$249,0)</f>
        <v>0</v>
      </c>
      <c r="L251" s="613">
        <f ca="1">IF(L$249&gt;0,Drivers!$W88*L244/$AL244*L$232/L$249,0)</f>
        <v>0</v>
      </c>
      <c r="M251" s="613">
        <f ca="1">IF(M$249&gt;0,Drivers!$W88*M244/$AL244*M$232/M$249,0)</f>
        <v>0</v>
      </c>
      <c r="N251" s="613">
        <f ca="1">IF(N$249&gt;0,Drivers!$W88*N244/$AL244*N$232/N$249,0)</f>
        <v>0</v>
      </c>
      <c r="O251" s="613">
        <f ca="1">IF(O$249&gt;0,Drivers!$W88*O244/$AL244*O$232/O$249,0)</f>
        <v>2.6771659336496914</v>
      </c>
      <c r="P251" s="613">
        <f ca="1">IF(P$249&gt;0,Drivers!$W88*P244/$AL244*P$232/P$249,0)</f>
        <v>0</v>
      </c>
      <c r="Q251" s="613">
        <f ca="1">IF(Q$249&gt;0,Drivers!$W88*Q244/$AL244*Q$232/Q$249,0)</f>
        <v>0</v>
      </c>
      <c r="R251" s="613">
        <f ca="1">IF(R$249&gt;0,Drivers!$W88*R244/$AL244*R$232/R$249,0)</f>
        <v>0</v>
      </c>
      <c r="S251" s="613">
        <f ca="1">IF(S$249&gt;0,Drivers!$W88*S244/$AL244*S$232/S$249,0)</f>
        <v>0</v>
      </c>
      <c r="T251" s="613">
        <f ca="1">IF(T$249&gt;0,Drivers!$W88*T244/$AL244*T$232/T$249,0)</f>
        <v>0</v>
      </c>
      <c r="U251" s="613">
        <f ca="1">IF(U$249&gt;0,Drivers!$W88*U244/$AL244*U$232/U$249,0)</f>
        <v>0</v>
      </c>
      <c r="V251" s="613">
        <f ca="1">IF(V$249&gt;0,Drivers!$W88*V244/$AL244*V$232/V$249,0)</f>
        <v>0</v>
      </c>
      <c r="W251" s="613">
        <f ca="1">IF(W$249&gt;0,Drivers!$W88*W244/$AL244*W$232/W$249,0)</f>
        <v>11.335939322847224</v>
      </c>
      <c r="X251" s="613">
        <f ca="1">IF(X$249&gt;0,Drivers!$W88*X244/$AL244*X$232/X$249,0)</f>
        <v>0</v>
      </c>
      <c r="Y251" s="613">
        <f ca="1">IF(Y$249&gt;0,Drivers!$W88*Y244/$AL244*Y$232/Y$249,0)</f>
        <v>0</v>
      </c>
      <c r="Z251" s="613">
        <f ca="1">IF(Z$249&gt;0,Drivers!$W88*Z244/$AL244*Z$232/Z$249,0)</f>
        <v>0</v>
      </c>
      <c r="AA251" s="613">
        <f ca="1">IF(AA$249&gt;0,Drivers!$W88*AA244/$AL244*AA$232/AA$249,0)</f>
        <v>0</v>
      </c>
      <c r="AB251" s="613">
        <f ca="1">IF(AB$249&gt;0,Drivers!$W88*AB244/$AL244*AB$232/AB$249,0)</f>
        <v>0</v>
      </c>
      <c r="AC251" s="613">
        <f ca="1">IF(AC$249&gt;0,Drivers!$W88*AC244/$AL244*AC$232/AC$249,0)</f>
        <v>0</v>
      </c>
      <c r="AD251" s="613">
        <f ca="1">IF(AD$249&gt;0,Drivers!$W88*AD244/$AL244*AD$232/AD$249,0)</f>
        <v>0</v>
      </c>
      <c r="AE251" s="613">
        <f ca="1">IF(AE$249&gt;0,Drivers!$W88*AE244/$AL244*AE$232/AE$249,0)</f>
        <v>0</v>
      </c>
      <c r="AF251" s="613">
        <f ca="1">IF(AF$249&gt;0,Drivers!$W88*AF244/$AL244*AF$232/AF$249,0)</f>
        <v>0</v>
      </c>
      <c r="AG251" s="613">
        <f ca="1">IF(AG$249&gt;0,Drivers!$W88*AG244/$AL244*AG$232/AG$249,0)</f>
        <v>0</v>
      </c>
      <c r="AH251" s="613">
        <f ca="1">IF(AH$249&gt;0,Drivers!$W88*AH244/$AL244*AH$232/AH$249,0)</f>
        <v>0</v>
      </c>
      <c r="AI251" s="613">
        <f ca="1">IF(AI$249&gt;0,Drivers!$W88*AI244/$AL244*AI$232/AI$249,0)</f>
        <v>0</v>
      </c>
      <c r="AJ251" s="613">
        <f ca="1">IF(AJ$249&gt;0,Drivers!$W88*AJ244/$AL244*AJ$232/AJ$249,0)</f>
        <v>0</v>
      </c>
      <c r="AK251" s="613">
        <f ca="1">IF(AK$249&gt;0,Drivers!$W88*AK244/$AL244*AK$232/AK$249,0)</f>
        <v>0</v>
      </c>
      <c r="AL251" s="681">
        <f>SUM(C251:AK251)</f>
        <v>19.885951881296297</v>
      </c>
      <c r="AM251" s="681">
        <f ca="1">SUMPRODUCT($D$233:$AK$233,$D251:$AK251)*$AM244/MAX(Tiny,$AL251)</f>
        <v>16.273485973266684</v>
      </c>
    </row>
    <row r="252" spans="1:39" hidden="1">
      <c r="B252" s="613" t="s">
        <v>972</v>
      </c>
      <c r="C252" s="613">
        <f ca="1">IF(C$249&gt;0,Drivers!$W89*C245/$AL245*C$232/C$249,0)</f>
        <v>0</v>
      </c>
      <c r="D252" s="613">
        <f ca="1">IF(D$249&gt;0,Drivers!$W89*D245/$AL245*D$232/D$249,0)</f>
        <v>0</v>
      </c>
      <c r="E252" s="613">
        <f ca="1">IF(E$249&gt;0,Drivers!$W89*E245/$AL245*E$232/E$249,0)</f>
        <v>0.49587577969532171</v>
      </c>
      <c r="F252" s="613">
        <f ca="1">IF(F$249&gt;0,Drivers!$W89*F245/$AL245*F$232/F$249,0)</f>
        <v>0</v>
      </c>
      <c r="G252" s="613">
        <f ca="1">IF(G$249&gt;0,Drivers!$W89*G245/$AL245*G$232/G$249,0)</f>
        <v>0</v>
      </c>
      <c r="H252" s="613">
        <f ca="1">IF(H$249&gt;0,Drivers!$W89*H245/$AL245*H$232/H$249,0)</f>
        <v>0</v>
      </c>
      <c r="I252" s="613">
        <f ca="1">IF(I$249&gt;0,Drivers!$W89*I245/$AL245*I$232/I$249,0)</f>
        <v>0</v>
      </c>
      <c r="J252" s="613">
        <f ca="1">IF(J$249&gt;0,Drivers!$W89*J245/$AL245*J$232/J$249,0)</f>
        <v>0</v>
      </c>
      <c r="K252" s="613">
        <f ca="1">IF(K$249&gt;0,Drivers!$W89*K245/$AL245*K$232/K$249,0)</f>
        <v>0</v>
      </c>
      <c r="L252" s="613">
        <f ca="1">IF(L$249&gt;0,Drivers!$W89*L245/$AL245*L$232/L$249,0)</f>
        <v>0</v>
      </c>
      <c r="M252" s="613">
        <f ca="1">IF(M$249&gt;0,Drivers!$W89*M245/$AL245*M$232/M$249,0)</f>
        <v>0</v>
      </c>
      <c r="N252" s="613">
        <f ca="1">IF(N$249&gt;0,Drivers!$W89*N245/$AL245*N$232/N$249,0)</f>
        <v>0</v>
      </c>
      <c r="O252" s="613">
        <f ca="1">IF(O$249&gt;0,Drivers!$W89*O245/$AL245*O$232/O$249,0)</f>
        <v>0</v>
      </c>
      <c r="P252" s="613">
        <f ca="1">IF(P$249&gt;0,Drivers!$W89*P245/$AL245*P$232/P$249,0)</f>
        <v>0</v>
      </c>
      <c r="Q252" s="613">
        <f ca="1">IF(Q$249&gt;0,Drivers!$W89*Q245/$AL245*Q$232/Q$249,0)</f>
        <v>1.2157404327378896</v>
      </c>
      <c r="R252" s="613">
        <f ca="1">IF(R$249&gt;0,Drivers!$W89*R245/$AL245*R$232/R$249,0)</f>
        <v>0</v>
      </c>
      <c r="S252" s="613">
        <f ca="1">IF(S$249&gt;0,Drivers!$W89*S245/$AL245*S$232/S$249,0)</f>
        <v>0</v>
      </c>
      <c r="T252" s="613">
        <f ca="1">IF(T$249&gt;0,Drivers!$W89*T245/$AL245*T$232/T$249,0)</f>
        <v>0</v>
      </c>
      <c r="U252" s="613">
        <f ca="1">IF(U$249&gt;0,Drivers!$W89*U245/$AL245*U$232/U$249,0)</f>
        <v>3.1586242126882511</v>
      </c>
      <c r="V252" s="613">
        <f ca="1">IF(V$249&gt;0,Drivers!$W89*V245/$AL245*V$232/V$249,0)</f>
        <v>0</v>
      </c>
      <c r="W252" s="613">
        <f ca="1">IF(W$249&gt;0,Drivers!$W89*W245/$AL245*W$232/W$249,0)</f>
        <v>2.2535510255044882</v>
      </c>
      <c r="X252" s="613">
        <f ca="1">IF(X$249&gt;0,Drivers!$W89*X245/$AL245*X$232/X$249,0)</f>
        <v>0</v>
      </c>
      <c r="Y252" s="613">
        <f ca="1">IF(Y$249&gt;0,Drivers!$W89*Y245/$AL245*Y$232/Y$249,0)</f>
        <v>0</v>
      </c>
      <c r="Z252" s="613">
        <f ca="1">IF(Z$249&gt;0,Drivers!$W89*Z245/$AL245*Z$232/Z$249,0)</f>
        <v>0</v>
      </c>
      <c r="AA252" s="613">
        <f ca="1">IF(AA$249&gt;0,Drivers!$W89*AA245/$AL245*AA$232/AA$249,0)</f>
        <v>0</v>
      </c>
      <c r="AB252" s="613">
        <f ca="1">IF(AB$249&gt;0,Drivers!$W89*AB245/$AL245*AB$232/AB$249,0)</f>
        <v>0</v>
      </c>
      <c r="AC252" s="613">
        <f ca="1">IF(AC$249&gt;0,Drivers!$W89*AC245/$AL245*AC$232/AC$249,0)</f>
        <v>0</v>
      </c>
      <c r="AD252" s="613">
        <f ca="1">IF(AD$249&gt;0,Drivers!$W89*AD245/$AL245*AD$232/AD$249,0)</f>
        <v>0</v>
      </c>
      <c r="AE252" s="613">
        <f ca="1">IF(AE$249&gt;0,Drivers!$W89*AE245/$AL245*AE$232/AE$249,0)</f>
        <v>0</v>
      </c>
      <c r="AF252" s="613">
        <f ca="1">IF(AF$249&gt;0,Drivers!$W89*AF245/$AL245*AF$232/AF$249,0)</f>
        <v>0</v>
      </c>
      <c r="AG252" s="613">
        <f ca="1">IF(AG$249&gt;0,Drivers!$W89*AG245/$AL245*AG$232/AG$249,0)</f>
        <v>0</v>
      </c>
      <c r="AH252" s="613">
        <f ca="1">IF(AH$249&gt;0,Drivers!$W89*AH245/$AL245*AH$232/AH$249,0)</f>
        <v>0</v>
      </c>
      <c r="AI252" s="613">
        <f ca="1">IF(AI$249&gt;0,Drivers!$W89*AI245/$AL245*AI$232/AI$249,0)</f>
        <v>0</v>
      </c>
      <c r="AJ252" s="613">
        <f ca="1">IF(AJ$249&gt;0,Drivers!$W89*AJ245/$AL245*AJ$232/AJ$249,0)</f>
        <v>0</v>
      </c>
      <c r="AK252" s="613">
        <f ca="1">IF(AK$249&gt;0,Drivers!$W89*AK245/$AL245*AK$232/AK$249,0)</f>
        <v>0</v>
      </c>
      <c r="AL252" s="681">
        <f>SUM(C252:AK252)</f>
        <v>7.1237914506259505</v>
      </c>
      <c r="AM252" s="681">
        <f ca="1">SUMPRODUCT($D$233:$AK$233,$D252:$AK252)*$AM245/MAX(Tiny,$AL252)</f>
        <v>18.322424223491957</v>
      </c>
    </row>
    <row r="253" spans="1:39" hidden="1">
      <c r="B253" s="613" t="s">
        <v>358</v>
      </c>
      <c r="C253" s="613">
        <f ca="1">IF(C$249&gt;0,Drivers!$W90*C246/$AL246*C$232/C$249,0)</f>
        <v>0</v>
      </c>
      <c r="D253" s="613">
        <f ca="1">IF(D$249&gt;0,Drivers!$W90*D246/$AL246*D$232/D$249,0)</f>
        <v>0.32721170240026687</v>
      </c>
      <c r="E253" s="613">
        <f ca="1">IF(E$249&gt;0,Drivers!$W90*E246/$AL246*E$232/E$249,0)</f>
        <v>0</v>
      </c>
      <c r="F253" s="613">
        <f ca="1">IF(F$249&gt;0,Drivers!$W90*F246/$AL246*F$232/F$249,0)</f>
        <v>0</v>
      </c>
      <c r="G253" s="613">
        <f ca="1">IF(G$249&gt;0,Drivers!$W90*G246/$AL246*G$232/G$249,0)</f>
        <v>0</v>
      </c>
      <c r="H253" s="613">
        <f ca="1">IF(H$249&gt;0,Drivers!$W90*H246/$AL246*H$232/H$249,0)</f>
        <v>0</v>
      </c>
      <c r="I253" s="613">
        <f ca="1">IF(I$249&gt;0,Drivers!$W90*I246/$AL246*I$232/I$249,0)</f>
        <v>0</v>
      </c>
      <c r="J253" s="613">
        <f ca="1">IF(J$249&gt;0,Drivers!$W90*J246/$AL246*J$232/J$249,0)</f>
        <v>0</v>
      </c>
      <c r="K253" s="613">
        <f ca="1">IF(K$249&gt;0,Drivers!$W90*K246/$AL246*K$232/K$249,0)</f>
        <v>0</v>
      </c>
      <c r="L253" s="613">
        <f ca="1">IF(L$249&gt;0,Drivers!$W90*L246/$AL246*L$232/L$249,0)</f>
        <v>0</v>
      </c>
      <c r="M253" s="613">
        <f ca="1">IF(M$249&gt;0,Drivers!$W90*M246/$AL246*M$232/M$249,0)</f>
        <v>0</v>
      </c>
      <c r="N253" s="613">
        <f ca="1">IF(N$249&gt;0,Drivers!$W90*N246/$AL246*N$232/N$249,0)</f>
        <v>0</v>
      </c>
      <c r="O253" s="613">
        <f ca="1">IF(O$249&gt;0,Drivers!$W90*O246/$AL246*O$232/O$249,0)</f>
        <v>0</v>
      </c>
      <c r="P253" s="613">
        <f ca="1">IF(P$249&gt;0,Drivers!$W90*P246/$AL246*P$232/P$249,0)</f>
        <v>0</v>
      </c>
      <c r="Q253" s="613">
        <f ca="1">IF(Q$249&gt;0,Drivers!$W90*Q246/$AL246*Q$232/Q$249,0)</f>
        <v>0.42763854442227828</v>
      </c>
      <c r="R253" s="613">
        <f ca="1">IF(R$249&gt;0,Drivers!$W90*R246/$AL246*R$232/R$249,0)</f>
        <v>0</v>
      </c>
      <c r="S253" s="613">
        <f ca="1">IF(S$249&gt;0,Drivers!$W90*S246/$AL246*S$232/S$249,0)</f>
        <v>0</v>
      </c>
      <c r="T253" s="613">
        <f ca="1">IF(T$249&gt;0,Drivers!$W90*T246/$AL246*T$232/T$249,0)</f>
        <v>0</v>
      </c>
      <c r="U253" s="613">
        <f ca="1">IF(U$249&gt;0,Drivers!$W90*U246/$AL246*U$232/U$249,0)</f>
        <v>1.1110508660545519</v>
      </c>
      <c r="V253" s="613">
        <f ca="1">IF(V$249&gt;0,Drivers!$W90*V246/$AL246*V$232/V$249,0)</f>
        <v>0</v>
      </c>
      <c r="W253" s="613">
        <f ca="1">IF(W$249&gt;0,Drivers!$W90*W246/$AL246*W$232/W$249,0)</f>
        <v>0</v>
      </c>
      <c r="X253" s="613">
        <f ca="1">IF(X$249&gt;0,Drivers!$W90*X246/$AL246*X$232/X$249,0)</f>
        <v>0</v>
      </c>
      <c r="Y253" s="613">
        <f ca="1">IF(Y$249&gt;0,Drivers!$W90*Y246/$AL246*Y$232/Y$249,0)</f>
        <v>0</v>
      </c>
      <c r="Z253" s="613">
        <f ca="1">IF(Z$249&gt;0,Drivers!$W90*Z246/$AL246*Z$232/Z$249,0)</f>
        <v>0</v>
      </c>
      <c r="AA253" s="613">
        <f ca="1">IF(AA$249&gt;0,Drivers!$W90*AA246/$AL246*AA$232/AA$249,0)</f>
        <v>0</v>
      </c>
      <c r="AB253" s="613">
        <f ca="1">IF(AB$249&gt;0,Drivers!$W90*AB246/$AL246*AB$232/AB$249,0)</f>
        <v>0</v>
      </c>
      <c r="AC253" s="613">
        <f ca="1">IF(AC$249&gt;0,Drivers!$W90*AC246/$AL246*AC$232/AC$249,0)</f>
        <v>0</v>
      </c>
      <c r="AD253" s="613">
        <f ca="1">IF(AD$249&gt;0,Drivers!$W90*AD246/$AL246*AD$232/AD$249,0)</f>
        <v>0</v>
      </c>
      <c r="AE253" s="613">
        <f ca="1">IF(AE$249&gt;0,Drivers!$W90*AE246/$AL246*AE$232/AE$249,0)</f>
        <v>0</v>
      </c>
      <c r="AF253" s="613">
        <f ca="1">IF(AF$249&gt;0,Drivers!$W90*AF246/$AL246*AF$232/AF$249,0)</f>
        <v>0</v>
      </c>
      <c r="AG253" s="613">
        <f ca="1">IF(AG$249&gt;0,Drivers!$W90*AG246/$AL246*AG$232/AG$249,0)</f>
        <v>0</v>
      </c>
      <c r="AH253" s="613">
        <f ca="1">IF(AH$249&gt;0,Drivers!$W90*AH246/$AL246*AH$232/AH$249,0)</f>
        <v>0</v>
      </c>
      <c r="AI253" s="613">
        <f ca="1">IF(AI$249&gt;0,Drivers!$W90*AI246/$AL246*AI$232/AI$249,0)</f>
        <v>0</v>
      </c>
      <c r="AJ253" s="613">
        <f ca="1">IF(AJ$249&gt;0,Drivers!$W90*AJ246/$AL246*AJ$232/AJ$249,0)</f>
        <v>0</v>
      </c>
      <c r="AK253" s="613">
        <f ca="1">IF(AK$249&gt;0,Drivers!$W90*AK246/$AL246*AK$232/AK$249,0)</f>
        <v>0</v>
      </c>
      <c r="AL253" s="681">
        <f>SUM(C253:AK253)</f>
        <v>1.865901112877097</v>
      </c>
      <c r="AM253" s="681">
        <f ca="1">SUMPRODUCT($D$233:$AK$233,$D253:$AK253)*$AM246/MAX(Tiny,$AL253)</f>
        <v>60.539893189649334</v>
      </c>
    </row>
    <row r="254" spans="1:39" hidden="1">
      <c r="B254" s="613" t="s">
        <v>356</v>
      </c>
      <c r="C254" s="613">
        <f ca="1">IF(C$249&gt;0,Drivers!$W91*C247/$AL247*C$232/C$249,0)</f>
        <v>0</v>
      </c>
      <c r="D254" s="613">
        <f ca="1">IF(D$249&gt;0,Drivers!$W91*D247/$AL247*D$232/D$249,0)</f>
        <v>0</v>
      </c>
      <c r="E254" s="613">
        <f ca="1">IF(E$249&gt;0,Drivers!$W91*E247/$AL247*E$232/E$249,0)</f>
        <v>0</v>
      </c>
      <c r="F254" s="613">
        <f ca="1">IF(F$249&gt;0,Drivers!$W91*F247/$AL247*F$232/F$249,0)</f>
        <v>0</v>
      </c>
      <c r="G254" s="613">
        <f ca="1">IF(G$249&gt;0,Drivers!$W91*G247/$AL247*G$232/G$249,0)</f>
        <v>0</v>
      </c>
      <c r="H254" s="613">
        <f ca="1">IF(H$249&gt;0,Drivers!$W91*H247/$AL247*H$232/H$249,0)</f>
        <v>0</v>
      </c>
      <c r="I254" s="613">
        <f ca="1">IF(I$249&gt;0,Drivers!$W91*I247/$AL247*I$232/I$249,0)</f>
        <v>0</v>
      </c>
      <c r="J254" s="613">
        <f ca="1">IF(J$249&gt;0,Drivers!$W91*J247/$AL247*J$232/J$249,0)</f>
        <v>0</v>
      </c>
      <c r="K254" s="613">
        <f ca="1">IF(K$249&gt;0,Drivers!$W91*K247/$AL247*K$232/K$249,0)</f>
        <v>0</v>
      </c>
      <c r="L254" s="613">
        <f ca="1">IF(L$249&gt;0,Drivers!$W91*L247/$AL247*L$232/L$249,0)</f>
        <v>0</v>
      </c>
      <c r="M254" s="613">
        <f ca="1">IF(M$249&gt;0,Drivers!$W91*M247/$AL247*M$232/M$249,0)</f>
        <v>0</v>
      </c>
      <c r="N254" s="613">
        <f ca="1">IF(N$249&gt;0,Drivers!$W91*N247/$AL247*N$232/N$249,0)</f>
        <v>0</v>
      </c>
      <c r="O254" s="613">
        <f ca="1">IF(O$249&gt;0,Drivers!$W91*O247/$AL247*O$232/O$249,0)</f>
        <v>0</v>
      </c>
      <c r="P254" s="613">
        <f ca="1">IF(P$249&gt;0,Drivers!$W91*P247/$AL247*P$232/P$249,0)</f>
        <v>0</v>
      </c>
      <c r="Q254" s="613">
        <f ca="1">IF(Q$249&gt;0,Drivers!$W91*Q247/$AL247*Q$232/Q$249,0)</f>
        <v>0</v>
      </c>
      <c r="R254" s="613">
        <f ca="1">IF(R$249&gt;0,Drivers!$W91*R247/$AL247*R$232/R$249,0)</f>
        <v>0</v>
      </c>
      <c r="S254" s="613">
        <f ca="1">IF(S$249&gt;0,Drivers!$W91*S247/$AL247*S$232/S$249,0)</f>
        <v>0</v>
      </c>
      <c r="T254" s="613">
        <f ca="1">IF(T$249&gt;0,Drivers!$W91*T247/$AL247*T$232/T$249,0)</f>
        <v>0</v>
      </c>
      <c r="U254" s="613">
        <f ca="1">IF(U$249&gt;0,Drivers!$W91*U247/$AL247*U$232/U$249,0)</f>
        <v>0</v>
      </c>
      <c r="V254" s="613">
        <f ca="1">IF(V$249&gt;0,Drivers!$W91*V247/$AL247*V$232/V$249,0)</f>
        <v>0</v>
      </c>
      <c r="W254" s="613">
        <f ca="1">IF(W$249&gt;0,Drivers!$W91*W247/$AL247*W$232/W$249,0)</f>
        <v>0</v>
      </c>
      <c r="X254" s="613">
        <f ca="1">IF(X$249&gt;0,Drivers!$W91*X247/$AL247*X$232/X$249,0)</f>
        <v>0</v>
      </c>
      <c r="Y254" s="613">
        <f ca="1">IF(Y$249&gt;0,Drivers!$W91*Y247/$AL247*Y$232/Y$249,0)</f>
        <v>0</v>
      </c>
      <c r="Z254" s="613">
        <f ca="1">IF(Z$249&gt;0,Drivers!$W91*Z247/$AL247*Z$232/Z$249,0)</f>
        <v>0</v>
      </c>
      <c r="AA254" s="613">
        <f ca="1">IF(AA$249&gt;0,Drivers!$W91*AA247/$AL247*AA$232/AA$249,0)</f>
        <v>0</v>
      </c>
      <c r="AB254" s="613">
        <f ca="1">IF(AB$249&gt;0,Drivers!$W91*AB247/$AL247*AB$232/AB$249,0)</f>
        <v>0</v>
      </c>
      <c r="AC254" s="613">
        <f ca="1">IF(AC$249&gt;0,Drivers!$W91*AC247/$AL247*AC$232/AC$249,0)</f>
        <v>0</v>
      </c>
      <c r="AD254" s="613">
        <f ca="1">IF(AD$249&gt;0,Drivers!$W91*AD247/$AL247*AD$232/AD$249,0)</f>
        <v>0</v>
      </c>
      <c r="AE254" s="613">
        <f ca="1">IF(AE$249&gt;0,Drivers!$W91*AE247/$AL247*AE$232/AE$249,0)</f>
        <v>0</v>
      </c>
      <c r="AF254" s="613">
        <f ca="1">IF(AF$249&gt;0,Drivers!$W91*AF247/$AL247*AF$232/AF$249,0)</f>
        <v>0</v>
      </c>
      <c r="AG254" s="613">
        <f ca="1">IF(AG$249&gt;0,Drivers!$W91*AG247/$AL247*AG$232/AG$249,0)</f>
        <v>0</v>
      </c>
      <c r="AH254" s="613">
        <f ca="1">IF(AH$249&gt;0,Drivers!$W91*AH247/$AL247*AH$232/AH$249,0)</f>
        <v>0</v>
      </c>
      <c r="AI254" s="613">
        <f ca="1">IF(AI$249&gt;0,Drivers!$W91*AI247/$AL247*AI$232/AI$249,0)</f>
        <v>0</v>
      </c>
      <c r="AJ254" s="613">
        <f ca="1">IF(AJ$249&gt;0,Drivers!$W91*AJ247/$AL247*AJ$232/AJ$249,0)</f>
        <v>0</v>
      </c>
      <c r="AK254" s="613">
        <f ca="1">IF(AK$249&gt;0,Drivers!$W91*AK247/$AL247*AK$232/AK$249,0)</f>
        <v>0</v>
      </c>
      <c r="AL254" s="681">
        <f>SUM(C254:AK254)</f>
        <v>0</v>
      </c>
      <c r="AM254" s="681">
        <f ca="1">SUMPRODUCT($D$233:$AK$233,$D254:$AK254)*$AM247/MAX(Tiny,$AL254)</f>
        <v>0</v>
      </c>
    </row>
    <row r="255" spans="1:39" hidden="1">
      <c r="B255" s="613" t="s">
        <v>536</v>
      </c>
      <c r="C255" s="613">
        <f ca="1">IF(C$249&gt;0,Drivers!$W92*C248/$AL248*C$232/C$249,0)</f>
        <v>0</v>
      </c>
      <c r="D255" s="613">
        <f ca="1">IF(D$249&gt;0,Drivers!$W92*D248/$AL248*D$232/D$249,0)</f>
        <v>7.077740235453934E-3</v>
      </c>
      <c r="E255" s="613">
        <f ca="1">IF(E$249&gt;0,Drivers!$W92*E248/$AL248*E$232/E$249,0)</f>
        <v>0.19629026886957565</v>
      </c>
      <c r="F255" s="613">
        <f ca="1">IF(F$249&gt;0,Drivers!$W92*F248/$AL248*F$232/F$249,0)</f>
        <v>0</v>
      </c>
      <c r="G255" s="613">
        <f ca="1">IF(G$249&gt;0,Drivers!$W92*G248/$AL248*G$232/G$249,0)</f>
        <v>0</v>
      </c>
      <c r="H255" s="613">
        <f ca="1">IF(H$249&gt;0,Drivers!$W92*H248/$AL248*H$232/H$249,0)</f>
        <v>0</v>
      </c>
      <c r="I255" s="613">
        <f ca="1">IF(I$249&gt;0,Drivers!$W92*I248/$AL248*I$232/I$249,0)</f>
        <v>0</v>
      </c>
      <c r="J255" s="613">
        <f ca="1">IF(J$249&gt;0,Drivers!$W92*J248/$AL248*J$232/J$249,0)</f>
        <v>0</v>
      </c>
      <c r="K255" s="613">
        <f ca="1">IF(K$249&gt;0,Drivers!$W92*K248/$AL248*K$232/K$249,0)</f>
        <v>0</v>
      </c>
      <c r="L255" s="613">
        <f ca="1">IF(L$249&gt;0,Drivers!$W92*L248/$AL248*L$232/L$249,0)</f>
        <v>0</v>
      </c>
      <c r="M255" s="613">
        <f ca="1">IF(M$249&gt;0,Drivers!$W92*M248/$AL248*M$232/M$249,0)</f>
        <v>0</v>
      </c>
      <c r="N255" s="613">
        <f ca="1">IF(N$249&gt;0,Drivers!$W92*N248/$AL248*N$232/N$249,0)</f>
        <v>0</v>
      </c>
      <c r="O255" s="613">
        <f ca="1">IF(O$249&gt;0,Drivers!$W92*O248/$AL248*O$232/O$249,0)</f>
        <v>0.29282438235030889</v>
      </c>
      <c r="P255" s="613">
        <f ca="1">IF(P$249&gt;0,Drivers!$W92*P248/$AL248*P$232/P$249,0)</f>
        <v>0</v>
      </c>
      <c r="Q255" s="613">
        <f ca="1">IF(Q$249&gt;0,Drivers!$W92*Q248/$AL248*Q$232/Q$249,0)</f>
        <v>3.6616390839832029E-2</v>
      </c>
      <c r="R255" s="613">
        <f ca="1">IF(R$249&gt;0,Drivers!$W92*R248/$AL248*R$232/R$249,0)</f>
        <v>0</v>
      </c>
      <c r="S255" s="613">
        <f ca="1">IF(S$249&gt;0,Drivers!$W92*S248/$AL248*S$232/S$249,0)</f>
        <v>0</v>
      </c>
      <c r="T255" s="613">
        <f ca="1">IF(T$249&gt;0,Drivers!$W92*T248/$AL248*T$232/T$249,0)</f>
        <v>0</v>
      </c>
      <c r="U255" s="613">
        <f ca="1">IF(U$249&gt;0,Drivers!$W92*U248/$AL248*U$232/U$249,0)</f>
        <v>1.2503276452571976</v>
      </c>
      <c r="V255" s="613">
        <f ca="1">IF(V$249&gt;0,Drivers!$W92*V248/$AL248*V$232/V$249,0)</f>
        <v>0</v>
      </c>
      <c r="W255" s="613">
        <f ca="1">IF(W$249&gt;0,Drivers!$W92*W248/$AL248*W$232/W$249,0)</f>
        <v>0.1855087116482893</v>
      </c>
      <c r="X255" s="613">
        <f ca="1">IF(X$249&gt;0,Drivers!$W92*X248/$AL248*X$232/X$249,0)</f>
        <v>0</v>
      </c>
      <c r="Y255" s="613">
        <f ca="1">IF(Y$249&gt;0,Drivers!$W92*Y248/$AL248*Y$232/Y$249,0)</f>
        <v>0</v>
      </c>
      <c r="Z255" s="613">
        <f ca="1">IF(Z$249&gt;0,Drivers!$W92*Z248/$AL248*Z$232/Z$249,0)</f>
        <v>0</v>
      </c>
      <c r="AA255" s="613">
        <f ca="1">IF(AA$249&gt;0,Drivers!$W92*AA248/$AL248*AA$232/AA$249,0)</f>
        <v>0</v>
      </c>
      <c r="AB255" s="613">
        <f ca="1">IF(AB$249&gt;0,Drivers!$W92*AB248/$AL248*AB$232/AB$249,0)</f>
        <v>0</v>
      </c>
      <c r="AC255" s="613">
        <f ca="1">IF(AC$249&gt;0,Drivers!$W92*AC248/$AL248*AC$232/AC$249,0)</f>
        <v>0</v>
      </c>
      <c r="AD255" s="613">
        <f ca="1">IF(AD$249&gt;0,Drivers!$W92*AD248/$AL248*AD$232/AD$249,0)</f>
        <v>0</v>
      </c>
      <c r="AE255" s="613">
        <f ca="1">IF(AE$249&gt;0,Drivers!$W92*AE248/$AL248*AE$232/AE$249,0)</f>
        <v>0</v>
      </c>
      <c r="AF255" s="613">
        <f ca="1">IF(AF$249&gt;0,Drivers!$W92*AF248/$AL248*AF$232/AF$249,0)</f>
        <v>0</v>
      </c>
      <c r="AG255" s="613">
        <f ca="1">IF(AG$249&gt;0,Drivers!$W92*AG248/$AL248*AG$232/AG$249,0)</f>
        <v>0</v>
      </c>
      <c r="AH255" s="613">
        <f ca="1">IF(AH$249&gt;0,Drivers!$W92*AH248/$AL248*AH$232/AH$249,0)</f>
        <v>0</v>
      </c>
      <c r="AI255" s="613">
        <f ca="1">IF(AI$249&gt;0,Drivers!$W92*AI248/$AL248*AI$232/AI$249,0)</f>
        <v>0</v>
      </c>
      <c r="AJ255" s="613">
        <f ca="1">IF(AJ$249&gt;0,Drivers!$W92*AJ248/$AL248*AJ$232/AJ$249,0)</f>
        <v>0</v>
      </c>
      <c r="AK255" s="613">
        <f ca="1">IF(AK$249&gt;0,Drivers!$W92*AK248/$AL248*AK$232/AK$249,0)</f>
        <v>0</v>
      </c>
      <c r="AL255" s="681">
        <f>SUM(C255:AK255)</f>
        <v>1.9686451392006572</v>
      </c>
      <c r="AM255" s="681">
        <f ca="1">SUMPRODUCT($D$233:$AK$233,$D255:$AK255)*$AM248/MAX(Tiny,$AL255)</f>
        <v>17.490528445918375</v>
      </c>
    </row>
    <row r="256" spans="1:39" hidden="1">
      <c r="C256" s="613">
        <f t="shared" ref="C256:AL256" si="85">SUM(C251:C255)</f>
        <v>0</v>
      </c>
      <c r="D256" s="613">
        <f t="shared" si="85"/>
        <v>1.3792993920000001</v>
      </c>
      <c r="E256" s="613">
        <f t="shared" si="85"/>
        <v>5.5200027239999994</v>
      </c>
      <c r="F256" s="613">
        <f t="shared" si="85"/>
        <v>0</v>
      </c>
      <c r="G256" s="613">
        <f t="shared" si="85"/>
        <v>0</v>
      </c>
      <c r="H256" s="613">
        <f t="shared" si="85"/>
        <v>0</v>
      </c>
      <c r="I256" s="613">
        <f t="shared" si="85"/>
        <v>0</v>
      </c>
      <c r="J256" s="613">
        <f t="shared" si="85"/>
        <v>0</v>
      </c>
      <c r="K256" s="613">
        <f t="shared" si="85"/>
        <v>0</v>
      </c>
      <c r="L256" s="613">
        <f t="shared" si="85"/>
        <v>0</v>
      </c>
      <c r="M256" s="613">
        <f t="shared" si="85"/>
        <v>0</v>
      </c>
      <c r="N256" s="613">
        <f t="shared" si="85"/>
        <v>0</v>
      </c>
      <c r="O256" s="613">
        <f t="shared" si="85"/>
        <v>2.9699903160000001</v>
      </c>
      <c r="P256" s="613">
        <f t="shared" si="85"/>
        <v>0</v>
      </c>
      <c r="Q256" s="613">
        <f t="shared" si="85"/>
        <v>1.6799953679999999</v>
      </c>
      <c r="R256" s="613">
        <f t="shared" si="85"/>
        <v>0</v>
      </c>
      <c r="S256" s="613">
        <f t="shared" si="85"/>
        <v>0</v>
      </c>
      <c r="T256" s="613">
        <f t="shared" si="85"/>
        <v>0</v>
      </c>
      <c r="U256" s="613">
        <f t="shared" si="85"/>
        <v>5.5200027240000002</v>
      </c>
      <c r="V256" s="613">
        <f t="shared" si="85"/>
        <v>0</v>
      </c>
      <c r="W256" s="613">
        <f t="shared" si="85"/>
        <v>13.774999060000003</v>
      </c>
      <c r="X256" s="613">
        <f t="shared" si="85"/>
        <v>0</v>
      </c>
      <c r="Y256" s="613">
        <f t="shared" si="85"/>
        <v>0</v>
      </c>
      <c r="Z256" s="613">
        <f t="shared" si="85"/>
        <v>0</v>
      </c>
      <c r="AA256" s="613">
        <f t="shared" si="85"/>
        <v>0</v>
      </c>
      <c r="AB256" s="613">
        <f t="shared" si="85"/>
        <v>0</v>
      </c>
      <c r="AC256" s="613">
        <f t="shared" si="85"/>
        <v>0</v>
      </c>
      <c r="AD256" s="613">
        <f t="shared" si="85"/>
        <v>0</v>
      </c>
      <c r="AE256" s="613">
        <f t="shared" si="85"/>
        <v>0</v>
      </c>
      <c r="AF256" s="613">
        <f t="shared" si="85"/>
        <v>0</v>
      </c>
      <c r="AG256" s="613">
        <f t="shared" si="85"/>
        <v>0</v>
      </c>
      <c r="AH256" s="613">
        <f t="shared" si="85"/>
        <v>0</v>
      </c>
      <c r="AI256" s="613">
        <f t="shared" si="85"/>
        <v>0</v>
      </c>
      <c r="AJ256" s="613">
        <f t="shared" si="85"/>
        <v>0</v>
      </c>
      <c r="AK256" s="613">
        <f t="shared" si="85"/>
        <v>0</v>
      </c>
      <c r="AL256" s="681">
        <f t="shared" si="85"/>
        <v>30.844289584000002</v>
      </c>
    </row>
    <row r="257" spans="2:37" hidden="1">
      <c r="B257" s="613" t="s">
        <v>184</v>
      </c>
      <c r="D257" s="657">
        <f t="shared" ref="D257:AK257" ca="1" si="86">(SUMPRODUCT(D251:D255,$AM$244:$AM$248)+Tiny)*D$233/(D$256+Tiny)</f>
        <v>21.585139166446091</v>
      </c>
      <c r="E257" s="655">
        <f t="shared" ca="1" si="86"/>
        <v>15.223122574092649</v>
      </c>
      <c r="F257" s="655">
        <f t="shared" ca="1" si="86"/>
        <v>64.2</v>
      </c>
      <c r="G257" s="655">
        <f t="shared" ca="1" si="86"/>
        <v>94.6</v>
      </c>
      <c r="H257" s="655">
        <f t="shared" ca="1" si="86"/>
        <v>104.5</v>
      </c>
      <c r="I257" s="655">
        <f t="shared" ca="1" si="86"/>
        <v>104.86</v>
      </c>
      <c r="J257" s="655">
        <f t="shared" ca="1" si="86"/>
        <v>104.86</v>
      </c>
      <c r="K257" s="655">
        <f t="shared" ca="1" si="86"/>
        <v>44.4</v>
      </c>
      <c r="L257" s="655">
        <f t="shared" ca="1" si="86"/>
        <v>0</v>
      </c>
      <c r="M257" s="655">
        <f t="shared" ca="1" si="86"/>
        <v>0</v>
      </c>
      <c r="N257" s="655">
        <f t="shared" ca="1" si="86"/>
        <v>44.4</v>
      </c>
      <c r="O257" s="655">
        <f t="shared" ca="1" si="86"/>
        <v>13.880790383135036</v>
      </c>
      <c r="P257" s="655">
        <f t="shared" ca="1" si="86"/>
        <v>73.3</v>
      </c>
      <c r="Q257" s="655">
        <f t="shared" ca="1" si="86"/>
        <v>31.171183812454071</v>
      </c>
      <c r="R257" s="655">
        <f t="shared" ca="1" si="86"/>
        <v>74.099999999999994</v>
      </c>
      <c r="S257" s="655">
        <f t="shared" ca="1" si="86"/>
        <v>71.900000000000006</v>
      </c>
      <c r="T257" s="655">
        <f t="shared" ca="1" si="86"/>
        <v>69.3</v>
      </c>
      <c r="U257" s="655">
        <f t="shared" ca="1" si="86"/>
        <v>27.177172648891982</v>
      </c>
      <c r="V257" s="655">
        <f t="shared" ca="1" si="86"/>
        <v>61.600000000000009</v>
      </c>
      <c r="W257" s="655">
        <f t="shared" ca="1" si="86"/>
        <v>17.721788091826639</v>
      </c>
      <c r="X257" s="655">
        <f t="shared" ca="1" si="86"/>
        <v>97.5</v>
      </c>
      <c r="Y257" s="655">
        <f t="shared" ca="1" si="86"/>
        <v>0</v>
      </c>
      <c r="Z257" s="655">
        <f t="shared" ca="1" si="86"/>
        <v>0</v>
      </c>
      <c r="AA257" s="655">
        <f t="shared" ca="1" si="86"/>
        <v>0</v>
      </c>
      <c r="AB257" s="655">
        <f t="shared" ca="1" si="86"/>
        <v>0</v>
      </c>
      <c r="AC257" s="655">
        <f t="shared" ca="1" si="86"/>
        <v>27.51</v>
      </c>
      <c r="AD257" s="655">
        <f t="shared" ca="1" si="86"/>
        <v>85.85</v>
      </c>
      <c r="AE257" s="655">
        <f t="shared" ca="1" si="86"/>
        <v>0</v>
      </c>
      <c r="AF257" s="655">
        <f t="shared" ca="1" si="86"/>
        <v>0</v>
      </c>
      <c r="AG257" s="655">
        <f t="shared" ca="1" si="86"/>
        <v>71.5</v>
      </c>
      <c r="AH257" s="655">
        <f t="shared" ca="1" si="86"/>
        <v>73.3</v>
      </c>
      <c r="AI257" s="655">
        <f t="shared" ca="1" si="86"/>
        <v>37.049999999999997</v>
      </c>
      <c r="AJ257" s="655">
        <f t="shared" ca="1" si="86"/>
        <v>0</v>
      </c>
      <c r="AK257" s="658">
        <f t="shared" ca="1" si="86"/>
        <v>80.7</v>
      </c>
    </row>
    <row r="258" spans="2:37" hidden="1"/>
    <row r="259" spans="2:37" ht="18" hidden="1">
      <c r="B259" s="728" t="s">
        <v>381</v>
      </c>
      <c r="C259" s="729"/>
      <c r="D259" s="708"/>
      <c r="E259" s="729"/>
      <c r="F259" s="708"/>
      <c r="G259" s="708"/>
      <c r="V259" s="728" t="s">
        <v>1088</v>
      </c>
      <c r="W259" s="728"/>
      <c r="X259" s="728"/>
      <c r="Y259" s="728"/>
    </row>
    <row r="260" spans="2:37" hidden="1">
      <c r="C260" s="613" t="s">
        <v>905</v>
      </c>
      <c r="D260" s="613" t="s">
        <v>906</v>
      </c>
      <c r="E260" s="613" t="s">
        <v>907</v>
      </c>
      <c r="F260" s="613" t="s">
        <v>908</v>
      </c>
      <c r="G260" s="613" t="s">
        <v>909</v>
      </c>
      <c r="H260" s="613" t="s">
        <v>910</v>
      </c>
      <c r="I260" s="613" t="s">
        <v>911</v>
      </c>
      <c r="J260" s="613" t="s">
        <v>912</v>
      </c>
      <c r="K260" s="613" t="s">
        <v>1150</v>
      </c>
      <c r="L260" s="613" t="s">
        <v>913</v>
      </c>
      <c r="M260" s="613" t="s">
        <v>826</v>
      </c>
      <c r="N260" s="613" t="s">
        <v>914</v>
      </c>
      <c r="O260" s="613" t="s">
        <v>915</v>
      </c>
      <c r="P260" s="613" t="s">
        <v>916</v>
      </c>
      <c r="Q260" s="613" t="s">
        <v>917</v>
      </c>
      <c r="R260" s="613" t="s">
        <v>950</v>
      </c>
      <c r="S260" s="613" t="s">
        <v>946</v>
      </c>
      <c r="T260" s="613" t="s">
        <v>888</v>
      </c>
      <c r="W260" s="613" t="s">
        <v>749</v>
      </c>
      <c r="X260" s="613" t="s">
        <v>1089</v>
      </c>
      <c r="Y260" s="613" t="s">
        <v>1090</v>
      </c>
    </row>
    <row r="261" spans="2:37" hidden="1">
      <c r="B261" s="613" t="s">
        <v>568</v>
      </c>
      <c r="C261" s="738">
        <f t="shared" ref="C261:L265" si="87">SUMIF($A$172:$A$206,$B261,C$172:C$206)</f>
        <v>11.722855029052056</v>
      </c>
      <c r="D261" s="738">
        <f t="shared" si="87"/>
        <v>2.0708122279999999</v>
      </c>
      <c r="E261" s="738">
        <f t="shared" si="87"/>
        <v>5.1199830039999989</v>
      </c>
      <c r="F261" s="738">
        <f t="shared" si="87"/>
        <v>0</v>
      </c>
      <c r="G261" s="738">
        <f t="shared" si="87"/>
        <v>0</v>
      </c>
      <c r="H261" s="738">
        <f t="shared" si="87"/>
        <v>8.0868042000000013</v>
      </c>
      <c r="I261" s="738">
        <f t="shared" si="87"/>
        <v>3.8544936840000004</v>
      </c>
      <c r="J261" s="738">
        <f t="shared" si="87"/>
        <v>2.1555739800000002</v>
      </c>
      <c r="K261" s="738">
        <f t="shared" si="87"/>
        <v>0</v>
      </c>
      <c r="L261" s="738">
        <f t="shared" si="87"/>
        <v>2.2660056760000007</v>
      </c>
      <c r="M261" s="738">
        <f t="shared" ref="M261:T265" si="88">SUMIF($A$172:$A$206,$B261,M$172:M$206)</f>
        <v>0.16940276000000007</v>
      </c>
      <c r="N261" s="738">
        <f t="shared" si="88"/>
        <v>0</v>
      </c>
      <c r="O261" s="738">
        <f t="shared" si="88"/>
        <v>0</v>
      </c>
      <c r="P261" s="738">
        <f t="shared" si="88"/>
        <v>0</v>
      </c>
      <c r="Q261" s="738">
        <f t="shared" si="88"/>
        <v>0</v>
      </c>
      <c r="R261" s="738">
        <f t="shared" si="88"/>
        <v>0</v>
      </c>
      <c r="S261" s="738">
        <f t="shared" si="88"/>
        <v>1.8294829327928601</v>
      </c>
      <c r="T261" s="738">
        <f t="shared" si="88"/>
        <v>37.275413493844916</v>
      </c>
      <c r="V261" s="613" t="s">
        <v>568</v>
      </c>
      <c r="W261" s="651">
        <f ca="1">IEAData!AD12</f>
        <v>1.4910000000000001</v>
      </c>
      <c r="X261" s="651">
        <f ca="1">IEAData!BJ34</f>
        <v>1.4910285902261811</v>
      </c>
      <c r="Y261" s="651">
        <f>S261*U$47</f>
        <v>1.4910285902261808</v>
      </c>
    </row>
    <row r="262" spans="2:37" hidden="1">
      <c r="B262" s="613" t="s">
        <v>879</v>
      </c>
      <c r="C262" s="738">
        <f t="shared" si="87"/>
        <v>3.2241311972483473</v>
      </c>
      <c r="D262" s="738">
        <f t="shared" si="87"/>
        <v>1.554742512</v>
      </c>
      <c r="E262" s="738">
        <f t="shared" si="87"/>
        <v>0.78298156799999996</v>
      </c>
      <c r="F262" s="738">
        <f t="shared" si="87"/>
        <v>0</v>
      </c>
      <c r="G262" s="738">
        <f t="shared" si="87"/>
        <v>3.3940086960000011</v>
      </c>
      <c r="H262" s="738">
        <f t="shared" si="87"/>
        <v>0.41018079599999996</v>
      </c>
      <c r="I262" s="738">
        <f t="shared" si="87"/>
        <v>0</v>
      </c>
      <c r="J262" s="738">
        <f t="shared" si="87"/>
        <v>0</v>
      </c>
      <c r="K262" s="738">
        <f t="shared" si="87"/>
        <v>9.173924E-3</v>
      </c>
      <c r="L262" s="738">
        <f t="shared" si="87"/>
        <v>1.0580269280000001</v>
      </c>
      <c r="M262" s="738">
        <f t="shared" si="88"/>
        <v>0.40300690000000006</v>
      </c>
      <c r="N262" s="738">
        <f t="shared" si="88"/>
        <v>0</v>
      </c>
      <c r="O262" s="738">
        <f t="shared" si="88"/>
        <v>0</v>
      </c>
      <c r="P262" s="738">
        <f t="shared" si="88"/>
        <v>0.93802039199999987</v>
      </c>
      <c r="Q262" s="738">
        <f t="shared" si="88"/>
        <v>0.18007095145939592</v>
      </c>
      <c r="R262" s="738">
        <f t="shared" si="88"/>
        <v>0</v>
      </c>
      <c r="S262" s="738">
        <f t="shared" si="88"/>
        <v>1.2838857565950617</v>
      </c>
      <c r="T262" s="738">
        <f t="shared" si="88"/>
        <v>13.238229621302807</v>
      </c>
      <c r="V262" s="613" t="s">
        <v>880</v>
      </c>
      <c r="W262" s="651">
        <f ca="1">IEAData!AD13</f>
        <v>2.476</v>
      </c>
      <c r="X262" s="651">
        <f ca="1">IEAData!BJ35</f>
        <v>2.4760356851121261</v>
      </c>
      <c r="Y262" s="651">
        <f>S263*U$47</f>
        <v>2.6767677070111024</v>
      </c>
    </row>
    <row r="263" spans="2:37" hidden="1">
      <c r="B263" s="613" t="s">
        <v>880</v>
      </c>
      <c r="C263" s="738">
        <f t="shared" si="87"/>
        <v>7.4452852050520564</v>
      </c>
      <c r="D263" s="738">
        <f t="shared" si="87"/>
        <v>5.4768176000000002E-2</v>
      </c>
      <c r="E263" s="738">
        <f t="shared" si="87"/>
        <v>0.54698771199999996</v>
      </c>
      <c r="F263" s="738">
        <f t="shared" si="87"/>
        <v>0</v>
      </c>
      <c r="G263" s="738">
        <f t="shared" si="87"/>
        <v>0</v>
      </c>
      <c r="H263" s="738">
        <f t="shared" si="87"/>
        <v>0</v>
      </c>
      <c r="I263" s="738">
        <f t="shared" si="87"/>
        <v>0</v>
      </c>
      <c r="J263" s="738">
        <f t="shared" si="87"/>
        <v>0</v>
      </c>
      <c r="K263" s="738">
        <f t="shared" si="87"/>
        <v>0</v>
      </c>
      <c r="L263" s="738">
        <f t="shared" si="87"/>
        <v>0.55498449999999999</v>
      </c>
      <c r="M263" s="738">
        <f t="shared" si="88"/>
        <v>0.33780552000000003</v>
      </c>
      <c r="N263" s="738">
        <f t="shared" si="88"/>
        <v>0</v>
      </c>
      <c r="O263" s="738">
        <f t="shared" si="88"/>
        <v>0</v>
      </c>
      <c r="P263" s="738">
        <f t="shared" si="88"/>
        <v>0</v>
      </c>
      <c r="Q263" s="738">
        <f t="shared" si="88"/>
        <v>0.39605365857623392</v>
      </c>
      <c r="R263" s="738">
        <f t="shared" si="88"/>
        <v>0</v>
      </c>
      <c r="S263" s="738">
        <f t="shared" si="88"/>
        <v>3.2843775546148497</v>
      </c>
      <c r="T263" s="738">
        <f t="shared" si="88"/>
        <v>12.620262326243139</v>
      </c>
      <c r="V263" s="613" t="s">
        <v>787</v>
      </c>
      <c r="W263" s="651">
        <f ca="1">IEAData!AD14</f>
        <v>13.696</v>
      </c>
      <c r="X263" s="651">
        <f ca="1">IEAData!BJ36</f>
        <v>13.696393815648902</v>
      </c>
      <c r="Y263" s="651">
        <f>S264*U$47</f>
        <v>13.696393815648905</v>
      </c>
    </row>
    <row r="264" spans="2:37" hidden="1">
      <c r="B264" s="613" t="s">
        <v>787</v>
      </c>
      <c r="C264" s="738">
        <f t="shared" si="87"/>
        <v>16.563068795327236</v>
      </c>
      <c r="D264" s="738">
        <f t="shared" si="87"/>
        <v>0.46287679999999987</v>
      </c>
      <c r="E264" s="738">
        <f t="shared" si="87"/>
        <v>0</v>
      </c>
      <c r="F264" s="738">
        <f t="shared" si="87"/>
        <v>0</v>
      </c>
      <c r="G264" s="738">
        <f t="shared" si="87"/>
        <v>0</v>
      </c>
      <c r="H264" s="738">
        <f t="shared" si="87"/>
        <v>0</v>
      </c>
      <c r="I264" s="738">
        <f t="shared" si="87"/>
        <v>0</v>
      </c>
      <c r="J264" s="738">
        <f t="shared" si="87"/>
        <v>0</v>
      </c>
      <c r="K264" s="738">
        <f t="shared" si="87"/>
        <v>0</v>
      </c>
      <c r="L264" s="738">
        <f t="shared" si="87"/>
        <v>1.7740148639999989</v>
      </c>
      <c r="M264" s="738">
        <f t="shared" si="88"/>
        <v>0.16640275999999998</v>
      </c>
      <c r="N264" s="738">
        <f t="shared" si="88"/>
        <v>8.959500792</v>
      </c>
      <c r="O264" s="738">
        <f t="shared" si="88"/>
        <v>0</v>
      </c>
      <c r="P264" s="738">
        <f t="shared" si="88"/>
        <v>0</v>
      </c>
      <c r="Q264" s="738">
        <f t="shared" si="88"/>
        <v>0.32593433599999999</v>
      </c>
      <c r="R264" s="738">
        <f t="shared" si="88"/>
        <v>0</v>
      </c>
      <c r="S264" s="738">
        <f t="shared" si="88"/>
        <v>16.805391184845284</v>
      </c>
      <c r="T264" s="738">
        <f t="shared" si="88"/>
        <v>45.057189532172515</v>
      </c>
      <c r="V264" s="613" t="s">
        <v>978</v>
      </c>
      <c r="W264" s="651">
        <f ca="1">IEAData!AD15</f>
        <v>4.9939999999999998</v>
      </c>
      <c r="X264" s="651">
        <f ca="1">IEAData!BJ37</f>
        <v>4.9979913636249744</v>
      </c>
      <c r="Y264" s="651">
        <f>S265*U$47</f>
        <v>16.314324869468695</v>
      </c>
    </row>
    <row r="265" spans="2:37" hidden="1">
      <c r="B265" s="613" t="s">
        <v>978</v>
      </c>
      <c r="C265" s="738">
        <f t="shared" si="87"/>
        <v>75.340543673109337</v>
      </c>
      <c r="D265" s="738">
        <f t="shared" si="87"/>
        <v>21.139650812000006</v>
      </c>
      <c r="E265" s="738">
        <f t="shared" si="87"/>
        <v>2.6189835000000001</v>
      </c>
      <c r="F265" s="738">
        <f t="shared" si="87"/>
        <v>0</v>
      </c>
      <c r="G265" s="738">
        <f t="shared" si="87"/>
        <v>0.50095545200000013</v>
      </c>
      <c r="H265" s="738">
        <f t="shared" si="87"/>
        <v>0</v>
      </c>
      <c r="I265" s="738">
        <f t="shared" si="87"/>
        <v>0</v>
      </c>
      <c r="J265" s="738">
        <f t="shared" si="87"/>
        <v>0</v>
      </c>
      <c r="K265" s="738">
        <f t="shared" si="87"/>
        <v>8.4986661680000015</v>
      </c>
      <c r="L265" s="738">
        <f t="shared" si="87"/>
        <v>4.6740050400000008</v>
      </c>
      <c r="M265" s="738">
        <f t="shared" si="88"/>
        <v>0.21298251600000001</v>
      </c>
      <c r="N265" s="738">
        <f t="shared" si="88"/>
        <v>0</v>
      </c>
      <c r="O265" s="738">
        <f t="shared" si="88"/>
        <v>0</v>
      </c>
      <c r="P265" s="738">
        <f t="shared" si="88"/>
        <v>0</v>
      </c>
      <c r="Q265" s="738">
        <f t="shared" si="88"/>
        <v>120.49198917858398</v>
      </c>
      <c r="R265" s="738">
        <f t="shared" si="88"/>
        <v>0</v>
      </c>
      <c r="S265" s="738">
        <f t="shared" si="88"/>
        <v>20.017576526955455</v>
      </c>
      <c r="T265" s="738">
        <f t="shared" si="88"/>
        <v>253.49535286664877</v>
      </c>
      <c r="V265" s="613" t="s">
        <v>879</v>
      </c>
      <c r="W265" s="651">
        <f ca="1">IEAData!AD16</f>
        <v>0.80899999999999994</v>
      </c>
      <c r="X265" s="651">
        <f ca="1">IEAData!BJ38</f>
        <v>0.80900324151796976</v>
      </c>
      <c r="Y265" s="651">
        <f>S262*U$47</f>
        <v>1.0463668916249751</v>
      </c>
    </row>
    <row r="266" spans="2:37" hidden="1">
      <c r="V266" s="613" t="s">
        <v>722</v>
      </c>
      <c r="W266" s="651">
        <f ca="1">IEAData!AD17*0.5</f>
        <v>24.148445389506275</v>
      </c>
      <c r="X266" s="651">
        <f ca="1">IEAData!BJ39</f>
        <v>36.705860951519391</v>
      </c>
      <c r="Y266" s="651">
        <f>X266*S$95</f>
        <v>24.951430420589165</v>
      </c>
    </row>
    <row r="267" spans="2:37" hidden="1">
      <c r="B267" s="613" t="s">
        <v>568</v>
      </c>
      <c r="C267" s="730">
        <f ca="1">IF(VLOOKUP($B267,Calibration!$B$99:$T$103,C$4,FALSE)&lt;&gt;0,C261/VLOOKUP($B267,Calibration!$B$99:$T$103,C$4,FALSE),1)</f>
        <v>1.0000000000000002</v>
      </c>
      <c r="D267" s="730">
        <f ca="1">IF(VLOOKUP($B267,Calibration!$B$99:$T$103,D$4,FALSE)&lt;&gt;0,D261/VLOOKUP($B267,Calibration!$B$99:$T$103,D$4,FALSE),1)</f>
        <v>0.99999999999999978</v>
      </c>
      <c r="E267" s="730">
        <f ca="1">IF(VLOOKUP($B267,Calibration!$B$99:$T$103,E$4,FALSE)&lt;&gt;0,E261/VLOOKUP($B267,Calibration!$B$99:$T$103,E$4,FALSE),1)</f>
        <v>0.99999999999999978</v>
      </c>
      <c r="F267" s="730">
        <f ca="1">IF(VLOOKUP($B267,Calibration!$B$99:$T$103,F$4,FALSE)&lt;&gt;0,F261/VLOOKUP($B267,Calibration!$B$99:$T$103,F$4,FALSE),1)</f>
        <v>1</v>
      </c>
      <c r="G267" s="730">
        <f ca="1">IF(VLOOKUP($B267,Calibration!$B$99:$T$103,G$4,FALSE)&lt;&gt;0,G261/VLOOKUP($B267,Calibration!$B$99:$T$103,G$4,FALSE),1)</f>
        <v>1</v>
      </c>
      <c r="H267" s="730">
        <f ca="1">IF(VLOOKUP($B267,Calibration!$B$99:$T$103,H$4,FALSE)&lt;&gt;0,H261/VLOOKUP($B267,Calibration!$B$99:$T$103,H$4,FALSE),1)</f>
        <v>1</v>
      </c>
      <c r="I267" s="730">
        <f ca="1">IF(VLOOKUP($B267,Calibration!$B$99:$T$103,I$4,FALSE)&lt;&gt;0,I261/VLOOKUP($B267,Calibration!$B$99:$T$103,I$4,FALSE),1)</f>
        <v>1</v>
      </c>
      <c r="J267" s="730">
        <f ca="1">IF(VLOOKUP($B267,Calibration!$B$99:$T$103,J$4,FALSE)&lt;&gt;0,J261/VLOOKUP($B267,Calibration!$B$99:$T$103,J$4,FALSE),1)</f>
        <v>1</v>
      </c>
      <c r="K267" s="730">
        <f ca="1">IF(VLOOKUP($B267,Calibration!$B$99:$T$103,K$4,FALSE)&lt;&gt;0,K261/VLOOKUP($B267,Calibration!$B$99:$T$103,K$4,FALSE),1)</f>
        <v>1</v>
      </c>
      <c r="L267" s="730">
        <f ca="1">IF(VLOOKUP($B267,Calibration!$B$99:$T$103,L$4,FALSE)&lt;&gt;0,L261/VLOOKUP($B267,Calibration!$B$99:$T$103,L$4,FALSE),1)</f>
        <v>1.0000000000000002</v>
      </c>
      <c r="M267" s="730">
        <f ca="1">IF(VLOOKUP($B267,Calibration!$B$99:$T$103,M$4,FALSE)&lt;&gt;0,M261/VLOOKUP($B267,Calibration!$B$99:$T$103,M$4,FALSE),1)</f>
        <v>1.0000000000000002</v>
      </c>
      <c r="N267" s="730">
        <f ca="1">IF(VLOOKUP($B267,Calibration!$B$99:$T$103,N$4,FALSE)&lt;&gt;0,N261/VLOOKUP($B267,Calibration!$B$99:$T$103,N$4,FALSE),1)</f>
        <v>1</v>
      </c>
      <c r="O267" s="730">
        <f ca="1">IF(VLOOKUP($B267,Calibration!$B$99:$T$103,O$4,FALSE)&lt;&gt;0,O261/VLOOKUP($B267,Calibration!$B$99:$T$103,O$4,FALSE),1)</f>
        <v>1</v>
      </c>
      <c r="P267" s="730">
        <f ca="1">IF(VLOOKUP($B267,Calibration!$B$99:$T$103,P$4,FALSE)&lt;&gt;0,P261/VLOOKUP($B267,Calibration!$B$99:$T$103,P$4,FALSE),1)</f>
        <v>1</v>
      </c>
      <c r="Q267" s="730">
        <f ca="1">IF(VLOOKUP($B267,Calibration!$B$99:$T$103,Q$4,FALSE)&lt;&gt;0,Q261/VLOOKUP($B267,Calibration!$B$99:$T$103,Q$4,FALSE),1)</f>
        <v>1</v>
      </c>
      <c r="R267" s="730">
        <f ca="1">IF(VLOOKUP($B267,Calibration!$B$99:$T$103,R$4,FALSE)&lt;&gt;0,R261/VLOOKUP($B267,Calibration!$B$99:$T$103,R$4,FALSE),1)</f>
        <v>1</v>
      </c>
      <c r="S267" s="730">
        <f ca="1">IF(VLOOKUP($B267,Calibration!$B$99:$T$103,S$4,FALSE)&lt;&gt;0,S261/VLOOKUP($B267,Calibration!$B$99:$T$103,S$4,FALSE),1)</f>
        <v>0.99999999999999989</v>
      </c>
      <c r="T267" s="730">
        <f ca="1">IF(VLOOKUP($B267,Calibration!$B$99:$T$103,T$4,FALSE)&lt;&gt;0,T261/VLOOKUP($B267,Calibration!$B$99:$T$103,T$4,FALSE),1)</f>
        <v>0.99999999999999978</v>
      </c>
      <c r="V267" s="613" t="s">
        <v>722</v>
      </c>
      <c r="W267" s="651">
        <f ca="1">IEAData!AD17*0.5</f>
        <v>24.148445389506275</v>
      </c>
      <c r="X267" s="651">
        <f ca="1">W267</f>
        <v>24.148445389506275</v>
      </c>
      <c r="Y267" s="651">
        <f>X267*S$95</f>
        <v>16.415314592334109</v>
      </c>
    </row>
    <row r="268" spans="2:37" hidden="1">
      <c r="B268" s="613" t="s">
        <v>879</v>
      </c>
      <c r="C268" s="730">
        <f ca="1">IF(VLOOKUP($B268,Calibration!$B$99:$T$103,C$4,FALSE)&lt;&gt;0,C262/VLOOKUP($B268,Calibration!$B$99:$T$103,C$4,FALSE),1)</f>
        <v>0.99999999999999989</v>
      </c>
      <c r="D268" s="730">
        <f ca="1">IF(VLOOKUP($B268,Calibration!$B$99:$T$103,D$4,FALSE)&lt;&gt;0,D262/VLOOKUP($B268,Calibration!$B$99:$T$103,D$4,FALSE),1)</f>
        <v>1</v>
      </c>
      <c r="E268" s="730">
        <f ca="1">IF(VLOOKUP($B268,Calibration!$B$99:$T$103,E$4,FALSE)&lt;&gt;0,E262/VLOOKUP($B268,Calibration!$B$99:$T$103,E$4,FALSE),1)</f>
        <v>1</v>
      </c>
      <c r="F268" s="730">
        <f ca="1">IF(VLOOKUP($B268,Calibration!$B$99:$T$103,F$4,FALSE)&lt;&gt;0,F262/VLOOKUP($B268,Calibration!$B$99:$T$103,F$4,FALSE),1)</f>
        <v>1</v>
      </c>
      <c r="G268" s="730">
        <f ca="1">IF(VLOOKUP($B268,Calibration!$B$99:$T$103,G$4,FALSE)&lt;&gt;0,G262/VLOOKUP($B268,Calibration!$B$99:$T$103,G$4,FALSE),1)</f>
        <v>1.0000000000000002</v>
      </c>
      <c r="H268" s="730">
        <f ca="1">IF(VLOOKUP($B268,Calibration!$B$99:$T$103,H$4,FALSE)&lt;&gt;0,H262/VLOOKUP($B268,Calibration!$B$99:$T$103,H$4,FALSE),1)</f>
        <v>0.99999999999999978</v>
      </c>
      <c r="I268" s="730">
        <f ca="1">IF(VLOOKUP($B268,Calibration!$B$99:$T$103,I$4,FALSE)&lt;&gt;0,I262/VLOOKUP($B268,Calibration!$B$99:$T$103,I$4,FALSE),1)</f>
        <v>1</v>
      </c>
      <c r="J268" s="730">
        <f ca="1">IF(VLOOKUP($B268,Calibration!$B$99:$T$103,J$4,FALSE)&lt;&gt;0,J262/VLOOKUP($B268,Calibration!$B$99:$T$103,J$4,FALSE),1)</f>
        <v>1</v>
      </c>
      <c r="K268" s="730">
        <f ca="1">IF(VLOOKUP($B268,Calibration!$B$99:$T$103,K$4,FALSE)&lt;&gt;0,K262/VLOOKUP($B268,Calibration!$B$99:$T$103,K$4,FALSE),1)</f>
        <v>1</v>
      </c>
      <c r="L268" s="730">
        <f ca="1">IF(VLOOKUP($B268,Calibration!$B$99:$T$103,L$4,FALSE)&lt;&gt;0,L262/VLOOKUP($B268,Calibration!$B$99:$T$103,L$4,FALSE),1)</f>
        <v>1</v>
      </c>
      <c r="M268" s="730">
        <f ca="1">IF(VLOOKUP($B268,Calibration!$B$99:$T$103,M$4,FALSE)&lt;&gt;0,M262/VLOOKUP($B268,Calibration!$B$99:$T$103,M$4,FALSE),1)</f>
        <v>1</v>
      </c>
      <c r="N268" s="730">
        <f ca="1">IF(VLOOKUP($B268,Calibration!$B$99:$T$103,N$4,FALSE)&lt;&gt;0,N262/VLOOKUP($B268,Calibration!$B$99:$T$103,N$4,FALSE),1)</f>
        <v>1</v>
      </c>
      <c r="O268" s="730">
        <f ca="1">IF(VLOOKUP($B268,Calibration!$B$99:$T$103,O$4,FALSE)&lt;&gt;0,O262/VLOOKUP($B268,Calibration!$B$99:$T$103,O$4,FALSE),1)</f>
        <v>1</v>
      </c>
      <c r="P268" s="730">
        <f ca="1">IF(VLOOKUP($B268,Calibration!$B$99:$T$103,P$4,FALSE)&lt;&gt;0,P262/VLOOKUP($B268,Calibration!$B$99:$T$103,P$4,FALSE),1)</f>
        <v>0.99999999999999989</v>
      </c>
      <c r="Q268" s="730">
        <f ca="1">IF(VLOOKUP($B268,Calibration!$B$99:$T$103,Q$4,FALSE)&lt;&gt;0,Q262/VLOOKUP($B268,Calibration!$B$99:$T$103,Q$4,FALSE),1)</f>
        <v>0.99999999999999967</v>
      </c>
      <c r="R268" s="730">
        <f ca="1">IF(VLOOKUP($B268,Calibration!$B$99:$T$103,R$4,FALSE)&lt;&gt;0,R262/VLOOKUP($B268,Calibration!$B$99:$T$103,R$4,FALSE),1)</f>
        <v>1</v>
      </c>
      <c r="S268" s="730">
        <f ca="1">IF(VLOOKUP($B268,Calibration!$B$99:$T$103,S$4,FALSE)&lt;&gt;0,S262/VLOOKUP($B268,Calibration!$B$99:$T$103,S$4,FALSE),1)</f>
        <v>0.99999999999999978</v>
      </c>
      <c r="T268" s="730">
        <f ca="1">IF(VLOOKUP($B268,Calibration!$B$99:$T$103,T$4,FALSE)&lt;&gt;0,T262/VLOOKUP($B268,Calibration!$B$99:$T$103,T$4,FALSE),1)</f>
        <v>1</v>
      </c>
      <c r="V268" s="613" t="s">
        <v>151</v>
      </c>
      <c r="W268" s="651">
        <f ca="1">IEAData!R36</f>
        <v>0</v>
      </c>
      <c r="X268" s="651">
        <f ca="1">W268</f>
        <v>0</v>
      </c>
      <c r="Y268" s="651">
        <f>X268*S$94</f>
        <v>0</v>
      </c>
    </row>
    <row r="269" spans="2:37" hidden="1">
      <c r="B269" s="613" t="s">
        <v>880</v>
      </c>
      <c r="C269" s="730">
        <f ca="1">IF(VLOOKUP($B269,Calibration!$B$99:$T$103,C$4,FALSE)&lt;&gt;0,C263/VLOOKUP($B269,Calibration!$B$99:$T$103,C$4,FALSE),1)</f>
        <v>1.0000000000000002</v>
      </c>
      <c r="D269" s="730">
        <f ca="1">IF(VLOOKUP($B269,Calibration!$B$99:$T$103,D$4,FALSE)&lt;&gt;0,D263/VLOOKUP($B269,Calibration!$B$99:$T$103,D$4,FALSE),1)</f>
        <v>0.99999999999999989</v>
      </c>
      <c r="E269" s="730">
        <f ca="1">IF(VLOOKUP($B269,Calibration!$B$99:$T$103,E$4,FALSE)&lt;&gt;0,E263/VLOOKUP($B269,Calibration!$B$99:$T$103,E$4,FALSE),1)</f>
        <v>1</v>
      </c>
      <c r="F269" s="730">
        <f ca="1">IF(VLOOKUP($B269,Calibration!$B$99:$T$103,F$4,FALSE)&lt;&gt;0,F263/VLOOKUP($B269,Calibration!$B$99:$T$103,F$4,FALSE),1)</f>
        <v>1</v>
      </c>
      <c r="G269" s="730">
        <f ca="1">IF(VLOOKUP($B269,Calibration!$B$99:$T$103,G$4,FALSE)&lt;&gt;0,G263/VLOOKUP($B269,Calibration!$B$99:$T$103,G$4,FALSE),1)</f>
        <v>1</v>
      </c>
      <c r="H269" s="730">
        <f ca="1">IF(VLOOKUP($B269,Calibration!$B$99:$T$103,H$4,FALSE)&lt;&gt;0,H263/VLOOKUP($B269,Calibration!$B$99:$T$103,H$4,FALSE),1)</f>
        <v>1</v>
      </c>
      <c r="I269" s="730">
        <f ca="1">IF(VLOOKUP($B269,Calibration!$B$99:$T$103,I$4,FALSE)&lt;&gt;0,I263/VLOOKUP($B269,Calibration!$B$99:$T$103,I$4,FALSE),1)</f>
        <v>1</v>
      </c>
      <c r="J269" s="730">
        <f ca="1">IF(VLOOKUP($B269,Calibration!$B$99:$T$103,J$4,FALSE)&lt;&gt;0,J263/VLOOKUP($B269,Calibration!$B$99:$T$103,J$4,FALSE),1)</f>
        <v>1</v>
      </c>
      <c r="K269" s="730">
        <f ca="1">IF(VLOOKUP($B269,Calibration!$B$99:$T$103,K$4,FALSE)&lt;&gt;0,K263/VLOOKUP($B269,Calibration!$B$99:$T$103,K$4,FALSE),1)</f>
        <v>1</v>
      </c>
      <c r="L269" s="730">
        <f ca="1">IF(VLOOKUP($B269,Calibration!$B$99:$T$103,L$4,FALSE)&lt;&gt;0,L263/VLOOKUP($B269,Calibration!$B$99:$T$103,L$4,FALSE),1)</f>
        <v>1</v>
      </c>
      <c r="M269" s="730">
        <f ca="1">IF(VLOOKUP($B269,Calibration!$B$99:$T$103,M$4,FALSE)&lt;&gt;0,M263/VLOOKUP($B269,Calibration!$B$99:$T$103,M$4,FALSE),1)</f>
        <v>1</v>
      </c>
      <c r="N269" s="730">
        <f ca="1">IF(VLOOKUP($B269,Calibration!$B$99:$T$103,N$4,FALSE)&lt;&gt;0,N263/VLOOKUP($B269,Calibration!$B$99:$T$103,N$4,FALSE),1)</f>
        <v>1</v>
      </c>
      <c r="O269" s="730">
        <f ca="1">IF(VLOOKUP($B269,Calibration!$B$99:$T$103,O$4,FALSE)&lt;&gt;0,O263/VLOOKUP($B269,Calibration!$B$99:$T$103,O$4,FALSE),1)</f>
        <v>1</v>
      </c>
      <c r="P269" s="730">
        <f ca="1">IF(VLOOKUP($B269,Calibration!$B$99:$T$103,P$4,FALSE)&lt;&gt;0,P263/VLOOKUP($B269,Calibration!$B$99:$T$103,P$4,FALSE),1)</f>
        <v>1</v>
      </c>
      <c r="Q269" s="730">
        <f ca="1">IF(VLOOKUP($B269,Calibration!$B$99:$T$103,Q$4,FALSE)&lt;&gt;0,Q263/VLOOKUP($B269,Calibration!$B$99:$T$103,Q$4,FALSE),1)</f>
        <v>1</v>
      </c>
      <c r="R269" s="730">
        <f ca="1">IF(VLOOKUP($B269,Calibration!$B$99:$T$103,R$4,FALSE)&lt;&gt;0,R263/VLOOKUP($B269,Calibration!$B$99:$T$103,R$4,FALSE),1)</f>
        <v>1</v>
      </c>
      <c r="S269" s="730">
        <f ca="1">IF(VLOOKUP($B269,Calibration!$B$99:$T$103,S$4,FALSE)&lt;&gt;0,S263/VLOOKUP($B269,Calibration!$B$99:$T$103,S$4,FALSE),1)</f>
        <v>0.99999999999999989</v>
      </c>
      <c r="T269" s="730">
        <f ca="1">IF(VLOOKUP($B269,Calibration!$B$99:$T$103,T$4,FALSE)&lt;&gt;0,T263/VLOOKUP($B269,Calibration!$B$99:$T$103,T$4,FALSE),1)</f>
        <v>1</v>
      </c>
      <c r="V269" s="613" t="s">
        <v>1091</v>
      </c>
      <c r="W269" s="651">
        <f>SUM(W261:W266)</f>
        <v>47.614445389506272</v>
      </c>
      <c r="X269" s="651">
        <f>SUM(X261:X266)</f>
        <v>60.176313647649543</v>
      </c>
      <c r="Y269" s="651">
        <f>SUM(Y261:Y266)</f>
        <v>60.17631229456903</v>
      </c>
    </row>
    <row r="270" spans="2:37" hidden="1">
      <c r="B270" s="613" t="s">
        <v>787</v>
      </c>
      <c r="C270" s="730">
        <f ca="1">IF(VLOOKUP($B270,Calibration!$B$99:$T$103,C$4,FALSE)&lt;&gt;0,C264/VLOOKUP($B270,Calibration!$B$99:$T$103,C$4,FALSE),1)</f>
        <v>1</v>
      </c>
      <c r="D270" s="730">
        <f ca="1">IF(VLOOKUP($B270,Calibration!$B$99:$T$103,D$4,FALSE)&lt;&gt;0,D264/VLOOKUP($B270,Calibration!$B$99:$T$103,D$4,FALSE),1)</f>
        <v>1</v>
      </c>
      <c r="E270" s="730">
        <f ca="1">IF(VLOOKUP($B270,Calibration!$B$99:$T$103,E$4,FALSE)&lt;&gt;0,E264/VLOOKUP($B270,Calibration!$B$99:$T$103,E$4,FALSE),1)</f>
        <v>0</v>
      </c>
      <c r="F270" s="730">
        <f ca="1">IF(VLOOKUP($B270,Calibration!$B$99:$T$103,F$4,FALSE)&lt;&gt;0,F264/VLOOKUP($B270,Calibration!$B$99:$T$103,F$4,FALSE),1)</f>
        <v>1</v>
      </c>
      <c r="G270" s="730">
        <f ca="1">IF(VLOOKUP($B270,Calibration!$B$99:$T$103,G$4,FALSE)&lt;&gt;0,G264/VLOOKUP($B270,Calibration!$B$99:$T$103,G$4,FALSE),1)</f>
        <v>1</v>
      </c>
      <c r="H270" s="730">
        <f ca="1">IF(VLOOKUP($B270,Calibration!$B$99:$T$103,H$4,FALSE)&lt;&gt;0,H264/VLOOKUP($B270,Calibration!$B$99:$T$103,H$4,FALSE),1)</f>
        <v>1</v>
      </c>
      <c r="I270" s="730">
        <f ca="1">IF(VLOOKUP($B270,Calibration!$B$99:$T$103,I$4,FALSE)&lt;&gt;0,I264/VLOOKUP($B270,Calibration!$B$99:$T$103,I$4,FALSE),1)</f>
        <v>1</v>
      </c>
      <c r="J270" s="730">
        <f ca="1">IF(VLOOKUP($B270,Calibration!$B$99:$T$103,J$4,FALSE)&lt;&gt;0,J264/VLOOKUP($B270,Calibration!$B$99:$T$103,J$4,FALSE),1)</f>
        <v>1</v>
      </c>
      <c r="K270" s="730">
        <f ca="1">IF(VLOOKUP($B270,Calibration!$B$99:$T$103,K$4,FALSE)&lt;&gt;0,K264/VLOOKUP($B270,Calibration!$B$99:$T$103,K$4,FALSE),1)</f>
        <v>1</v>
      </c>
      <c r="L270" s="730">
        <f ca="1">IF(VLOOKUP($B270,Calibration!$B$99:$T$103,L$4,FALSE)&lt;&gt;0,L264/VLOOKUP($B270,Calibration!$B$99:$T$103,L$4,FALSE),1)</f>
        <v>1</v>
      </c>
      <c r="M270" s="730">
        <f ca="1">IF(VLOOKUP($B270,Calibration!$B$99:$T$103,M$4,FALSE)&lt;&gt;0,M264/VLOOKUP($B270,Calibration!$B$99:$T$103,M$4,FALSE),1)</f>
        <v>0.99999999999999978</v>
      </c>
      <c r="N270" s="730">
        <f ca="1">IF(VLOOKUP($B270,Calibration!$B$99:$T$103,N$4,FALSE)&lt;&gt;0,N264/VLOOKUP($B270,Calibration!$B$99:$T$103,N$4,FALSE),1)</f>
        <v>1</v>
      </c>
      <c r="O270" s="730">
        <f ca="1">IF(VLOOKUP($B270,Calibration!$B$99:$T$103,O$4,FALSE)&lt;&gt;0,O264/VLOOKUP($B270,Calibration!$B$99:$T$103,O$4,FALSE),1)</f>
        <v>1</v>
      </c>
      <c r="P270" s="730">
        <f ca="1">IF(VLOOKUP($B270,Calibration!$B$99:$T$103,P$4,FALSE)&lt;&gt;0,P264/VLOOKUP($B270,Calibration!$B$99:$T$103,P$4,FALSE),1)</f>
        <v>1</v>
      </c>
      <c r="Q270" s="730">
        <f ca="1">IF(VLOOKUP($B270,Calibration!$B$99:$T$103,Q$4,FALSE)&lt;&gt;0,Q264/VLOOKUP($B270,Calibration!$B$99:$T$103,Q$4,FALSE),1)</f>
        <v>1</v>
      </c>
      <c r="R270" s="730">
        <f ca="1">IF(VLOOKUP($B270,Calibration!$B$99:$T$103,R$4,FALSE)&lt;&gt;0,R264/VLOOKUP($B270,Calibration!$B$99:$T$103,R$4,FALSE),1)</f>
        <v>1</v>
      </c>
      <c r="S270" s="730">
        <f ca="1">IF(VLOOKUP($B270,Calibration!$B$99:$T$103,S$4,FALSE)&lt;&gt;0,S264/VLOOKUP($B270,Calibration!$B$99:$T$103,S$4,FALSE),1)</f>
        <v>1.0000000000000002</v>
      </c>
      <c r="T270" s="730">
        <f ca="1">IF(VLOOKUP($B270,Calibration!$B$99:$T$103,T$4,FALSE)&lt;&gt;0,T264/VLOOKUP($B270,Calibration!$B$99:$T$103,T$4,FALSE),1)</f>
        <v>1.0026703939709913</v>
      </c>
      <c r="V270" s="613" t="s">
        <v>1092</v>
      </c>
      <c r="W270" s="651">
        <f>SUM(W267:W268)</f>
        <v>24.148445389506275</v>
      </c>
      <c r="X270" s="651">
        <f>SUM(X267:X268)</f>
        <v>24.148445389506275</v>
      </c>
      <c r="Y270" s="651">
        <f>SUM(Y267:Y268)</f>
        <v>16.415314592334109</v>
      </c>
    </row>
    <row r="271" spans="2:37" hidden="1">
      <c r="B271" s="613" t="s">
        <v>978</v>
      </c>
      <c r="C271" s="730">
        <f ca="1">IF(VLOOKUP($B271,Calibration!$B$99:$T$103,C$4,FALSE)&lt;&gt;0,C265/VLOOKUP($B271,Calibration!$B$99:$T$103,C$4,FALSE),1)</f>
        <v>1</v>
      </c>
      <c r="D271" s="730">
        <f ca="1">IF(VLOOKUP($B271,Calibration!$B$99:$T$103,D$4,FALSE)&lt;&gt;0,D265/VLOOKUP($B271,Calibration!$B$99:$T$103,D$4,FALSE),1)</f>
        <v>1.0000000000000002</v>
      </c>
      <c r="E271" s="730">
        <f ca="1">IF(VLOOKUP($B271,Calibration!$B$99:$T$103,E$4,FALSE)&lt;&gt;0,E265/VLOOKUP($B271,Calibration!$B$99:$T$103,E$4,FALSE),1)</f>
        <v>1</v>
      </c>
      <c r="F271" s="730">
        <f ca="1">IF(VLOOKUP($B271,Calibration!$B$99:$T$103,F$4,FALSE)&lt;&gt;0,F265/VLOOKUP($B271,Calibration!$B$99:$T$103,F$4,FALSE),1)</f>
        <v>1</v>
      </c>
      <c r="G271" s="730">
        <f ca="1">IF(VLOOKUP($B271,Calibration!$B$99:$T$103,G$4,FALSE)&lt;&gt;0,G265/VLOOKUP($B271,Calibration!$B$99:$T$103,G$4,FALSE),1)</f>
        <v>1.0000000000000002</v>
      </c>
      <c r="H271" s="730">
        <f ca="1">IF(VLOOKUP($B271,Calibration!$B$99:$T$103,H$4,FALSE)&lt;&gt;0,H265/VLOOKUP($B271,Calibration!$B$99:$T$103,H$4,FALSE),1)</f>
        <v>1</v>
      </c>
      <c r="I271" s="730">
        <f ca="1">IF(VLOOKUP($B271,Calibration!$B$99:$T$103,I$4,FALSE)&lt;&gt;0,I265/VLOOKUP($B271,Calibration!$B$99:$T$103,I$4,FALSE),1)</f>
        <v>1</v>
      </c>
      <c r="J271" s="730">
        <f ca="1">IF(VLOOKUP($B271,Calibration!$B$99:$T$103,J$4,FALSE)&lt;&gt;0,J265/VLOOKUP($B271,Calibration!$B$99:$T$103,J$4,FALSE),1)</f>
        <v>1</v>
      </c>
      <c r="K271" s="730">
        <f ca="1">IF(VLOOKUP($B271,Calibration!$B$99:$T$103,K$4,FALSE)&lt;&gt;0,K265/VLOOKUP($B271,Calibration!$B$99:$T$103,K$4,FALSE),1)</f>
        <v>1</v>
      </c>
      <c r="L271" s="730">
        <f ca="1">IF(VLOOKUP($B271,Calibration!$B$99:$T$103,L$4,FALSE)&lt;&gt;0,L265/VLOOKUP($B271,Calibration!$B$99:$T$103,L$4,FALSE),1)</f>
        <v>1.0000000000000002</v>
      </c>
      <c r="M271" s="730">
        <f ca="1">IF(VLOOKUP($B271,Calibration!$B$99:$T$103,M$4,FALSE)&lt;&gt;0,M265/VLOOKUP($B271,Calibration!$B$99:$T$103,M$4,FALSE),1)</f>
        <v>1</v>
      </c>
      <c r="N271" s="730">
        <f ca="1">IF(VLOOKUP($B271,Calibration!$B$99:$T$103,N$4,FALSE)&lt;&gt;0,N265/VLOOKUP($B271,Calibration!$B$99:$T$103,N$4,FALSE),1)</f>
        <v>1</v>
      </c>
      <c r="O271" s="730">
        <f ca="1">IF(VLOOKUP($B271,Calibration!$B$99:$T$103,O$4,FALSE)&lt;&gt;0,O265/VLOOKUP($B271,Calibration!$B$99:$T$103,O$4,FALSE),1)</f>
        <v>1</v>
      </c>
      <c r="P271" s="730">
        <f ca="1">IF(VLOOKUP($B271,Calibration!$B$99:$T$103,P$4,FALSE)&lt;&gt;0,P265/VLOOKUP($B271,Calibration!$B$99:$T$103,P$4,FALSE),1)</f>
        <v>1</v>
      </c>
      <c r="Q271" s="730">
        <f ca="1">IF(VLOOKUP($B271,Calibration!$B$99:$T$103,Q$4,FALSE)&lt;&gt;0,Q265/VLOOKUP($B271,Calibration!$B$99:$T$103,Q$4,FALSE),1)</f>
        <v>0.99999999999999989</v>
      </c>
      <c r="R271" s="730">
        <f ca="1">IF(VLOOKUP($B271,Calibration!$B$99:$T$103,R$4,FALSE)&lt;&gt;0,R265/VLOOKUP($B271,Calibration!$B$99:$T$103,R$4,FALSE),1)</f>
        <v>1</v>
      </c>
      <c r="S271" s="730">
        <f ca="1">IF(VLOOKUP($B271,Calibration!$B$99:$T$103,S$4,FALSE)&lt;&gt;0,S265/VLOOKUP($B271,Calibration!$B$99:$T$103,S$4,FALSE),1)</f>
        <v>1.0000000000000002</v>
      </c>
      <c r="T271" s="730">
        <f ca="1">IF(VLOOKUP($B271,Calibration!$B$99:$T$103,T$4,FALSE)&lt;&gt;0,T265/VLOOKUP($B271,Calibration!$B$99:$T$103,T$4,FALSE),1)</f>
        <v>1</v>
      </c>
      <c r="V271" s="613" t="s">
        <v>796</v>
      </c>
      <c r="W271" s="651">
        <f>SUM(W261:W267)</f>
        <v>71.762890779012551</v>
      </c>
      <c r="X271" s="651">
        <f>SUM(X261:X267)</f>
        <v>84.324759037155815</v>
      </c>
      <c r="Y271" s="651">
        <f>SUM(Y261:Y267)</f>
        <v>76.591626886903143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V90"/>
  <sheetViews>
    <sheetView topLeftCell="AC1" zoomScale="75" workbookViewId="0">
      <selection activeCell="J20" sqref="J20"/>
    </sheetView>
  </sheetViews>
  <sheetFormatPr defaultColWidth="8.85546875" defaultRowHeight="12.75"/>
  <cols>
    <col min="1" max="1" width="17.42578125" customWidth="1"/>
    <col min="2" max="2" width="8.85546875" customWidth="1"/>
    <col min="3" max="3" width="21.85546875" bestFit="1" customWidth="1"/>
    <col min="4" max="5" width="12" customWidth="1"/>
    <col min="6" max="6" width="10.85546875" customWidth="1"/>
    <col min="7" max="7" width="12.7109375" customWidth="1"/>
    <col min="8" max="8" width="12" customWidth="1"/>
    <col min="9" max="9" width="11" customWidth="1"/>
    <col min="10" max="10" width="10.85546875" customWidth="1"/>
    <col min="11" max="11" width="9.42578125" customWidth="1"/>
    <col min="12" max="12" width="9.5703125" customWidth="1"/>
    <col min="13" max="14" width="12" customWidth="1"/>
    <col min="15" max="15" width="10.28515625" customWidth="1"/>
    <col min="16" max="16" width="9.28515625" customWidth="1"/>
    <col min="17" max="17" width="10" customWidth="1"/>
    <col min="18" max="18" width="9.5703125" customWidth="1"/>
    <col min="19" max="19" width="12.28515625" customWidth="1"/>
    <col min="20" max="20" width="10.42578125" customWidth="1"/>
    <col min="21" max="21" width="10.7109375" customWidth="1"/>
    <col min="22" max="22" width="9.42578125" customWidth="1"/>
    <col min="23" max="23" width="8.85546875" customWidth="1"/>
    <col min="24" max="25" width="11.5703125" customWidth="1"/>
    <col min="26" max="26" width="10.42578125" customWidth="1"/>
    <col min="27" max="27" width="10" customWidth="1"/>
    <col min="28" max="28" width="9.28515625" customWidth="1"/>
    <col min="29" max="29" width="8.42578125" customWidth="1"/>
    <col min="30" max="31" width="8.5703125" customWidth="1"/>
    <col min="32" max="33" width="9.28515625" customWidth="1"/>
    <col min="34" max="34" width="8.42578125" customWidth="1"/>
    <col min="35" max="35" width="8.85546875" customWidth="1"/>
    <col min="36" max="36" width="9" customWidth="1"/>
    <col min="37" max="37" width="7.7109375" customWidth="1"/>
    <col min="38" max="38" width="8.85546875" customWidth="1"/>
    <col min="39" max="39" width="10.85546875" customWidth="1"/>
    <col min="40" max="40" width="8.85546875" customWidth="1"/>
    <col min="41" max="41" width="11" customWidth="1"/>
    <col min="42" max="47" width="8.85546875" customWidth="1"/>
    <col min="48" max="48" width="9.5703125" customWidth="1"/>
    <col min="49" max="50" width="8.85546875" customWidth="1"/>
    <col min="51" max="51" width="9.7109375" customWidth="1"/>
    <col min="52" max="70" width="8.85546875" customWidth="1"/>
    <col min="71" max="71" width="22.85546875" customWidth="1"/>
    <col min="72" max="72" width="8.85546875" customWidth="1"/>
    <col min="73" max="73" width="26.5703125" customWidth="1"/>
  </cols>
  <sheetData>
    <row r="1" spans="1:256" ht="18">
      <c r="A1" s="202" t="s">
        <v>873</v>
      </c>
      <c r="B1" s="203"/>
      <c r="C1" s="214" t="s">
        <v>808</v>
      </c>
      <c r="D1" s="38" t="str">
        <f>Region</f>
        <v>FIN</v>
      </c>
      <c r="E1" s="203"/>
      <c r="F1" s="203"/>
      <c r="G1" s="203"/>
      <c r="H1" s="20" t="s">
        <v>749</v>
      </c>
      <c r="I1" s="20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X1" s="317" t="s">
        <v>573</v>
      </c>
      <c r="AY1" s="317" t="str">
        <f ca="1">MID(CELL("filename",AX1),FIND("VT_",CELL("filename",AX1))+3,3)</f>
        <v>FI_</v>
      </c>
      <c r="AZ1" s="317" t="s">
        <v>829</v>
      </c>
      <c r="BA1" s="318">
        <v>1.0000000000000001E-9</v>
      </c>
    </row>
    <row r="2" spans="1:256">
      <c r="A2" s="203"/>
      <c r="B2" s="203"/>
      <c r="C2" s="214" t="s">
        <v>809</v>
      </c>
      <c r="D2" s="39">
        <v>2017</v>
      </c>
      <c r="E2" s="203"/>
      <c r="F2" s="203"/>
      <c r="G2" s="203"/>
      <c r="H2" s="60" t="s">
        <v>750</v>
      </c>
      <c r="I2" s="60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</row>
    <row r="3" spans="1:256" ht="18">
      <c r="A3" s="203"/>
      <c r="B3" s="203"/>
      <c r="C3" s="214" t="s">
        <v>810</v>
      </c>
      <c r="D3" s="42">
        <v>4.1868000000000002E-2</v>
      </c>
      <c r="E3" s="208" t="s">
        <v>985</v>
      </c>
      <c r="F3" s="203"/>
      <c r="G3" s="203"/>
      <c r="H3" s="177" t="s">
        <v>751</v>
      </c>
      <c r="I3" s="177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Q3" s="87" t="s">
        <v>732</v>
      </c>
      <c r="AR3" s="89"/>
      <c r="AS3" s="467"/>
      <c r="AT3" s="95"/>
      <c r="AU3" s="91"/>
      <c r="AV3" s="91"/>
      <c r="AX3" s="87" t="s">
        <v>733</v>
      </c>
      <c r="AY3" s="89"/>
      <c r="AZ3" s="467"/>
      <c r="BA3" s="95"/>
      <c r="BB3" s="14"/>
      <c r="BE3" s="86" t="s">
        <v>734</v>
      </c>
      <c r="BF3" s="89"/>
      <c r="BG3" s="467"/>
      <c r="BH3" s="95"/>
      <c r="BI3" s="91"/>
      <c r="BJ3" s="91"/>
      <c r="BK3" s="91"/>
      <c r="BL3" s="91"/>
      <c r="BM3" s="91"/>
    </row>
    <row r="4" spans="1:256">
      <c r="A4" s="203"/>
      <c r="B4" s="203"/>
      <c r="C4" s="203"/>
      <c r="D4" s="203"/>
      <c r="F4" s="203"/>
      <c r="G4" s="203"/>
      <c r="H4" s="271" t="s">
        <v>752</v>
      </c>
      <c r="I4" s="271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Q4" s="169" t="s">
        <v>1296</v>
      </c>
      <c r="AR4" s="394">
        <v>4.8525880392469412E-2</v>
      </c>
      <c r="AS4" s="241" t="s">
        <v>581</v>
      </c>
      <c r="AT4" s="241" t="s">
        <v>582</v>
      </c>
      <c r="AU4" s="241" t="s">
        <v>583</v>
      </c>
      <c r="AX4" s="291" t="s">
        <v>996</v>
      </c>
      <c r="AY4" s="291"/>
      <c r="AZ4" s="292">
        <f>AR4</f>
        <v>4.8525880392469412E-2</v>
      </c>
      <c r="BA4" s="96" t="s">
        <v>1005</v>
      </c>
      <c r="BB4" s="108"/>
    </row>
    <row r="5" spans="1:256" ht="13.5" thickBot="1">
      <c r="A5" s="203"/>
      <c r="B5" s="203"/>
      <c r="C5" s="203"/>
      <c r="D5" s="203"/>
      <c r="E5" s="203"/>
      <c r="F5" s="203"/>
      <c r="G5" s="203"/>
      <c r="H5" s="9" t="s">
        <v>753</v>
      </c>
      <c r="I5" s="9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Q5" s="446"/>
      <c r="AR5" s="100"/>
      <c r="AS5" s="269">
        <v>-4.1868000000000002E-2</v>
      </c>
      <c r="AT5" s="270">
        <v>3.5999999999999999E-3</v>
      </c>
      <c r="AU5" s="270">
        <v>1E-3</v>
      </c>
      <c r="AX5" s="96"/>
      <c r="AY5" s="96"/>
      <c r="AZ5" s="96"/>
      <c r="BA5" s="96"/>
      <c r="BB5" s="108"/>
      <c r="BH5" s="284" t="s">
        <v>1074</v>
      </c>
      <c r="BI5" s="245"/>
      <c r="BJ5" s="245" t="s">
        <v>1163</v>
      </c>
    </row>
    <row r="6" spans="1:256" ht="13.5" thickBot="1">
      <c r="A6" s="203"/>
      <c r="B6" s="203"/>
      <c r="C6" s="203"/>
      <c r="D6" s="203"/>
      <c r="E6" s="203"/>
      <c r="F6" s="203"/>
      <c r="G6" s="203"/>
      <c r="H6" s="272" t="s">
        <v>754</v>
      </c>
      <c r="I6" s="272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Q6" s="468"/>
      <c r="AR6" s="242" t="s">
        <v>585</v>
      </c>
      <c r="AS6" s="243" t="s">
        <v>586</v>
      </c>
      <c r="AT6" s="243" t="s">
        <v>587</v>
      </c>
      <c r="AU6" s="243" t="s">
        <v>588</v>
      </c>
      <c r="AX6" s="244"/>
      <c r="AY6" s="245" t="s">
        <v>581</v>
      </c>
      <c r="AZ6" s="245" t="s">
        <v>582</v>
      </c>
      <c r="BA6" s="245" t="s">
        <v>583</v>
      </c>
      <c r="BB6" s="245" t="s">
        <v>1493</v>
      </c>
      <c r="BC6" s="245" t="s">
        <v>1494</v>
      </c>
      <c r="BE6" s="379">
        <v>4.4000000000000004</v>
      </c>
      <c r="BF6" t="s">
        <v>1075</v>
      </c>
      <c r="BG6" t="s">
        <v>1076</v>
      </c>
      <c r="BH6" t="s">
        <v>264</v>
      </c>
      <c r="BI6" s="380">
        <v>5681.2116898800004</v>
      </c>
      <c r="BJ6">
        <v>0.5</v>
      </c>
    </row>
    <row r="7" spans="1:256">
      <c r="A7" s="203"/>
      <c r="B7" s="203"/>
      <c r="C7" s="203"/>
      <c r="D7" s="203"/>
      <c r="E7" s="203"/>
      <c r="F7" s="203"/>
      <c r="G7" s="203"/>
      <c r="H7" s="273" t="s">
        <v>755</v>
      </c>
      <c r="I7" s="27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Q7" s="99" t="s">
        <v>832</v>
      </c>
      <c r="AR7" s="100" t="s">
        <v>591</v>
      </c>
      <c r="AS7" s="101">
        <v>0</v>
      </c>
      <c r="AT7" s="101">
        <v>0</v>
      </c>
      <c r="AU7" s="101">
        <v>0</v>
      </c>
      <c r="AX7" s="184" t="str">
        <f>$C$38</f>
        <v>INDNGA</v>
      </c>
      <c r="AY7" s="456">
        <f>AS7+AS11</f>
        <v>13.406701265310488</v>
      </c>
      <c r="AZ7" s="456">
        <f>AT7+AT11</f>
        <v>3.5442118043529653</v>
      </c>
      <c r="BA7" s="456">
        <f>AU7+AU11</f>
        <v>8.4759385622211241</v>
      </c>
      <c r="BB7" s="595">
        <f t="shared" ref="BB7:BB22" si="0">IF(AY7=0,0,AZ7/AY7)</f>
        <v>0.26436121266634965</v>
      </c>
      <c r="BC7" s="595">
        <f t="shared" ref="BC7:BC22" si="1">IF(BA7=0,0,AZ7/BA7)</f>
        <v>0.41814977519424146</v>
      </c>
      <c r="BE7" s="381">
        <v>1.6</v>
      </c>
      <c r="BF7" t="s">
        <v>1077</v>
      </c>
      <c r="BH7" t="s">
        <v>265</v>
      </c>
      <c r="BI7" s="382">
        <v>1638.0532616400001</v>
      </c>
      <c r="BJ7">
        <v>0.5</v>
      </c>
    </row>
    <row r="8" spans="1:256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Q8" s="99" t="s">
        <v>830</v>
      </c>
      <c r="AR8" s="100" t="s">
        <v>801</v>
      </c>
      <c r="AS8" s="101">
        <v>0</v>
      </c>
      <c r="AT8" s="101">
        <v>0</v>
      </c>
      <c r="AU8" s="101">
        <v>0</v>
      </c>
      <c r="AX8" s="184" t="str">
        <f>$D$38</f>
        <v>INDLPG</v>
      </c>
      <c r="AY8" s="456">
        <f>AS13</f>
        <v>0</v>
      </c>
      <c r="AZ8" s="456">
        <f>AT13</f>
        <v>0</v>
      </c>
      <c r="BA8" s="456">
        <f>AU13</f>
        <v>0</v>
      </c>
      <c r="BB8" s="595">
        <f t="shared" si="0"/>
        <v>0</v>
      </c>
      <c r="BC8" s="595">
        <f t="shared" si="1"/>
        <v>0</v>
      </c>
      <c r="BE8" s="383">
        <f>VLOOKUP(Region,$BH$6:$BI$23,2,0)</f>
        <v>508.92982344000001</v>
      </c>
      <c r="BF8" t="s">
        <v>1082</v>
      </c>
      <c r="BH8" t="s">
        <v>266</v>
      </c>
      <c r="BI8" s="382">
        <v>4121.1413463600002</v>
      </c>
      <c r="BJ8">
        <v>0.5</v>
      </c>
    </row>
    <row r="9" spans="1:256">
      <c r="A9" s="203"/>
      <c r="B9" s="203"/>
      <c r="C9" s="214"/>
      <c r="D9" s="214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Q9" s="99" t="s">
        <v>956</v>
      </c>
      <c r="AR9" s="100" t="s">
        <v>800</v>
      </c>
      <c r="AS9" s="101">
        <v>0</v>
      </c>
      <c r="AT9" s="101">
        <v>0</v>
      </c>
      <c r="AU9" s="101">
        <v>0</v>
      </c>
      <c r="AX9" s="184" t="str">
        <f>$E$38</f>
        <v>INDNGL</v>
      </c>
      <c r="AY9" s="456">
        <f>AS20</f>
        <v>0</v>
      </c>
      <c r="AZ9" s="456">
        <f>AT20</f>
        <v>0</v>
      </c>
      <c r="BA9" s="456">
        <f>AU20</f>
        <v>0</v>
      </c>
      <c r="BB9" s="595">
        <f t="shared" si="0"/>
        <v>0</v>
      </c>
      <c r="BC9" s="595">
        <f t="shared" si="1"/>
        <v>0</v>
      </c>
      <c r="BE9" s="384">
        <f>BE8*BE6/1000</f>
        <v>2.239291223136</v>
      </c>
      <c r="BF9" t="s">
        <v>1078</v>
      </c>
      <c r="BH9" t="s">
        <v>267</v>
      </c>
      <c r="BI9" s="382">
        <v>12158.67654</v>
      </c>
      <c r="BJ9">
        <v>0.5</v>
      </c>
    </row>
    <row r="10" spans="1:256" ht="18">
      <c r="A10" s="215" t="s">
        <v>584</v>
      </c>
      <c r="B10" s="86" t="s">
        <v>986</v>
      </c>
      <c r="C10" s="88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Q10" s="99" t="s">
        <v>831</v>
      </c>
      <c r="AR10" s="100" t="s">
        <v>592</v>
      </c>
      <c r="AS10" s="101">
        <v>0</v>
      </c>
      <c r="AT10" s="101">
        <v>0</v>
      </c>
      <c r="AU10" s="101">
        <v>0</v>
      </c>
      <c r="AX10" s="184" t="str">
        <f>$F$38</f>
        <v>INDCOA</v>
      </c>
      <c r="AY10" s="456">
        <f t="shared" ref="AY10:BA11" si="2">AS33</f>
        <v>0.68791439268865562</v>
      </c>
      <c r="AZ10" s="456">
        <f t="shared" si="2"/>
        <v>0.36450705916321657</v>
      </c>
      <c r="BA10" s="456">
        <f t="shared" si="2"/>
        <v>0.22893347393457369</v>
      </c>
      <c r="BB10" s="595">
        <f t="shared" si="0"/>
        <v>0.52987270369292805</v>
      </c>
      <c r="BC10" s="595">
        <f t="shared" si="1"/>
        <v>1.59219642675491</v>
      </c>
      <c r="BE10" s="384">
        <f>BE9/BE7</f>
        <v>1.39955701446</v>
      </c>
      <c r="BF10" t="s">
        <v>1079</v>
      </c>
      <c r="BH10" t="s">
        <v>1094</v>
      </c>
      <c r="BI10" s="382">
        <v>10986.901332840001</v>
      </c>
      <c r="BJ10">
        <v>0.5</v>
      </c>
      <c r="BS10" s="33"/>
      <c r="BT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</row>
    <row r="11" spans="1:256" s="33" customFormat="1" ht="38.25" customHeight="1">
      <c r="A11" s="204" t="s">
        <v>811</v>
      </c>
      <c r="B11" s="209" t="s">
        <v>797</v>
      </c>
      <c r="C11" s="209" t="s">
        <v>798</v>
      </c>
      <c r="D11" s="209" t="s">
        <v>881</v>
      </c>
      <c r="E11" s="209" t="s">
        <v>562</v>
      </c>
      <c r="F11" s="209" t="s">
        <v>598</v>
      </c>
      <c r="G11" s="210" t="s">
        <v>194</v>
      </c>
      <c r="H11" s="209" t="s">
        <v>799</v>
      </c>
      <c r="I11" s="209" t="s">
        <v>812</v>
      </c>
      <c r="J11" s="209" t="s">
        <v>800</v>
      </c>
      <c r="K11" s="209" t="s">
        <v>801</v>
      </c>
      <c r="L11" s="209" t="s">
        <v>592</v>
      </c>
      <c r="M11" s="209" t="s">
        <v>591</v>
      </c>
      <c r="N11" s="209" t="s">
        <v>891</v>
      </c>
      <c r="O11" s="209" t="s">
        <v>892</v>
      </c>
      <c r="P11" s="209" t="s">
        <v>802</v>
      </c>
      <c r="Q11" s="209" t="s">
        <v>803</v>
      </c>
      <c r="R11" s="209" t="s">
        <v>890</v>
      </c>
      <c r="S11" s="209" t="s">
        <v>322</v>
      </c>
      <c r="T11" s="209" t="s">
        <v>594</v>
      </c>
      <c r="U11" s="209" t="s">
        <v>804</v>
      </c>
      <c r="V11" s="209" t="s">
        <v>805</v>
      </c>
      <c r="W11" s="209" t="s">
        <v>806</v>
      </c>
      <c r="X11" s="209" t="s">
        <v>947</v>
      </c>
      <c r="Y11" s="209" t="s">
        <v>323</v>
      </c>
      <c r="Z11" s="209" t="s">
        <v>1374</v>
      </c>
      <c r="AA11" s="211" t="s">
        <v>1375</v>
      </c>
      <c r="AB11" s="209" t="s">
        <v>745</v>
      </c>
      <c r="AC11" s="209" t="s">
        <v>595</v>
      </c>
      <c r="AD11" s="209" t="s">
        <v>807</v>
      </c>
      <c r="AE11" s="209" t="s">
        <v>604</v>
      </c>
      <c r="AF11" s="209" t="s">
        <v>948</v>
      </c>
      <c r="AG11" s="212" t="s">
        <v>748</v>
      </c>
      <c r="AH11" s="212" t="s">
        <v>95</v>
      </c>
      <c r="AI11" s="212" t="s">
        <v>96</v>
      </c>
      <c r="AJ11" s="212" t="s">
        <v>97</v>
      </c>
      <c r="AK11" s="209" t="s">
        <v>888</v>
      </c>
      <c r="AL11" s="212"/>
      <c r="AM11" s="212"/>
      <c r="AN11" s="212"/>
      <c r="AP11"/>
      <c r="AQ11" s="99" t="s">
        <v>951</v>
      </c>
      <c r="AR11" s="100" t="s">
        <v>798</v>
      </c>
      <c r="AS11" s="101">
        <v>13.406701265310488</v>
      </c>
      <c r="AT11" s="101">
        <v>3.5442118043529653</v>
      </c>
      <c r="AU11" s="101">
        <v>8.4759385622211241</v>
      </c>
      <c r="AV11"/>
      <c r="AW11"/>
      <c r="AX11" s="184" t="str">
        <f>$G$38</f>
        <v>INDCOK</v>
      </c>
      <c r="AY11" s="456">
        <f t="shared" si="2"/>
        <v>0</v>
      </c>
      <c r="AZ11" s="456">
        <f t="shared" si="2"/>
        <v>0</v>
      </c>
      <c r="BA11" s="456">
        <f t="shared" si="2"/>
        <v>0</v>
      </c>
      <c r="BB11" s="595">
        <f t="shared" si="0"/>
        <v>0</v>
      </c>
      <c r="BC11" s="595">
        <f t="shared" si="1"/>
        <v>0</v>
      </c>
      <c r="BD11"/>
      <c r="BE11"/>
      <c r="BF11"/>
      <c r="BG11"/>
      <c r="BH11" s="33" t="s">
        <v>268</v>
      </c>
      <c r="BI11" s="382">
        <v>3451.4162128799999</v>
      </c>
      <c r="BJ11" s="33">
        <v>0.5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>
      <c r="A12" s="205" t="s">
        <v>791</v>
      </c>
      <c r="B12" s="36">
        <v>15.175888659665604</v>
      </c>
      <c r="C12" s="36">
        <v>2.3161990000000001</v>
      </c>
      <c r="D12" s="36">
        <v>4.6389999</v>
      </c>
      <c r="E12" s="36">
        <v>0</v>
      </c>
      <c r="F12" s="36">
        <v>1.0897709</v>
      </c>
      <c r="G12" s="36">
        <v>0</v>
      </c>
      <c r="H12" s="36">
        <v>3.8089998999999994</v>
      </c>
      <c r="I12" s="36">
        <v>0</v>
      </c>
      <c r="J12" s="36">
        <v>2.1518980000000001</v>
      </c>
      <c r="K12" s="36">
        <v>0</v>
      </c>
      <c r="L12" s="36">
        <v>1.6240011000000001</v>
      </c>
      <c r="M12" s="36">
        <v>0</v>
      </c>
      <c r="N12" s="36">
        <v>0</v>
      </c>
      <c r="O12" s="36">
        <v>0</v>
      </c>
      <c r="P12" s="36">
        <v>4.00007E-2</v>
      </c>
      <c r="Q12" s="36">
        <v>0.12780209999999997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44">
        <v>2.0013000000000001E-3</v>
      </c>
      <c r="Y12" s="44">
        <v>0</v>
      </c>
      <c r="Z12" s="44">
        <v>0</v>
      </c>
      <c r="AA12" s="44">
        <v>0</v>
      </c>
      <c r="AB12" s="44">
        <v>0</v>
      </c>
      <c r="AC12" s="36">
        <v>0</v>
      </c>
      <c r="AD12" s="36">
        <v>1.498</v>
      </c>
      <c r="AE12" s="36">
        <v>0</v>
      </c>
      <c r="AF12" s="36">
        <v>0</v>
      </c>
      <c r="AG12" s="105">
        <v>0</v>
      </c>
      <c r="AH12" s="105">
        <v>0</v>
      </c>
      <c r="AI12" s="105">
        <v>0</v>
      </c>
      <c r="AJ12" s="105">
        <v>0</v>
      </c>
      <c r="AK12" s="36">
        <v>32.473561559665605</v>
      </c>
      <c r="AL12" s="213">
        <v>6.5610538318912892E-2</v>
      </c>
      <c r="AM12" s="203" t="s">
        <v>791</v>
      </c>
      <c r="AN12" s="203" t="s">
        <v>443</v>
      </c>
      <c r="AO12">
        <v>20.869720099999999</v>
      </c>
      <c r="AQ12" s="99" t="s">
        <v>833</v>
      </c>
      <c r="AR12" s="100" t="s">
        <v>891</v>
      </c>
      <c r="AS12" s="101">
        <v>0.31070919785226414</v>
      </c>
      <c r="AT12" s="101">
        <v>2.9869700655844027E-3</v>
      </c>
      <c r="AU12" s="101">
        <v>0.38396081451876718</v>
      </c>
      <c r="AX12" s="184" t="str">
        <f>$H$38</f>
        <v>INDCOG</v>
      </c>
      <c r="AY12" s="456">
        <f>AS9</f>
        <v>0</v>
      </c>
      <c r="AZ12" s="456">
        <f>AT9</f>
        <v>0</v>
      </c>
      <c r="BA12" s="456">
        <f>AU9</f>
        <v>0</v>
      </c>
      <c r="BB12" s="595">
        <f t="shared" si="0"/>
        <v>0</v>
      </c>
      <c r="BC12" s="595">
        <f t="shared" si="1"/>
        <v>0</v>
      </c>
      <c r="BH12" t="s">
        <v>269</v>
      </c>
      <c r="BI12" s="382">
        <v>5567.2465751999998</v>
      </c>
      <c r="BJ12">
        <v>0.5</v>
      </c>
    </row>
    <row r="13" spans="1:256">
      <c r="A13" s="203" t="s">
        <v>793</v>
      </c>
      <c r="B13" s="36">
        <v>6.7986879596656005</v>
      </c>
      <c r="C13" s="36">
        <v>4.6800100000000004E-2</v>
      </c>
      <c r="D13" s="36">
        <v>0.73300180000000004</v>
      </c>
      <c r="E13" s="37">
        <v>0</v>
      </c>
      <c r="F13" s="36">
        <v>2.4811E-2</v>
      </c>
      <c r="G13" s="36">
        <v>9.9184999999999985E-3</v>
      </c>
      <c r="H13" s="36">
        <v>0.23439800000000002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0.31900130000000004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36">
        <v>0</v>
      </c>
      <c r="AD13" s="36">
        <v>2.4910000000000001</v>
      </c>
      <c r="AE13" s="36">
        <v>0</v>
      </c>
      <c r="AF13" s="36">
        <v>0</v>
      </c>
      <c r="AG13" s="105">
        <v>0</v>
      </c>
      <c r="AH13" s="105">
        <v>0</v>
      </c>
      <c r="AI13" s="105">
        <v>0</v>
      </c>
      <c r="AJ13" s="105">
        <v>0</v>
      </c>
      <c r="AK13" s="36">
        <v>10.6576186596656</v>
      </c>
      <c r="AL13" s="213">
        <v>2.1532966015248234E-2</v>
      </c>
      <c r="AM13" s="203" t="s">
        <v>793</v>
      </c>
      <c r="AN13" s="203"/>
      <c r="AQ13" s="99" t="s">
        <v>1297</v>
      </c>
      <c r="AR13" s="100" t="s">
        <v>663</v>
      </c>
      <c r="AS13" s="101">
        <v>0</v>
      </c>
      <c r="AT13" s="101">
        <v>0</v>
      </c>
      <c r="AU13" s="101">
        <v>0</v>
      </c>
      <c r="AX13" s="184" t="str">
        <f>$I$38</f>
        <v>INDBFG</v>
      </c>
      <c r="AY13" s="456">
        <f>AS8+AS10</f>
        <v>0</v>
      </c>
      <c r="AZ13" s="456">
        <f>AT8+AT10</f>
        <v>0</v>
      </c>
      <c r="BA13" s="456">
        <f>AU8+AU10</f>
        <v>0</v>
      </c>
      <c r="BB13" s="595">
        <f t="shared" si="0"/>
        <v>0</v>
      </c>
      <c r="BC13" s="595">
        <f t="shared" si="1"/>
        <v>0</v>
      </c>
      <c r="BH13" t="s">
        <v>1095</v>
      </c>
      <c r="BI13" s="382">
        <v>14002.61192352</v>
      </c>
      <c r="BJ13">
        <v>0.5</v>
      </c>
    </row>
    <row r="14" spans="1:256">
      <c r="A14" s="203" t="s">
        <v>792</v>
      </c>
      <c r="B14" s="36">
        <v>16.341565534315333</v>
      </c>
      <c r="C14" s="36">
        <v>5.5996028999999998</v>
      </c>
      <c r="D14" s="36">
        <v>30.683000699999997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0</v>
      </c>
      <c r="M14" s="36">
        <v>0</v>
      </c>
      <c r="N14" s="36">
        <v>0.79200020000000004</v>
      </c>
      <c r="O14" s="36">
        <v>0</v>
      </c>
      <c r="P14" s="36">
        <v>2.9120007000000001</v>
      </c>
      <c r="Q14" s="36">
        <v>0.2099993</v>
      </c>
      <c r="R14" s="36">
        <v>0</v>
      </c>
      <c r="S14" s="36">
        <v>0</v>
      </c>
      <c r="T14" s="36">
        <v>6.3600004999999999</v>
      </c>
      <c r="U14" s="36">
        <v>0</v>
      </c>
      <c r="V14" s="36">
        <v>12.943001600000002</v>
      </c>
      <c r="W14" s="36">
        <v>0</v>
      </c>
      <c r="X14" s="44">
        <v>0.3</v>
      </c>
      <c r="Y14" s="44">
        <v>0</v>
      </c>
      <c r="Z14" s="44">
        <v>0</v>
      </c>
      <c r="AA14" s="44">
        <v>0</v>
      </c>
      <c r="AB14" s="44">
        <v>0</v>
      </c>
      <c r="AC14" s="36">
        <v>0.49099959999999998</v>
      </c>
      <c r="AD14" s="36">
        <v>11.805999999999999</v>
      </c>
      <c r="AE14" s="36">
        <v>0</v>
      </c>
      <c r="AF14" s="36">
        <v>0</v>
      </c>
      <c r="AG14" s="105">
        <v>0</v>
      </c>
      <c r="AH14" s="105">
        <v>0</v>
      </c>
      <c r="AI14" s="105">
        <v>0</v>
      </c>
      <c r="AJ14" s="105">
        <v>0</v>
      </c>
      <c r="AK14" s="36">
        <v>88.438171034315346</v>
      </c>
      <c r="AL14" s="213">
        <v>0.17868308035262115</v>
      </c>
      <c r="AM14" s="203" t="s">
        <v>792</v>
      </c>
      <c r="AN14" s="203"/>
      <c r="AQ14" s="109" t="s">
        <v>843</v>
      </c>
      <c r="AR14" s="110" t="s">
        <v>804</v>
      </c>
      <c r="AS14" s="101">
        <v>0</v>
      </c>
      <c r="AT14" s="101">
        <v>0</v>
      </c>
      <c r="AU14" s="101">
        <v>0</v>
      </c>
      <c r="AX14" s="184" t="str">
        <f>$J$38</f>
        <v>INDBCO</v>
      </c>
      <c r="AY14" s="456">
        <f>AS32</f>
        <v>9.8384169549436926</v>
      </c>
      <c r="AZ14" s="456">
        <f>AT32</f>
        <v>1.8055852800723544</v>
      </c>
      <c r="BA14" s="456">
        <f>AU32</f>
        <v>6.4642929000952867</v>
      </c>
      <c r="BB14" s="595">
        <f t="shared" si="0"/>
        <v>0.18352396410329697</v>
      </c>
      <c r="BC14" s="595">
        <f t="shared" si="1"/>
        <v>0.27931674940746254</v>
      </c>
      <c r="BH14" t="s">
        <v>1096</v>
      </c>
      <c r="BI14" s="382">
        <v>14105.901116880001</v>
      </c>
      <c r="BJ14">
        <v>0.5</v>
      </c>
    </row>
    <row r="15" spans="1:256">
      <c r="A15" s="203" t="s">
        <v>795</v>
      </c>
      <c r="B15" s="36">
        <v>64.613676219702754</v>
      </c>
      <c r="C15" s="36">
        <v>17.570998599999999</v>
      </c>
      <c r="D15" s="36">
        <v>1.6550008</v>
      </c>
      <c r="E15" s="36">
        <v>0</v>
      </c>
      <c r="F15" s="36">
        <v>1.9344153000000002</v>
      </c>
      <c r="G15" s="36">
        <v>6.148400800000001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3.9990016999999995</v>
      </c>
      <c r="Q15" s="36">
        <v>0.4259985</v>
      </c>
      <c r="R15" s="36">
        <v>0</v>
      </c>
      <c r="S15" s="36">
        <v>0</v>
      </c>
      <c r="T15" s="36">
        <v>8.00014E-2</v>
      </c>
      <c r="U15" s="36">
        <v>0</v>
      </c>
      <c r="V15" s="36">
        <v>0</v>
      </c>
      <c r="W15" s="36">
        <v>0</v>
      </c>
      <c r="X15" s="44">
        <v>149.2599994</v>
      </c>
      <c r="Y15" s="44">
        <v>0</v>
      </c>
      <c r="Z15" s="44">
        <v>7.0790400000000003E-2</v>
      </c>
      <c r="AA15" s="44">
        <v>2.7000699999999999E-2</v>
      </c>
      <c r="AB15" s="44">
        <v>1.7039990000000003</v>
      </c>
      <c r="AC15" s="36">
        <v>0.36400040000000006</v>
      </c>
      <c r="AD15" s="36">
        <v>7.9969999999999999</v>
      </c>
      <c r="AE15" s="36">
        <v>0</v>
      </c>
      <c r="AF15" s="36">
        <v>0</v>
      </c>
      <c r="AG15" s="105">
        <v>0</v>
      </c>
      <c r="AH15" s="105">
        <v>0</v>
      </c>
      <c r="AI15" s="105">
        <v>0</v>
      </c>
      <c r="AJ15" s="105">
        <v>0</v>
      </c>
      <c r="AK15" s="36">
        <v>255.85028321970273</v>
      </c>
      <c r="AL15" s="213">
        <v>0.51692743280555276</v>
      </c>
      <c r="AM15" s="203" t="s">
        <v>795</v>
      </c>
      <c r="AN15" s="203"/>
      <c r="AQ15" s="99" t="s">
        <v>902</v>
      </c>
      <c r="AR15" s="100" t="s">
        <v>902</v>
      </c>
      <c r="AS15" s="131">
        <v>13.717410463162752</v>
      </c>
      <c r="AT15" s="131">
        <v>3.5471987744185496</v>
      </c>
      <c r="AU15" s="131">
        <v>8.8598993767398913</v>
      </c>
      <c r="AX15" s="184" t="str">
        <f>$K$38</f>
        <v>INDHFO</v>
      </c>
      <c r="AY15" s="456">
        <f>AS24+AS16+AS21+AS22</f>
        <v>2.1684661173515578</v>
      </c>
      <c r="AZ15" s="456">
        <f>AT24+AT16+AT21+AT22</f>
        <v>0.1896042941823895</v>
      </c>
      <c r="BA15" s="456">
        <f>AU24+AU16+AU21+AU22</f>
        <v>1.836054524223619</v>
      </c>
      <c r="BB15" s="595">
        <f t="shared" si="0"/>
        <v>8.7437056389869483E-2</v>
      </c>
      <c r="BC15" s="595">
        <f t="shared" si="1"/>
        <v>0.10326724597820112</v>
      </c>
      <c r="BH15" t="s">
        <v>270</v>
      </c>
      <c r="BI15" s="382">
        <v>13859.407035</v>
      </c>
      <c r="BJ15">
        <v>0.5</v>
      </c>
    </row>
    <row r="16" spans="1:256">
      <c r="A16" s="203" t="s">
        <v>794</v>
      </c>
      <c r="B16" s="36">
        <v>2.8684604888017389</v>
      </c>
      <c r="C16" s="36">
        <v>1.0319985999999999</v>
      </c>
      <c r="D16" s="36">
        <v>0.7599979</v>
      </c>
      <c r="E16" s="36">
        <v>0</v>
      </c>
      <c r="F16" s="36">
        <v>1.7355369</v>
      </c>
      <c r="G16" s="36">
        <v>9.9184999999999985E-3</v>
      </c>
      <c r="H16" s="36">
        <v>0.1757995</v>
      </c>
      <c r="I16" s="36">
        <v>0</v>
      </c>
      <c r="J16" s="36">
        <v>0.65520069999999997</v>
      </c>
      <c r="K16" s="36">
        <v>0</v>
      </c>
      <c r="L16" s="36">
        <v>0.68300109999999992</v>
      </c>
      <c r="M16" s="36">
        <v>0</v>
      </c>
      <c r="N16" s="36">
        <v>0</v>
      </c>
      <c r="O16" s="36">
        <v>0</v>
      </c>
      <c r="P16" s="36">
        <v>0.1170021</v>
      </c>
      <c r="Q16" s="36">
        <v>0.33080130000000002</v>
      </c>
      <c r="R16" s="36">
        <v>0</v>
      </c>
      <c r="S16" s="36">
        <v>0</v>
      </c>
      <c r="T16" s="36">
        <v>0.71999979999999997</v>
      </c>
      <c r="U16" s="36">
        <v>0</v>
      </c>
      <c r="V16" s="36">
        <v>0</v>
      </c>
      <c r="W16" s="36">
        <v>1.7100008999999998</v>
      </c>
      <c r="X16" s="44">
        <v>0.1569999</v>
      </c>
      <c r="Y16" s="44">
        <v>0</v>
      </c>
      <c r="Z16" s="44">
        <v>0</v>
      </c>
      <c r="AA16" s="44">
        <v>6.1999399999999996E-2</v>
      </c>
      <c r="AB16" s="44">
        <v>1.6439988999999997</v>
      </c>
      <c r="AC16" s="36">
        <v>0</v>
      </c>
      <c r="AD16" s="36">
        <v>0.83199999999999996</v>
      </c>
      <c r="AE16" s="36">
        <v>0</v>
      </c>
      <c r="AF16" s="36">
        <v>0</v>
      </c>
      <c r="AG16" s="105">
        <v>0</v>
      </c>
      <c r="AH16" s="105">
        <v>0</v>
      </c>
      <c r="AI16" s="105">
        <v>0</v>
      </c>
      <c r="AJ16" s="105">
        <v>0</v>
      </c>
      <c r="AK16" s="36">
        <v>13.49271598880174</v>
      </c>
      <c r="AL16" s="213">
        <v>2.7261079995273579E-2</v>
      </c>
      <c r="AM16" s="203" t="s">
        <v>794</v>
      </c>
      <c r="AN16" s="203"/>
      <c r="AQ16" s="99" t="s">
        <v>834</v>
      </c>
      <c r="AR16" s="100" t="s">
        <v>892</v>
      </c>
      <c r="AS16" s="101">
        <v>0</v>
      </c>
      <c r="AT16" s="101">
        <v>0</v>
      </c>
      <c r="AU16" s="101">
        <v>0</v>
      </c>
      <c r="AX16" s="184" t="str">
        <f>$L$38</f>
        <v>INDOIL</v>
      </c>
      <c r="AY16" s="456">
        <f>AS17+AS18+AS23</f>
        <v>0.12810511539859637</v>
      </c>
      <c r="AZ16" s="456">
        <f>AT17+AT18+AT23</f>
        <v>1.8581758091818161E-2</v>
      </c>
      <c r="BA16" s="456">
        <f>AU17+AU18+AU23</f>
        <v>8.0132180407564091E-2</v>
      </c>
      <c r="BB16" s="595">
        <f t="shared" si="0"/>
        <v>0.14505086728193026</v>
      </c>
      <c r="BC16" s="595">
        <f t="shared" si="1"/>
        <v>0.23188883663602561</v>
      </c>
      <c r="BH16" t="s">
        <v>271</v>
      </c>
      <c r="BI16" s="382">
        <v>11096.639454240001</v>
      </c>
      <c r="BJ16">
        <v>0.5</v>
      </c>
    </row>
    <row r="17" spans="1:65">
      <c r="A17" s="203" t="s">
        <v>904</v>
      </c>
      <c r="B17" s="63">
        <v>30.151561170211874</v>
      </c>
      <c r="C17" s="63">
        <v>1.2453355114554923</v>
      </c>
      <c r="D17" s="63">
        <v>3.5758622433403628</v>
      </c>
      <c r="E17" s="63">
        <v>0</v>
      </c>
      <c r="F17" s="63">
        <v>0.3857726200649122</v>
      </c>
      <c r="G17" s="63">
        <v>5.4437087578159342E-2</v>
      </c>
      <c r="H17" s="63">
        <v>2.9303500000000149E-2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1.0608653768376892</v>
      </c>
      <c r="Q17" s="63">
        <v>17.692567710553586</v>
      </c>
      <c r="R17" s="63">
        <v>0</v>
      </c>
      <c r="S17" s="63">
        <v>8.047815697452991E-2</v>
      </c>
      <c r="T17" s="63">
        <v>0</v>
      </c>
      <c r="U17" s="63">
        <v>0</v>
      </c>
      <c r="V17" s="63">
        <v>0</v>
      </c>
      <c r="W17" s="63">
        <v>0</v>
      </c>
      <c r="X17" s="63">
        <v>9.4838133498356321</v>
      </c>
      <c r="Y17" s="63">
        <v>0</v>
      </c>
      <c r="Z17" s="63">
        <v>2.0715318422763994E-3</v>
      </c>
      <c r="AA17" s="63">
        <v>8.5965050463082962E-2</v>
      </c>
      <c r="AB17" s="63">
        <v>7.3164737771706609E-2</v>
      </c>
      <c r="AC17" s="63">
        <v>1.9206322113658081E-2</v>
      </c>
      <c r="AD17" s="63">
        <v>30.091543353753025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94.031947722795962</v>
      </c>
      <c r="AL17" s="213">
        <v>0.18998491120023756</v>
      </c>
      <c r="AM17" s="203" t="s">
        <v>904</v>
      </c>
      <c r="AN17" s="209" t="s">
        <v>888</v>
      </c>
      <c r="AO17" s="209" t="s">
        <v>797</v>
      </c>
      <c r="AQ17" s="99" t="s">
        <v>836</v>
      </c>
      <c r="AR17" s="100" t="s">
        <v>803</v>
      </c>
      <c r="AS17" s="101">
        <v>0.12810511539859637</v>
      </c>
      <c r="AT17" s="101">
        <v>1.8581758091818161E-2</v>
      </c>
      <c r="AU17" s="101">
        <v>8.0132180407564091E-2</v>
      </c>
      <c r="AX17" s="184" t="str">
        <f>$M$38</f>
        <v>INDETH</v>
      </c>
      <c r="AY17" s="456">
        <f>AS12+AS14</f>
        <v>0.31070919785226414</v>
      </c>
      <c r="AZ17" s="456">
        <f>AT12+AT14</f>
        <v>2.9869700655844027E-3</v>
      </c>
      <c r="BA17" s="456">
        <f>AU12+AU14</f>
        <v>0.38396081451876718</v>
      </c>
      <c r="BB17" s="595">
        <f t="shared" si="0"/>
        <v>9.6133944094073647E-3</v>
      </c>
      <c r="BC17" s="595">
        <f t="shared" si="1"/>
        <v>7.7793617281703264E-3</v>
      </c>
      <c r="BH17" t="s">
        <v>563</v>
      </c>
      <c r="BI17" s="382">
        <v>34882.570383840008</v>
      </c>
      <c r="BJ17">
        <v>0.5</v>
      </c>
    </row>
    <row r="18" spans="1:65">
      <c r="A18" s="203" t="s">
        <v>796</v>
      </c>
      <c r="B18" s="36">
        <v>135.94984003236291</v>
      </c>
      <c r="C18" s="36">
        <v>27.810934711455491</v>
      </c>
      <c r="D18" s="36">
        <v>42.045863343340358</v>
      </c>
      <c r="E18" s="36">
        <v>0</v>
      </c>
      <c r="F18" s="36">
        <v>5.1703067200649118</v>
      </c>
      <c r="G18" s="36">
        <v>6.2226748875781608</v>
      </c>
      <c r="H18" s="36">
        <v>4.2485008999999998</v>
      </c>
      <c r="I18" s="36">
        <v>0</v>
      </c>
      <c r="J18" s="36">
        <v>2.8070987000000001</v>
      </c>
      <c r="K18" s="36">
        <v>0</v>
      </c>
      <c r="L18" s="36">
        <v>2.3069980000000001</v>
      </c>
      <c r="M18" s="36">
        <v>0</v>
      </c>
      <c r="N18" s="36">
        <v>0.79200020000000004</v>
      </c>
      <c r="O18" s="36">
        <v>0</v>
      </c>
      <c r="P18" s="36">
        <v>8.4478718768376897</v>
      </c>
      <c r="Q18" s="36">
        <v>18.787168910553589</v>
      </c>
      <c r="R18" s="36">
        <v>0</v>
      </c>
      <c r="S18" s="36">
        <v>8.047815697452991E-2</v>
      </c>
      <c r="T18" s="36">
        <v>7.1600015999999993</v>
      </c>
      <c r="U18" s="36">
        <v>0</v>
      </c>
      <c r="V18" s="36">
        <v>12.943001600000002</v>
      </c>
      <c r="W18" s="36">
        <v>1.7100008999999998</v>
      </c>
      <c r="X18" s="44">
        <v>159.20281394983564</v>
      </c>
      <c r="Y18" s="279">
        <v>0</v>
      </c>
      <c r="Z18" s="279">
        <v>7.2861931842276406E-2</v>
      </c>
      <c r="AA18" s="44">
        <v>0.17496515046308295</v>
      </c>
      <c r="AB18" s="44">
        <v>3.4211626377717064</v>
      </c>
      <c r="AC18" s="36">
        <v>0.87420632211365812</v>
      </c>
      <c r="AD18" s="36">
        <v>54.715543353753027</v>
      </c>
      <c r="AE18" s="36">
        <v>0</v>
      </c>
      <c r="AF18" s="36">
        <v>0</v>
      </c>
      <c r="AG18" s="105">
        <v>0</v>
      </c>
      <c r="AH18" s="105">
        <v>0</v>
      </c>
      <c r="AI18" s="105">
        <v>0</v>
      </c>
      <c r="AJ18" s="105">
        <v>0</v>
      </c>
      <c r="AK18" s="36">
        <v>494.94429388494711</v>
      </c>
      <c r="AL18" s="213">
        <v>1</v>
      </c>
      <c r="AM18" s="203" t="s">
        <v>1100</v>
      </c>
      <c r="AN18" s="93">
        <v>2.4855579716708087</v>
      </c>
      <c r="AO18" s="93">
        <v>1.108990919644667</v>
      </c>
      <c r="AQ18" s="99" t="s">
        <v>838</v>
      </c>
      <c r="AR18" s="100" t="s">
        <v>593</v>
      </c>
      <c r="AS18" s="101">
        <v>0</v>
      </c>
      <c r="AT18" s="101">
        <v>0</v>
      </c>
      <c r="AU18" s="101">
        <v>0</v>
      </c>
      <c r="AX18" s="184" t="str">
        <f>$O$38</f>
        <v>INDPTC</v>
      </c>
      <c r="AY18" s="456">
        <f>AS35</f>
        <v>0</v>
      </c>
      <c r="AZ18" s="456">
        <f>AT35</f>
        <v>0</v>
      </c>
      <c r="BA18" s="456">
        <f>AU35</f>
        <v>0</v>
      </c>
      <c r="BB18" s="595">
        <f t="shared" si="0"/>
        <v>0</v>
      </c>
      <c r="BC18" s="595">
        <f t="shared" si="1"/>
        <v>0</v>
      </c>
      <c r="BH18" t="s">
        <v>705</v>
      </c>
      <c r="BI18" s="382">
        <v>26445.782779560002</v>
      </c>
      <c r="BJ18">
        <v>0.5</v>
      </c>
    </row>
    <row r="19" spans="1:65">
      <c r="A19" s="203" t="s">
        <v>1014</v>
      </c>
      <c r="B19" s="36">
        <v>3.6035997000000002</v>
      </c>
      <c r="C19" s="36">
        <v>0.29699900000000001</v>
      </c>
      <c r="D19" s="36">
        <v>2.0239995999999998</v>
      </c>
      <c r="E19" s="36">
        <v>0</v>
      </c>
      <c r="F19" s="36">
        <v>0</v>
      </c>
      <c r="G19" s="36">
        <v>9.9184999999999985E-3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0.15999860000000002</v>
      </c>
      <c r="Q19" s="36">
        <v>1.6614017999999999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44">
        <v>0.10600140000000001</v>
      </c>
      <c r="Y19" s="44">
        <v>0</v>
      </c>
      <c r="Z19" s="44">
        <v>0</v>
      </c>
      <c r="AA19" s="44">
        <v>2.4999400000000005E-2</v>
      </c>
      <c r="AB19" s="44">
        <v>8.00014E-2</v>
      </c>
      <c r="AC19" s="36">
        <v>2.1001000000000002E-2</v>
      </c>
      <c r="AD19" s="36">
        <v>10.90335849999996</v>
      </c>
      <c r="AE19" s="36">
        <v>0</v>
      </c>
      <c r="AF19" s="36">
        <v>0</v>
      </c>
      <c r="AG19" s="105">
        <v>0</v>
      </c>
      <c r="AH19" s="105">
        <v>0</v>
      </c>
      <c r="AI19" s="105">
        <v>0</v>
      </c>
      <c r="AJ19" s="105">
        <v>0</v>
      </c>
      <c r="AK19" s="36">
        <v>18.891278899999961</v>
      </c>
      <c r="AL19" s="213"/>
      <c r="AM19" s="203" t="s">
        <v>1101</v>
      </c>
      <c r="AN19" s="93">
        <v>10.967453117548734</v>
      </c>
      <c r="AO19" s="93">
        <v>6.9678236713681674</v>
      </c>
      <c r="AQ19" s="99" t="s">
        <v>841</v>
      </c>
      <c r="AR19" s="100" t="s">
        <v>805</v>
      </c>
      <c r="AS19" s="101">
        <v>0</v>
      </c>
      <c r="AT19" s="101">
        <v>0</v>
      </c>
      <c r="AU19" s="101">
        <v>0</v>
      </c>
      <c r="AX19" s="184" t="str">
        <f>$P$38</f>
        <v>INDBIO</v>
      </c>
      <c r="AY19" s="456">
        <f>SUM(AS26:AS28)</f>
        <v>5.4240670416282537</v>
      </c>
      <c r="AZ19" s="456">
        <f>SUM(AT26:AT28)</f>
        <v>1.3230396</v>
      </c>
      <c r="BA19" s="456">
        <f>SUM(AU26:AU28)</f>
        <v>2.8829999999999982</v>
      </c>
      <c r="BB19" s="595">
        <f t="shared" si="0"/>
        <v>0.24392021519019352</v>
      </c>
      <c r="BC19" s="595">
        <f t="shared" si="1"/>
        <v>0.45891071800208144</v>
      </c>
      <c r="BH19" t="s">
        <v>1097</v>
      </c>
      <c r="BI19" s="382">
        <v>332.16270875999999</v>
      </c>
      <c r="BJ19" s="2">
        <v>1</v>
      </c>
    </row>
    <row r="20" spans="1:65">
      <c r="A20" s="206" t="s">
        <v>594</v>
      </c>
      <c r="B20" s="36">
        <v>0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5.0268019000000006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36">
        <v>0</v>
      </c>
      <c r="AD20" s="36">
        <v>0</v>
      </c>
      <c r="AE20" s="36">
        <v>0</v>
      </c>
      <c r="AF20" s="36">
        <v>0</v>
      </c>
      <c r="AG20" s="105">
        <v>0</v>
      </c>
      <c r="AH20" s="105">
        <v>0</v>
      </c>
      <c r="AI20" s="105">
        <v>0</v>
      </c>
      <c r="AJ20" s="105">
        <v>0</v>
      </c>
      <c r="AK20" s="36">
        <v>5.0268019000000006</v>
      </c>
      <c r="AL20" s="213"/>
      <c r="AM20" s="203" t="s">
        <v>1102</v>
      </c>
      <c r="AN20" s="93">
        <v>7.4884993229087922</v>
      </c>
      <c r="AO20" s="93">
        <v>5.2357615884360769</v>
      </c>
      <c r="AQ20" s="99" t="s">
        <v>756</v>
      </c>
      <c r="AR20" s="100" t="s">
        <v>562</v>
      </c>
      <c r="AS20" s="101">
        <v>0</v>
      </c>
      <c r="AT20" s="101">
        <v>0</v>
      </c>
      <c r="AU20" s="101">
        <v>0</v>
      </c>
      <c r="AX20" s="184" t="str">
        <f>$P$38</f>
        <v>INDBIO</v>
      </c>
      <c r="AY20" s="456">
        <f>SUM(AS26:AS30)-AY19</f>
        <v>52.065011231714173</v>
      </c>
      <c r="AZ20" s="456">
        <f>SUM(AT26:AT30)-AZ19</f>
        <v>24.802936096088857</v>
      </c>
      <c r="BA20" s="456">
        <f>SUM(AU26:AU30)-BA19</f>
        <v>17.576975030900535</v>
      </c>
      <c r="BB20" s="595">
        <f t="shared" si="0"/>
        <v>0.47638395746625201</v>
      </c>
      <c r="BC20" s="595">
        <f t="shared" si="1"/>
        <v>1.4111037907538126</v>
      </c>
      <c r="BH20" t="s">
        <v>86</v>
      </c>
      <c r="BI20" s="382">
        <v>508.92982344000001</v>
      </c>
      <c r="BJ20" s="285">
        <f>0.384999605483794*0+0.24</f>
        <v>0.24</v>
      </c>
    </row>
    <row r="21" spans="1:65">
      <c r="A21" s="203" t="s">
        <v>903</v>
      </c>
      <c r="B21" s="36">
        <v>0</v>
      </c>
      <c r="C21" s="36">
        <v>4.0056073770566876</v>
      </c>
      <c r="D21" s="36">
        <v>24.375823737595688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0.74412801135194773</v>
      </c>
      <c r="O21" s="36">
        <v>0</v>
      </c>
      <c r="P21" s="36">
        <v>1.5784525829918572</v>
      </c>
      <c r="Q21" s="36">
        <v>0</v>
      </c>
      <c r="R21" s="36">
        <v>0</v>
      </c>
      <c r="S21" s="36">
        <v>0</v>
      </c>
      <c r="T21" s="36">
        <v>3.6830572797214436</v>
      </c>
      <c r="U21" s="36">
        <v>0</v>
      </c>
      <c r="V21" s="36">
        <v>9.5909812112823811</v>
      </c>
      <c r="W21" s="36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36">
        <v>0</v>
      </c>
      <c r="AD21" s="36">
        <v>0</v>
      </c>
      <c r="AE21" s="36">
        <v>0</v>
      </c>
      <c r="AF21" s="36">
        <v>0</v>
      </c>
      <c r="AG21" s="105">
        <v>0</v>
      </c>
      <c r="AH21" s="105">
        <v>0</v>
      </c>
      <c r="AI21" s="105">
        <v>0</v>
      </c>
      <c r="AJ21" s="105">
        <v>0</v>
      </c>
      <c r="AK21" s="36">
        <v>43.978050200000006</v>
      </c>
      <c r="AL21" s="213"/>
      <c r="AM21" s="203" t="s">
        <v>1103</v>
      </c>
      <c r="AN21" s="93">
        <v>15.229429990985782</v>
      </c>
      <c r="AO21" s="93">
        <v>6.0892797447223428</v>
      </c>
      <c r="AQ21" s="99" t="s">
        <v>840</v>
      </c>
      <c r="AR21" s="100" t="s">
        <v>893</v>
      </c>
      <c r="AS21" s="101">
        <v>0</v>
      </c>
      <c r="AT21" s="101">
        <v>0</v>
      </c>
      <c r="AU21" s="101">
        <v>0</v>
      </c>
      <c r="AX21" s="184" t="str">
        <f>$Q$38</f>
        <v>INDGEO</v>
      </c>
      <c r="AY21" s="456">
        <f>AS39</f>
        <v>0</v>
      </c>
      <c r="AZ21" s="456">
        <f>AT39</f>
        <v>0</v>
      </c>
      <c r="BA21" s="456">
        <f>AU39</f>
        <v>0</v>
      </c>
      <c r="BB21" s="595">
        <f t="shared" si="0"/>
        <v>0</v>
      </c>
      <c r="BC21" s="595">
        <f t="shared" si="1"/>
        <v>0</v>
      </c>
      <c r="BH21" t="s">
        <v>1098</v>
      </c>
      <c r="BI21" s="382">
        <v>672.59016071999997</v>
      </c>
      <c r="BJ21" s="2">
        <v>1</v>
      </c>
    </row>
    <row r="22" spans="1:65">
      <c r="A22" s="207" t="s">
        <v>19</v>
      </c>
      <c r="B22" s="36">
        <v>0</v>
      </c>
      <c r="C22" s="36">
        <v>0</v>
      </c>
      <c r="D22" s="36">
        <v>0.59800070000000005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36">
        <v>0</v>
      </c>
      <c r="AD22" s="36">
        <v>0</v>
      </c>
      <c r="AE22" s="36">
        <v>0</v>
      </c>
      <c r="AF22" s="36">
        <v>0</v>
      </c>
      <c r="AG22" s="44">
        <v>1.3079981999999999</v>
      </c>
      <c r="AH22" s="44">
        <v>2.9819980999999993</v>
      </c>
      <c r="AI22" s="44">
        <v>8.5800008999999999</v>
      </c>
      <c r="AJ22" s="44">
        <v>8.00014E-2</v>
      </c>
      <c r="AK22" s="36">
        <v>13.547999300000001</v>
      </c>
      <c r="AL22" s="213"/>
      <c r="AM22" s="203" t="s">
        <v>1104</v>
      </c>
      <c r="AN22" s="93">
        <v>25.860025487460604</v>
      </c>
      <c r="AO22" s="93">
        <v>5.7412626888017391</v>
      </c>
      <c r="AQ22" s="99" t="s">
        <v>839</v>
      </c>
      <c r="AR22" s="100" t="s">
        <v>594</v>
      </c>
      <c r="AS22" s="101">
        <v>0.3200905534009803</v>
      </c>
      <c r="AT22" s="101">
        <v>1.2592182039350643E-2</v>
      </c>
      <c r="AU22" s="101">
        <v>0.31157475932260614</v>
      </c>
      <c r="AX22" s="111" t="s">
        <v>590</v>
      </c>
      <c r="AY22" s="2">
        <f>SUM(AY7:AY21)</f>
        <v>84.029391316887683</v>
      </c>
      <c r="AZ22" s="2">
        <f>SUM(AZ7:AZ21)</f>
        <v>32.051452862017186</v>
      </c>
      <c r="BA22" s="2">
        <f>SUM(BA7:BA21)</f>
        <v>37.929287486301462</v>
      </c>
      <c r="BB22" s="2">
        <f t="shared" si="0"/>
        <v>0.38143145344402479</v>
      </c>
      <c r="BC22" s="2">
        <f t="shared" si="1"/>
        <v>0.84503176796012547</v>
      </c>
      <c r="BH22" t="s">
        <v>1099</v>
      </c>
      <c r="BI22" s="382">
        <v>872.9683153200001</v>
      </c>
      <c r="BJ22" s="2">
        <v>0.9</v>
      </c>
    </row>
    <row r="23" spans="1:65">
      <c r="A23" s="203" t="s">
        <v>20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36">
        <v>0</v>
      </c>
      <c r="AD23" s="36">
        <v>0</v>
      </c>
      <c r="AE23" s="36">
        <v>0</v>
      </c>
      <c r="AF23" s="36">
        <v>0</v>
      </c>
      <c r="AG23" s="44">
        <v>0</v>
      </c>
      <c r="AH23" s="44">
        <v>0</v>
      </c>
      <c r="AI23" s="44">
        <v>0</v>
      </c>
      <c r="AJ23" s="44">
        <v>0</v>
      </c>
      <c r="AK23" s="36">
        <v>0</v>
      </c>
      <c r="AL23" s="213"/>
      <c r="AM23" s="203" t="s">
        <v>1105</v>
      </c>
      <c r="AN23" s="93">
        <v>12.983560400443899</v>
      </c>
      <c r="AO23" s="93">
        <v>1.21290762</v>
      </c>
      <c r="AQ23" s="99" t="s">
        <v>837</v>
      </c>
      <c r="AR23" s="100" t="s">
        <v>890</v>
      </c>
      <c r="AS23" s="101">
        <v>0</v>
      </c>
      <c r="AT23" s="101">
        <v>0</v>
      </c>
      <c r="AU23" s="101">
        <v>0</v>
      </c>
      <c r="AZ23" s="2">
        <f t="array" ref="AZ23">MAX(0.01,SUM(IF($AY7:$AY21&gt;0,AZ7:AZ21,0)))</f>
        <v>32.051452862017186</v>
      </c>
      <c r="BA23" s="2">
        <f t="array" ref="BA23">MAX(0.01,SUM(IF($AY7:$AY21&gt;0,BA7:BA21,0)))</f>
        <v>37.929287486301462</v>
      </c>
      <c r="BH23" t="s">
        <v>1341</v>
      </c>
      <c r="BI23" s="382">
        <v>10</v>
      </c>
      <c r="BJ23" s="105">
        <v>0.6</v>
      </c>
    </row>
    <row r="24" spans="1:65" ht="13.5" thickBot="1">
      <c r="A24" s="203"/>
      <c r="B24" s="43" t="s">
        <v>557</v>
      </c>
      <c r="C24" s="43" t="s">
        <v>951</v>
      </c>
      <c r="D24" s="43" t="s">
        <v>1084</v>
      </c>
      <c r="E24" s="43" t="s">
        <v>756</v>
      </c>
      <c r="F24" s="43" t="s">
        <v>952</v>
      </c>
      <c r="G24" s="43" t="s">
        <v>953</v>
      </c>
      <c r="H24" s="43" t="s">
        <v>954</v>
      </c>
      <c r="I24" s="43" t="s">
        <v>955</v>
      </c>
      <c r="J24" s="43" t="s">
        <v>956</v>
      </c>
      <c r="K24" s="43" t="s">
        <v>830</v>
      </c>
      <c r="L24" s="43" t="s">
        <v>831</v>
      </c>
      <c r="M24" s="43" t="s">
        <v>832</v>
      </c>
      <c r="N24" s="43" t="s">
        <v>833</v>
      </c>
      <c r="O24" s="43" t="s">
        <v>834</v>
      </c>
      <c r="P24" s="43" t="s">
        <v>835</v>
      </c>
      <c r="Q24" s="43" t="s">
        <v>836</v>
      </c>
      <c r="R24" s="43" t="s">
        <v>837</v>
      </c>
      <c r="S24" s="43" t="s">
        <v>838</v>
      </c>
      <c r="T24" s="43" t="s">
        <v>839</v>
      </c>
      <c r="U24" s="43" t="s">
        <v>843</v>
      </c>
      <c r="V24" s="43" t="s">
        <v>841</v>
      </c>
      <c r="W24" s="43" t="s">
        <v>842</v>
      </c>
      <c r="X24" s="43" t="s">
        <v>606</v>
      </c>
      <c r="Y24" s="43" t="s">
        <v>846</v>
      </c>
      <c r="Z24" s="43" t="s">
        <v>1289</v>
      </c>
      <c r="AA24" s="145" t="s">
        <v>847</v>
      </c>
      <c r="AB24" s="43" t="s">
        <v>608</v>
      </c>
      <c r="AC24" s="43" t="s">
        <v>609</v>
      </c>
      <c r="AD24" s="43" t="s">
        <v>844</v>
      </c>
      <c r="AE24" s="43" t="s">
        <v>845</v>
      </c>
      <c r="AF24" s="43" t="s">
        <v>757</v>
      </c>
      <c r="AG24" s="94" t="s">
        <v>310</v>
      </c>
      <c r="AH24" s="94" t="s">
        <v>311</v>
      </c>
      <c r="AI24" s="94" t="s">
        <v>312</v>
      </c>
      <c r="AJ24" s="94" t="s">
        <v>313</v>
      </c>
      <c r="AK24" s="43"/>
      <c r="AL24" s="203"/>
      <c r="AM24" s="203"/>
      <c r="AN24" s="203"/>
      <c r="AQ24" s="99" t="s">
        <v>835</v>
      </c>
      <c r="AR24" s="100" t="s">
        <v>802</v>
      </c>
      <c r="AS24" s="101">
        <v>1.8483755639505774</v>
      </c>
      <c r="AT24" s="101">
        <v>0.17701211214303886</v>
      </c>
      <c r="AU24" s="101">
        <v>1.5244797649010129</v>
      </c>
      <c r="AX24" s="245"/>
      <c r="AY24" s="284" t="s">
        <v>997</v>
      </c>
      <c r="AZ24" s="284" t="s">
        <v>999</v>
      </c>
      <c r="BA24" s="284" t="s">
        <v>1000</v>
      </c>
      <c r="BB24" s="284" t="s">
        <v>998</v>
      </c>
      <c r="BC24" s="284" t="s">
        <v>739</v>
      </c>
      <c r="BD24" s="385">
        <f>SUMPRODUCT(AY7:AY21,AZ25:AZ39,BC25:BC39)</f>
        <v>0.41361689082624342</v>
      </c>
    </row>
    <row r="25" spans="1:65">
      <c r="A25" s="203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40"/>
      <c r="AB25" s="239"/>
      <c r="AC25" s="239"/>
      <c r="AD25" s="239"/>
      <c r="AE25" s="239"/>
      <c r="AF25" s="239"/>
      <c r="AG25" s="237"/>
      <c r="AH25" s="237"/>
      <c r="AI25" s="237"/>
      <c r="AJ25" s="237"/>
      <c r="AK25" s="239"/>
      <c r="AL25" s="203"/>
      <c r="AM25" s="203"/>
      <c r="AN25" s="203"/>
      <c r="AQ25" s="99" t="s">
        <v>902</v>
      </c>
      <c r="AR25" s="100" t="s">
        <v>902</v>
      </c>
      <c r="AS25" s="131">
        <v>2.2965712327501544</v>
      </c>
      <c r="AT25" s="131">
        <v>0.20818605227420767</v>
      </c>
      <c r="AU25" s="131">
        <v>1.9161867046311831</v>
      </c>
      <c r="AX25" s="184" t="str">
        <f>$C$38</f>
        <v>INDNGA</v>
      </c>
      <c r="AY25" s="469">
        <v>0.84</v>
      </c>
      <c r="AZ25" s="470">
        <f t="shared" ref="AZ25:AZ39" si="3">MAX(0.15,BB7*AZ$22/AZ$23*(1-AZ$4))</f>
        <v>0.25153285208009418</v>
      </c>
      <c r="BA25" s="285">
        <f t="shared" ref="BA25:BA39" ca="1" si="4">MAX(0.01,(MAX(AY25,MIN(1,AZ25+BA7/(AY7+Tiny)*BA$22/BA$23))-AZ25)/AZ25)</f>
        <v>2.5134552217355774</v>
      </c>
      <c r="BB25" s="471">
        <f t="shared" ref="BB25:BB39" si="5">AZ25*BA25*AY7</f>
        <v>8.475938561588908</v>
      </c>
      <c r="BC25" s="129">
        <v>0.1</v>
      </c>
      <c r="BD25" s="471">
        <f t="shared" ref="BD25:BD39" si="6">IF(BD$24&gt;0,AZ25*AY7*BC25*$BE$10/$BD$24*BA25)</f>
        <v>2.8680064888808205</v>
      </c>
    </row>
    <row r="26" spans="1:65" ht="18">
      <c r="A26" s="86" t="s">
        <v>957</v>
      </c>
      <c r="B26" s="88"/>
      <c r="C26" s="88"/>
      <c r="D26" s="88"/>
      <c r="E26" s="88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Q26" s="99" t="s">
        <v>607</v>
      </c>
      <c r="AR26" s="100" t="s">
        <v>652</v>
      </c>
      <c r="AS26" s="101">
        <v>0.49616011799429416</v>
      </c>
      <c r="AT26" s="101">
        <v>0.38519999999999999</v>
      </c>
      <c r="AU26" s="101">
        <v>0.124</v>
      </c>
      <c r="AX26" s="184" t="str">
        <f>$D$38</f>
        <v>INDLPG</v>
      </c>
      <c r="AY26" s="469">
        <v>0.84</v>
      </c>
      <c r="AZ26" s="470">
        <f t="shared" si="3"/>
        <v>0.15</v>
      </c>
      <c r="BA26" s="285">
        <f t="shared" ca="1" si="4"/>
        <v>4.5999999999999996</v>
      </c>
      <c r="BB26" s="471">
        <f t="shared" si="5"/>
        <v>0</v>
      </c>
      <c r="BC26" s="129">
        <v>0.1</v>
      </c>
      <c r="BD26" s="471">
        <f t="shared" si="6"/>
        <v>0</v>
      </c>
    </row>
    <row r="27" spans="1:65">
      <c r="A27" s="203"/>
      <c r="B27" s="41" t="s">
        <v>781</v>
      </c>
      <c r="C27" s="41" t="s">
        <v>894</v>
      </c>
      <c r="D27" s="41" t="s">
        <v>663</v>
      </c>
      <c r="E27" s="41" t="s">
        <v>562</v>
      </c>
      <c r="F27" s="41" t="s">
        <v>545</v>
      </c>
      <c r="G27" s="41" t="s">
        <v>561</v>
      </c>
      <c r="H27" s="41" t="s">
        <v>898</v>
      </c>
      <c r="I27" s="41" t="s">
        <v>897</v>
      </c>
      <c r="J27" s="41" t="s">
        <v>1149</v>
      </c>
      <c r="K27" s="41" t="s">
        <v>895</v>
      </c>
      <c r="L27" s="41" t="s">
        <v>544</v>
      </c>
      <c r="M27" s="41" t="s">
        <v>779</v>
      </c>
      <c r="N27" s="41" t="s">
        <v>780</v>
      </c>
      <c r="O27" s="41" t="s">
        <v>899</v>
      </c>
      <c r="P27" s="41" t="s">
        <v>900</v>
      </c>
      <c r="Q27" s="41" t="s">
        <v>949</v>
      </c>
      <c r="R27" s="41" t="s">
        <v>901</v>
      </c>
      <c r="S27" s="41" t="s">
        <v>782</v>
      </c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Q27" s="99" t="s">
        <v>609</v>
      </c>
      <c r="AR27" s="100" t="s">
        <v>595</v>
      </c>
      <c r="AS27" s="101">
        <v>0.81099990000000011</v>
      </c>
      <c r="AT27" s="101">
        <v>0.20879999999999999</v>
      </c>
      <c r="AU27" s="101">
        <v>0.34100000000000003</v>
      </c>
      <c r="AX27" s="184" t="str">
        <f>$E$38</f>
        <v>INDNGL</v>
      </c>
      <c r="AY27" s="469">
        <v>0.82</v>
      </c>
      <c r="AZ27" s="470">
        <f t="shared" si="3"/>
        <v>0.15</v>
      </c>
      <c r="BA27" s="285">
        <f t="shared" ca="1" si="4"/>
        <v>4.4666666666666668</v>
      </c>
      <c r="BB27" s="471">
        <f t="shared" si="5"/>
        <v>0</v>
      </c>
      <c r="BC27" s="129">
        <v>0.1</v>
      </c>
      <c r="BD27" s="471">
        <f t="shared" si="6"/>
        <v>0</v>
      </c>
    </row>
    <row r="28" spans="1:65">
      <c r="A28" s="237" t="s">
        <v>568</v>
      </c>
      <c r="B28" s="40">
        <f t="shared" ref="B28:B37" si="7">$B12</f>
        <v>15.175888659665604</v>
      </c>
      <c r="C28" s="40">
        <f t="shared" ref="C28:C37" si="8">$C12+$M12</f>
        <v>2.3161990000000001</v>
      </c>
      <c r="D28" s="40">
        <f t="shared" ref="D28:D37" si="9">$D12</f>
        <v>4.6389999</v>
      </c>
      <c r="E28" s="40">
        <f t="shared" ref="E28:E37" si="10">MAX(0,$E12)</f>
        <v>0</v>
      </c>
      <c r="F28" s="40">
        <f t="shared" ref="F28:F37" si="11">$F12</f>
        <v>1.0897709</v>
      </c>
      <c r="G28" s="40">
        <f t="shared" ref="G28:G37" si="12">$H12</f>
        <v>3.8089998999999994</v>
      </c>
      <c r="H28" s="40">
        <f t="shared" ref="H28:H37" si="13">$J12</f>
        <v>2.1518980000000001</v>
      </c>
      <c r="I28" s="40">
        <f t="shared" ref="I28:I37" si="14">MAX(0,$K12+$I12+$L12)</f>
        <v>1.6240011000000001</v>
      </c>
      <c r="J28" s="40">
        <f t="shared" ref="J28:J37" si="15">MAX(0,$G12)</f>
        <v>0</v>
      </c>
      <c r="K28" s="40">
        <f t="shared" ref="K28:K37" si="16">$P12+$O12+$T12</f>
        <v>4.00007E-2</v>
      </c>
      <c r="L28" s="40">
        <f t="shared" ref="L28:L37" si="17">$Q12+$R12+$S12+$AF12</f>
        <v>0.12780209999999997</v>
      </c>
      <c r="M28" s="40">
        <f t="shared" ref="M28:M37" si="18">$U12+$N12</f>
        <v>0</v>
      </c>
      <c r="N28" s="40">
        <f t="shared" ref="N28:N37" si="19">$V12</f>
        <v>0</v>
      </c>
      <c r="O28" s="40">
        <f t="shared" ref="O28:O37" si="20">$W12</f>
        <v>0</v>
      </c>
      <c r="P28" s="40">
        <f t="shared" ref="P28:P37" si="21">SUM(X12:AC12)</f>
        <v>2.0013000000000001E-3</v>
      </c>
      <c r="Q28" s="40">
        <f t="shared" ref="Q28:Q37" si="22">$AE12</f>
        <v>0</v>
      </c>
      <c r="R28" s="40">
        <f t="shared" ref="R28:R37" si="23">$AD12</f>
        <v>1.498</v>
      </c>
      <c r="S28" s="40">
        <f t="shared" ref="S28:S37" si="24">SUM(B28:R28)</f>
        <v>32.473561559665605</v>
      </c>
      <c r="T28" s="203" t="str">
        <f t="shared" ref="T28:T34" si="25">A28</f>
        <v>IIS</v>
      </c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Q28" s="99" t="s">
        <v>608</v>
      </c>
      <c r="AR28" s="100" t="s">
        <v>178</v>
      </c>
      <c r="AS28" s="101">
        <v>4.11690702363396</v>
      </c>
      <c r="AT28" s="101">
        <v>0.72903960000000012</v>
      </c>
      <c r="AU28" s="101">
        <v>2.4179999999999984</v>
      </c>
      <c r="AX28" s="184" t="str">
        <f>$F$38</f>
        <v>INDCOA</v>
      </c>
      <c r="AY28" s="105">
        <v>0.81</v>
      </c>
      <c r="AZ28" s="470">
        <f t="shared" si="3"/>
        <v>0.50416016425029064</v>
      </c>
      <c r="BA28" s="285">
        <f t="shared" ca="1" si="4"/>
        <v>0.66009489584283099</v>
      </c>
      <c r="BB28" s="471">
        <f t="shared" si="5"/>
        <v>0.22893347360178015</v>
      </c>
      <c r="BC28" s="129">
        <v>0</v>
      </c>
      <c r="BD28" s="471">
        <f t="shared" si="6"/>
        <v>0</v>
      </c>
    </row>
    <row r="29" spans="1:65">
      <c r="A29" s="237" t="s">
        <v>880</v>
      </c>
      <c r="B29" s="40">
        <f t="shared" si="7"/>
        <v>6.7986879596656005</v>
      </c>
      <c r="C29" s="40">
        <f t="shared" si="8"/>
        <v>4.6800100000000004E-2</v>
      </c>
      <c r="D29" s="40">
        <f t="shared" si="9"/>
        <v>0.73300180000000004</v>
      </c>
      <c r="E29" s="40">
        <f t="shared" si="10"/>
        <v>0</v>
      </c>
      <c r="F29" s="40">
        <f t="shared" si="11"/>
        <v>2.4811E-2</v>
      </c>
      <c r="G29" s="40">
        <f t="shared" si="12"/>
        <v>0.23439800000000002</v>
      </c>
      <c r="H29" s="40">
        <f t="shared" si="13"/>
        <v>0</v>
      </c>
      <c r="I29" s="40">
        <f t="shared" si="14"/>
        <v>0</v>
      </c>
      <c r="J29" s="40">
        <f t="shared" si="15"/>
        <v>9.9184999999999985E-3</v>
      </c>
      <c r="K29" s="40">
        <f t="shared" si="16"/>
        <v>0.31900130000000004</v>
      </c>
      <c r="L29" s="40">
        <f t="shared" si="17"/>
        <v>0</v>
      </c>
      <c r="M29" s="40">
        <f t="shared" si="18"/>
        <v>0</v>
      </c>
      <c r="N29" s="40">
        <f t="shared" si="19"/>
        <v>0</v>
      </c>
      <c r="O29" s="40">
        <f t="shared" si="20"/>
        <v>0</v>
      </c>
      <c r="P29" s="40">
        <f t="shared" si="21"/>
        <v>0</v>
      </c>
      <c r="Q29" s="40">
        <f t="shared" si="22"/>
        <v>0</v>
      </c>
      <c r="R29" s="40">
        <f t="shared" si="23"/>
        <v>2.4910000000000001</v>
      </c>
      <c r="S29" s="40">
        <f t="shared" si="24"/>
        <v>10.6576186596656</v>
      </c>
      <c r="T29" s="203" t="str">
        <f t="shared" si="25"/>
        <v>INF</v>
      </c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Q29" s="99" t="s">
        <v>606</v>
      </c>
      <c r="AR29" s="100" t="s">
        <v>947</v>
      </c>
      <c r="AS29" s="101">
        <v>52.065011231714173</v>
      </c>
      <c r="AT29" s="101">
        <v>24.802936096088857</v>
      </c>
      <c r="AU29" s="101">
        <v>17.576975030900535</v>
      </c>
      <c r="AX29" s="184" t="str">
        <f>$G$38</f>
        <v>INDCOK</v>
      </c>
      <c r="AY29" s="105">
        <v>0.8</v>
      </c>
      <c r="AZ29" s="470">
        <f t="shared" si="3"/>
        <v>0.15</v>
      </c>
      <c r="BA29" s="285">
        <f t="shared" ca="1" si="4"/>
        <v>4.3333333333333339</v>
      </c>
      <c r="BB29" s="471">
        <f t="shared" si="5"/>
        <v>0</v>
      </c>
      <c r="BC29" s="129">
        <v>0.1</v>
      </c>
      <c r="BD29" s="471">
        <f t="shared" si="6"/>
        <v>0</v>
      </c>
    </row>
    <row r="30" spans="1:65">
      <c r="A30" s="237" t="s">
        <v>787</v>
      </c>
      <c r="B30" s="40">
        <f t="shared" si="7"/>
        <v>16.341565534315333</v>
      </c>
      <c r="C30" s="40">
        <f t="shared" si="8"/>
        <v>5.5996028999999998</v>
      </c>
      <c r="D30" s="40">
        <f t="shared" si="9"/>
        <v>30.683000699999997</v>
      </c>
      <c r="E30" s="40">
        <f t="shared" si="10"/>
        <v>0</v>
      </c>
      <c r="F30" s="40">
        <f t="shared" si="11"/>
        <v>0</v>
      </c>
      <c r="G30" s="40">
        <f t="shared" si="12"/>
        <v>0</v>
      </c>
      <c r="H30" s="40">
        <f t="shared" si="13"/>
        <v>0</v>
      </c>
      <c r="I30" s="40">
        <f t="shared" si="14"/>
        <v>0</v>
      </c>
      <c r="J30" s="40">
        <f t="shared" si="15"/>
        <v>0</v>
      </c>
      <c r="K30" s="40">
        <f t="shared" si="16"/>
        <v>9.2720012000000001</v>
      </c>
      <c r="L30" s="40">
        <f t="shared" si="17"/>
        <v>0.2099993</v>
      </c>
      <c r="M30" s="40">
        <f t="shared" si="18"/>
        <v>0.79200020000000004</v>
      </c>
      <c r="N30" s="40">
        <f t="shared" si="19"/>
        <v>12.943001600000002</v>
      </c>
      <c r="O30" s="40">
        <f t="shared" si="20"/>
        <v>0</v>
      </c>
      <c r="P30" s="40">
        <f t="shared" si="21"/>
        <v>0.79099959999999991</v>
      </c>
      <c r="Q30" s="40">
        <f t="shared" si="22"/>
        <v>0</v>
      </c>
      <c r="R30" s="40">
        <f t="shared" si="23"/>
        <v>11.805999999999999</v>
      </c>
      <c r="S30" s="40">
        <f t="shared" si="24"/>
        <v>88.438171034315332</v>
      </c>
      <c r="T30" s="203" t="str">
        <f t="shared" si="25"/>
        <v>ICH</v>
      </c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Q30" s="99" t="s">
        <v>596</v>
      </c>
      <c r="AR30" s="100" t="s">
        <v>597</v>
      </c>
      <c r="AS30" s="101">
        <v>0</v>
      </c>
      <c r="AT30" s="101">
        <v>0</v>
      </c>
      <c r="AU30" s="101">
        <v>0</v>
      </c>
      <c r="AX30" s="184" t="str">
        <f>$H$38</f>
        <v>INDCOG</v>
      </c>
      <c r="AY30" s="105">
        <v>0.8</v>
      </c>
      <c r="AZ30" s="470">
        <f t="shared" si="3"/>
        <v>0.15</v>
      </c>
      <c r="BA30" s="285">
        <f t="shared" ca="1" si="4"/>
        <v>4.3333333333333339</v>
      </c>
      <c r="BB30" s="471">
        <f t="shared" si="5"/>
        <v>0</v>
      </c>
      <c r="BC30" s="129">
        <v>0.1</v>
      </c>
      <c r="BD30" s="471">
        <f t="shared" si="6"/>
        <v>0</v>
      </c>
      <c r="BM30" s="472"/>
    </row>
    <row r="31" spans="1:65">
      <c r="A31" s="237" t="s">
        <v>978</v>
      </c>
      <c r="B31" s="40">
        <f t="shared" si="7"/>
        <v>64.613676219702754</v>
      </c>
      <c r="C31" s="40">
        <f t="shared" si="8"/>
        <v>17.570998599999999</v>
      </c>
      <c r="D31" s="40">
        <f t="shared" si="9"/>
        <v>1.6550008</v>
      </c>
      <c r="E31" s="40">
        <f t="shared" si="10"/>
        <v>0</v>
      </c>
      <c r="F31" s="40">
        <f t="shared" si="11"/>
        <v>1.9344153000000002</v>
      </c>
      <c r="G31" s="40">
        <f t="shared" si="12"/>
        <v>0</v>
      </c>
      <c r="H31" s="40">
        <f t="shared" si="13"/>
        <v>0</v>
      </c>
      <c r="I31" s="40">
        <f t="shared" si="14"/>
        <v>0</v>
      </c>
      <c r="J31" s="40">
        <f t="shared" si="15"/>
        <v>6.148400800000001</v>
      </c>
      <c r="K31" s="40">
        <f t="shared" si="16"/>
        <v>4.0790030999999995</v>
      </c>
      <c r="L31" s="40">
        <f t="shared" si="17"/>
        <v>0.4259985</v>
      </c>
      <c r="M31" s="40">
        <f t="shared" si="18"/>
        <v>0</v>
      </c>
      <c r="N31" s="40">
        <f t="shared" si="19"/>
        <v>0</v>
      </c>
      <c r="O31" s="40">
        <f t="shared" si="20"/>
        <v>0</v>
      </c>
      <c r="P31" s="40">
        <f t="shared" si="21"/>
        <v>151.42578990000001</v>
      </c>
      <c r="Q31" s="40">
        <f t="shared" si="22"/>
        <v>0</v>
      </c>
      <c r="R31" s="40">
        <f t="shared" si="23"/>
        <v>7.9969999999999999</v>
      </c>
      <c r="S31" s="40">
        <f t="shared" si="24"/>
        <v>255.85028321970276</v>
      </c>
      <c r="T31" s="203" t="str">
        <f t="shared" si="25"/>
        <v>ILP</v>
      </c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Q31" s="99" t="s">
        <v>902</v>
      </c>
      <c r="AR31" s="100" t="s">
        <v>902</v>
      </c>
      <c r="AS31" s="131">
        <v>57.489078273342429</v>
      </c>
      <c r="AT31" s="131">
        <v>26.125975696088858</v>
      </c>
      <c r="AU31" s="131">
        <v>20.459975030900534</v>
      </c>
      <c r="AX31" s="184" t="str">
        <f>$I$38</f>
        <v>INDBFG</v>
      </c>
      <c r="AY31" s="105">
        <v>0.8</v>
      </c>
      <c r="AZ31" s="470">
        <f t="shared" si="3"/>
        <v>0.15</v>
      </c>
      <c r="BA31" s="285">
        <f t="shared" ca="1" si="4"/>
        <v>4.3333333333333339</v>
      </c>
      <c r="BB31" s="471">
        <f t="shared" si="5"/>
        <v>0</v>
      </c>
      <c r="BC31" s="129">
        <v>0</v>
      </c>
      <c r="BD31" s="471">
        <f t="shared" si="6"/>
        <v>0</v>
      </c>
      <c r="BM31" s="472"/>
    </row>
    <row r="32" spans="1:65">
      <c r="A32" s="237" t="s">
        <v>879</v>
      </c>
      <c r="B32" s="40">
        <f t="shared" si="7"/>
        <v>2.8684604888017389</v>
      </c>
      <c r="C32" s="40">
        <f t="shared" si="8"/>
        <v>1.0319985999999999</v>
      </c>
      <c r="D32" s="40">
        <f t="shared" si="9"/>
        <v>0.7599979</v>
      </c>
      <c r="E32" s="40">
        <f t="shared" si="10"/>
        <v>0</v>
      </c>
      <c r="F32" s="40">
        <f t="shared" si="11"/>
        <v>1.7355369</v>
      </c>
      <c r="G32" s="40">
        <f t="shared" si="12"/>
        <v>0.1757995</v>
      </c>
      <c r="H32" s="40">
        <f t="shared" si="13"/>
        <v>0.65520069999999997</v>
      </c>
      <c r="I32" s="40">
        <f t="shared" si="14"/>
        <v>0.68300109999999992</v>
      </c>
      <c r="J32" s="40">
        <f t="shared" si="15"/>
        <v>9.9184999999999985E-3</v>
      </c>
      <c r="K32" s="40">
        <f t="shared" si="16"/>
        <v>0.83700189999999997</v>
      </c>
      <c r="L32" s="40">
        <f t="shared" si="17"/>
        <v>0.33080130000000002</v>
      </c>
      <c r="M32" s="40">
        <f t="shared" si="18"/>
        <v>0</v>
      </c>
      <c r="N32" s="40">
        <f t="shared" si="19"/>
        <v>0</v>
      </c>
      <c r="O32" s="40">
        <f t="shared" si="20"/>
        <v>1.7100008999999998</v>
      </c>
      <c r="P32" s="40">
        <f t="shared" si="21"/>
        <v>1.8629981999999998</v>
      </c>
      <c r="Q32" s="40">
        <f t="shared" si="22"/>
        <v>0</v>
      </c>
      <c r="R32" s="40">
        <f t="shared" si="23"/>
        <v>0.83199999999999996</v>
      </c>
      <c r="S32" s="40">
        <f t="shared" si="24"/>
        <v>13.492715988801738</v>
      </c>
      <c r="T32" s="203" t="str">
        <f t="shared" si="25"/>
        <v>INM</v>
      </c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Q32" s="103" t="s">
        <v>953</v>
      </c>
      <c r="AR32" s="100" t="s">
        <v>193</v>
      </c>
      <c r="AS32" s="101">
        <v>9.8384169549436926</v>
      </c>
      <c r="AT32" s="101">
        <v>1.8055852800723544</v>
      </c>
      <c r="AU32" s="101">
        <v>6.4642929000952867</v>
      </c>
      <c r="AX32" s="184" t="str">
        <f>$J$38</f>
        <v>INDBCO</v>
      </c>
      <c r="AY32" s="105">
        <v>0.81</v>
      </c>
      <c r="AZ32" s="470">
        <f t="shared" si="3"/>
        <v>0.17461830217206853</v>
      </c>
      <c r="BA32" s="285">
        <f t="shared" ca="1" si="4"/>
        <v>3.7627558609738405</v>
      </c>
      <c r="BB32" s="471">
        <f t="shared" si="5"/>
        <v>6.4642928994382398</v>
      </c>
      <c r="BC32" s="129">
        <v>0</v>
      </c>
      <c r="BD32" s="471">
        <f t="shared" si="6"/>
        <v>0</v>
      </c>
      <c r="BM32" s="472"/>
    </row>
    <row r="33" spans="1:65" ht="13.5" thickBot="1">
      <c r="A33" s="237" t="s">
        <v>722</v>
      </c>
      <c r="B33" s="40">
        <f t="shared" si="7"/>
        <v>30.151561170211874</v>
      </c>
      <c r="C33" s="40">
        <f t="shared" si="8"/>
        <v>1.2453355114554923</v>
      </c>
      <c r="D33" s="40">
        <f t="shared" si="9"/>
        <v>3.5758622433403628</v>
      </c>
      <c r="E33" s="40">
        <f t="shared" si="10"/>
        <v>0</v>
      </c>
      <c r="F33" s="40">
        <f t="shared" si="11"/>
        <v>0.3857726200649122</v>
      </c>
      <c r="G33" s="40">
        <f t="shared" si="12"/>
        <v>2.9303500000000149E-2</v>
      </c>
      <c r="H33" s="40">
        <f t="shared" si="13"/>
        <v>0</v>
      </c>
      <c r="I33" s="40">
        <f t="shared" si="14"/>
        <v>0</v>
      </c>
      <c r="J33" s="40">
        <f t="shared" si="15"/>
        <v>5.4437087578159342E-2</v>
      </c>
      <c r="K33" s="40">
        <f t="shared" si="16"/>
        <v>1.0608653768376892</v>
      </c>
      <c r="L33" s="40">
        <f t="shared" si="17"/>
        <v>17.773045867528115</v>
      </c>
      <c r="M33" s="40">
        <f t="shared" si="18"/>
        <v>0</v>
      </c>
      <c r="N33" s="40">
        <f t="shared" si="19"/>
        <v>0</v>
      </c>
      <c r="O33" s="40">
        <f t="shared" si="20"/>
        <v>0</v>
      </c>
      <c r="P33" s="40">
        <f t="shared" si="21"/>
        <v>9.6642209920263564</v>
      </c>
      <c r="Q33" s="40">
        <f t="shared" si="22"/>
        <v>0</v>
      </c>
      <c r="R33" s="40">
        <f t="shared" si="23"/>
        <v>30.091543353753025</v>
      </c>
      <c r="S33" s="40">
        <f t="shared" si="24"/>
        <v>94.031947722795991</v>
      </c>
      <c r="T33" s="203" t="str">
        <f t="shared" si="25"/>
        <v>IOI</v>
      </c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Q33" s="103" t="s">
        <v>952</v>
      </c>
      <c r="AR33" s="100" t="s">
        <v>598</v>
      </c>
      <c r="AS33" s="101">
        <v>0.68791439268865562</v>
      </c>
      <c r="AT33" s="101">
        <v>0.36450705916321657</v>
      </c>
      <c r="AU33" s="101">
        <v>0.22893347393457369</v>
      </c>
      <c r="AX33" s="184" t="str">
        <f>$K$38</f>
        <v>INDHFO</v>
      </c>
      <c r="AY33" s="105">
        <v>0.82</v>
      </c>
      <c r="AZ33" s="470">
        <f t="shared" si="3"/>
        <v>0.15</v>
      </c>
      <c r="BA33" s="285">
        <f t="shared" ca="1" si="4"/>
        <v>5.6447105127605619</v>
      </c>
      <c r="BB33" s="471">
        <f t="shared" si="5"/>
        <v>1.8360545233769123</v>
      </c>
      <c r="BC33" s="129">
        <v>0.1</v>
      </c>
      <c r="BD33" s="471">
        <f t="shared" si="6"/>
        <v>0.62126645311558659</v>
      </c>
      <c r="BF33" s="284"/>
      <c r="BG33" s="284" t="s">
        <v>946</v>
      </c>
      <c r="BH33" s="284" t="s">
        <v>888</v>
      </c>
      <c r="BI33" s="284" t="s">
        <v>736</v>
      </c>
      <c r="BJ33" s="284" t="s">
        <v>737</v>
      </c>
      <c r="BM33" s="472"/>
    </row>
    <row r="34" spans="1:65">
      <c r="A34" s="237" t="str">
        <f>A18</f>
        <v>TOTIND</v>
      </c>
      <c r="B34" s="40">
        <f t="shared" si="7"/>
        <v>135.94984003236291</v>
      </c>
      <c r="C34" s="40">
        <f t="shared" si="8"/>
        <v>27.810934711455491</v>
      </c>
      <c r="D34" s="40">
        <f t="shared" si="9"/>
        <v>42.045863343340358</v>
      </c>
      <c r="E34" s="40">
        <f t="shared" si="10"/>
        <v>0</v>
      </c>
      <c r="F34" s="40">
        <f t="shared" si="11"/>
        <v>5.1703067200649118</v>
      </c>
      <c r="G34" s="40">
        <f t="shared" si="12"/>
        <v>4.2485008999999998</v>
      </c>
      <c r="H34" s="40">
        <f t="shared" si="13"/>
        <v>2.8070987000000001</v>
      </c>
      <c r="I34" s="40">
        <f t="shared" si="14"/>
        <v>2.3069980000000001</v>
      </c>
      <c r="J34" s="40">
        <f t="shared" si="15"/>
        <v>6.2226748875781608</v>
      </c>
      <c r="K34" s="40">
        <f t="shared" si="16"/>
        <v>15.607873476837689</v>
      </c>
      <c r="L34" s="40">
        <f t="shared" si="17"/>
        <v>18.867647067528118</v>
      </c>
      <c r="M34" s="40">
        <f t="shared" si="18"/>
        <v>0.79200020000000004</v>
      </c>
      <c r="N34" s="40">
        <f t="shared" si="19"/>
        <v>12.943001600000002</v>
      </c>
      <c r="O34" s="40">
        <f t="shared" si="20"/>
        <v>1.7100008999999998</v>
      </c>
      <c r="P34" s="40">
        <f t="shared" si="21"/>
        <v>163.74600999202639</v>
      </c>
      <c r="Q34" s="40">
        <f t="shared" si="22"/>
        <v>0</v>
      </c>
      <c r="R34" s="40">
        <f t="shared" si="23"/>
        <v>54.715543353753027</v>
      </c>
      <c r="S34" s="40">
        <f t="shared" si="24"/>
        <v>494.94429388494717</v>
      </c>
      <c r="T34" s="203" t="str">
        <f t="shared" si="25"/>
        <v>TOTIND</v>
      </c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Q34" s="103" t="s">
        <v>954</v>
      </c>
      <c r="AR34" s="100" t="s">
        <v>799</v>
      </c>
      <c r="AS34" s="101">
        <v>0</v>
      </c>
      <c r="AT34" s="101">
        <v>0</v>
      </c>
      <c r="AU34" s="101">
        <v>0</v>
      </c>
      <c r="AX34" s="184" t="str">
        <f>$L$38</f>
        <v>INDOIL</v>
      </c>
      <c r="AY34" s="105">
        <v>0.82</v>
      </c>
      <c r="AZ34" s="470">
        <f t="shared" si="3"/>
        <v>0.15</v>
      </c>
      <c r="BA34" s="285">
        <f t="shared" ca="1" si="4"/>
        <v>4.4666666666666668</v>
      </c>
      <c r="BB34" s="471">
        <f t="shared" si="5"/>
        <v>8.5830427317059574E-2</v>
      </c>
      <c r="BC34" s="129">
        <v>0.1</v>
      </c>
      <c r="BD34" s="471">
        <f t="shared" si="6"/>
        <v>2.9042473668260599E-2</v>
      </c>
      <c r="BF34" s="184" t="s">
        <v>577</v>
      </c>
      <c r="BG34" s="299">
        <f t="shared" ref="BG34:BH39" si="26">T59</f>
        <v>1.498</v>
      </c>
      <c r="BH34" s="299">
        <f t="shared" si="26"/>
        <v>1.87060027</v>
      </c>
      <c r="BI34" s="300">
        <v>5</v>
      </c>
      <c r="BJ34" s="299">
        <f t="shared" ref="BJ34:BJ39" si="27">IF(BI$40&gt;0,MAX(0,BG34+BI34*BH34/BI$40*BB$42))</f>
        <v>1.4981099659835422</v>
      </c>
    </row>
    <row r="35" spans="1:65">
      <c r="A35" s="237" t="s">
        <v>285</v>
      </c>
      <c r="B35" s="40">
        <f t="shared" si="7"/>
        <v>3.6035997000000002</v>
      </c>
      <c r="C35" s="40">
        <f t="shared" si="8"/>
        <v>0.29699900000000001</v>
      </c>
      <c r="D35" s="40">
        <f t="shared" si="9"/>
        <v>2.0239995999999998</v>
      </c>
      <c r="E35" s="40">
        <f t="shared" si="10"/>
        <v>0</v>
      </c>
      <c r="F35" s="40">
        <f t="shared" si="11"/>
        <v>0</v>
      </c>
      <c r="G35" s="40">
        <f t="shared" si="12"/>
        <v>0</v>
      </c>
      <c r="H35" s="40">
        <f t="shared" si="13"/>
        <v>0</v>
      </c>
      <c r="I35" s="40">
        <f t="shared" si="14"/>
        <v>0</v>
      </c>
      <c r="J35" s="40">
        <f t="shared" si="15"/>
        <v>9.9184999999999985E-3</v>
      </c>
      <c r="K35" s="40">
        <f t="shared" si="16"/>
        <v>0.15999860000000002</v>
      </c>
      <c r="L35" s="40">
        <f t="shared" si="17"/>
        <v>1.6614017999999999</v>
      </c>
      <c r="M35" s="40">
        <f t="shared" si="18"/>
        <v>0</v>
      </c>
      <c r="N35" s="40">
        <f t="shared" si="19"/>
        <v>0</v>
      </c>
      <c r="O35" s="40">
        <f t="shared" si="20"/>
        <v>0</v>
      </c>
      <c r="P35" s="40">
        <f t="shared" si="21"/>
        <v>0.23200320000000002</v>
      </c>
      <c r="Q35" s="40">
        <f t="shared" si="22"/>
        <v>0</v>
      </c>
      <c r="R35" s="40">
        <f t="shared" si="23"/>
        <v>10.90335849999996</v>
      </c>
      <c r="S35" s="40">
        <f t="shared" si="24"/>
        <v>18.891278899999961</v>
      </c>
      <c r="T35" s="203" t="s">
        <v>285</v>
      </c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Q35" s="99" t="s">
        <v>842</v>
      </c>
      <c r="AR35" s="100" t="s">
        <v>806</v>
      </c>
      <c r="AS35" s="101">
        <v>0</v>
      </c>
      <c r="AT35" s="101">
        <v>0</v>
      </c>
      <c r="AU35" s="101">
        <v>0</v>
      </c>
      <c r="AX35" s="184" t="str">
        <f>$M$38</f>
        <v>INDETH</v>
      </c>
      <c r="AY35" s="105">
        <v>0.8</v>
      </c>
      <c r="AZ35" s="470">
        <f t="shared" si="3"/>
        <v>0.15</v>
      </c>
      <c r="BA35" s="285">
        <f t="shared" ca="1" si="4"/>
        <v>5.666666666666667</v>
      </c>
      <c r="BB35" s="471">
        <f t="shared" si="5"/>
        <v>0.26410281817442449</v>
      </c>
      <c r="BC35" s="129">
        <v>0.9</v>
      </c>
      <c r="BD35" s="471">
        <f t="shared" si="6"/>
        <v>0.80428112081852099</v>
      </c>
      <c r="BF35" s="184" t="s">
        <v>859</v>
      </c>
      <c r="BG35" s="299">
        <f t="shared" si="26"/>
        <v>2.4910000000000001</v>
      </c>
      <c r="BH35" s="299">
        <f t="shared" si="26"/>
        <v>2.5915515849999999</v>
      </c>
      <c r="BI35" s="300">
        <v>5</v>
      </c>
      <c r="BJ35" s="299">
        <f t="shared" si="27"/>
        <v>2.4911523481651936</v>
      </c>
    </row>
    <row r="36" spans="1:65">
      <c r="A36" s="237" t="s">
        <v>151</v>
      </c>
      <c r="B36" s="40">
        <f t="shared" si="7"/>
        <v>0</v>
      </c>
      <c r="C36" s="40">
        <f t="shared" si="8"/>
        <v>0</v>
      </c>
      <c r="D36" s="40">
        <f t="shared" si="9"/>
        <v>0</v>
      </c>
      <c r="E36" s="40">
        <f t="shared" si="10"/>
        <v>0</v>
      </c>
      <c r="F36" s="40">
        <f t="shared" si="11"/>
        <v>0</v>
      </c>
      <c r="G36" s="146">
        <f t="shared" si="12"/>
        <v>0</v>
      </c>
      <c r="H36" s="146">
        <f t="shared" si="13"/>
        <v>0</v>
      </c>
      <c r="I36" s="40">
        <f t="shared" si="14"/>
        <v>0</v>
      </c>
      <c r="J36" s="40">
        <f t="shared" si="15"/>
        <v>0</v>
      </c>
      <c r="K36" s="40">
        <f t="shared" si="16"/>
        <v>0</v>
      </c>
      <c r="L36" s="40">
        <f t="shared" si="17"/>
        <v>5.0268019000000006</v>
      </c>
      <c r="M36" s="40">
        <f t="shared" si="18"/>
        <v>0</v>
      </c>
      <c r="N36" s="40">
        <f t="shared" si="19"/>
        <v>0</v>
      </c>
      <c r="O36" s="40">
        <f t="shared" si="20"/>
        <v>0</v>
      </c>
      <c r="P36" s="40">
        <f t="shared" si="21"/>
        <v>0</v>
      </c>
      <c r="Q36" s="40">
        <f t="shared" si="22"/>
        <v>0</v>
      </c>
      <c r="R36" s="40">
        <f t="shared" si="23"/>
        <v>0</v>
      </c>
      <c r="S36" s="40">
        <f t="shared" si="24"/>
        <v>5.0268019000000006</v>
      </c>
      <c r="T36" s="203" t="str">
        <f>A36</f>
        <v>ONO</v>
      </c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Q36" s="99" t="s">
        <v>902</v>
      </c>
      <c r="AR36" s="100" t="s">
        <v>902</v>
      </c>
      <c r="AS36" s="132">
        <v>10.526331347632349</v>
      </c>
      <c r="AT36" s="132">
        <v>2.1700923392355711</v>
      </c>
      <c r="AU36" s="132">
        <v>6.6932263740298605</v>
      </c>
      <c r="AX36" s="184" t="str">
        <f>$O$38</f>
        <v>INDPTC</v>
      </c>
      <c r="AY36" s="105">
        <v>0.8</v>
      </c>
      <c r="AZ36" s="470">
        <f t="shared" si="3"/>
        <v>0.15</v>
      </c>
      <c r="BA36" s="285">
        <f t="shared" ca="1" si="4"/>
        <v>4.3333333333333339</v>
      </c>
      <c r="BB36" s="471">
        <f t="shared" si="5"/>
        <v>0</v>
      </c>
      <c r="BC36" s="129">
        <v>0.1</v>
      </c>
      <c r="BD36" s="471">
        <f t="shared" si="6"/>
        <v>0</v>
      </c>
      <c r="BF36" s="184" t="s">
        <v>570</v>
      </c>
      <c r="BG36" s="299">
        <f t="shared" si="26"/>
        <v>11.805999999999999</v>
      </c>
      <c r="BH36" s="299">
        <f t="shared" si="26"/>
        <v>13.925836686228383</v>
      </c>
      <c r="BI36" s="300">
        <v>10</v>
      </c>
      <c r="BJ36" s="299">
        <f t="shared" si="27"/>
        <v>11.807637301514822</v>
      </c>
    </row>
    <row r="37" spans="1:65">
      <c r="A37" s="237" t="s">
        <v>903</v>
      </c>
      <c r="B37" s="40">
        <f t="shared" si="7"/>
        <v>0</v>
      </c>
      <c r="C37" s="40">
        <f t="shared" si="8"/>
        <v>4.0056073770566876</v>
      </c>
      <c r="D37" s="40">
        <f t="shared" si="9"/>
        <v>24.375823737595688</v>
      </c>
      <c r="E37" s="40">
        <f t="shared" si="10"/>
        <v>0</v>
      </c>
      <c r="F37" s="40">
        <f t="shared" si="11"/>
        <v>0</v>
      </c>
      <c r="G37" s="40">
        <f t="shared" si="12"/>
        <v>0</v>
      </c>
      <c r="H37" s="40">
        <f t="shared" si="13"/>
        <v>0</v>
      </c>
      <c r="I37" s="40">
        <f t="shared" si="14"/>
        <v>0</v>
      </c>
      <c r="J37" s="40">
        <f t="shared" si="15"/>
        <v>0</v>
      </c>
      <c r="K37" s="40">
        <f t="shared" si="16"/>
        <v>5.261509862713301</v>
      </c>
      <c r="L37" s="40">
        <f t="shared" si="17"/>
        <v>0</v>
      </c>
      <c r="M37" s="40">
        <f t="shared" si="18"/>
        <v>0.74412801135194773</v>
      </c>
      <c r="N37" s="40">
        <f t="shared" si="19"/>
        <v>9.5909812112823811</v>
      </c>
      <c r="O37" s="40">
        <f t="shared" si="20"/>
        <v>0</v>
      </c>
      <c r="P37" s="40">
        <f t="shared" si="21"/>
        <v>0</v>
      </c>
      <c r="Q37" s="40">
        <f t="shared" si="22"/>
        <v>0</v>
      </c>
      <c r="R37" s="40">
        <f t="shared" si="23"/>
        <v>0</v>
      </c>
      <c r="S37" s="40">
        <f t="shared" si="24"/>
        <v>43.978050200000006</v>
      </c>
      <c r="T37" s="203" t="str">
        <f>A37</f>
        <v>NECHEM</v>
      </c>
      <c r="U37" s="316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Q37" s="104" t="s">
        <v>599</v>
      </c>
      <c r="AR37" s="100" t="s">
        <v>600</v>
      </c>
      <c r="AS37" s="101">
        <v>0</v>
      </c>
      <c r="AT37" s="101">
        <v>0</v>
      </c>
      <c r="AU37" s="101">
        <v>0</v>
      </c>
      <c r="AX37" s="184" t="str">
        <f>$P$38</f>
        <v>INDBIO</v>
      </c>
      <c r="AY37" s="105">
        <v>0.8</v>
      </c>
      <c r="AZ37" s="470">
        <f t="shared" si="3"/>
        <v>0.2320837720025688</v>
      </c>
      <c r="BA37" s="285">
        <f t="shared" ca="1" si="4"/>
        <v>2.44703118661457</v>
      </c>
      <c r="BB37" s="471">
        <f t="shared" si="5"/>
        <v>3.0804156946867036</v>
      </c>
      <c r="BC37" s="129">
        <v>0</v>
      </c>
      <c r="BD37" s="471">
        <f t="shared" si="6"/>
        <v>0</v>
      </c>
      <c r="BF37" s="184" t="s">
        <v>979</v>
      </c>
      <c r="BG37" s="299">
        <f t="shared" si="26"/>
        <v>7.9969999999999999</v>
      </c>
      <c r="BH37" s="299">
        <f t="shared" si="26"/>
        <v>181.87551572500001</v>
      </c>
      <c r="BI37" s="300">
        <v>10</v>
      </c>
      <c r="BJ37" s="299">
        <f t="shared" si="27"/>
        <v>8.0183836384926348</v>
      </c>
    </row>
    <row r="38" spans="1:65">
      <c r="A38" s="203"/>
      <c r="B38" s="43" t="s">
        <v>905</v>
      </c>
      <c r="C38" s="43" t="s">
        <v>906</v>
      </c>
      <c r="D38" s="43" t="s">
        <v>907</v>
      </c>
      <c r="E38" s="43" t="s">
        <v>908</v>
      </c>
      <c r="F38" s="43" t="s">
        <v>909</v>
      </c>
      <c r="G38" s="43" t="s">
        <v>910</v>
      </c>
      <c r="H38" s="43" t="s">
        <v>911</v>
      </c>
      <c r="I38" s="43" t="s">
        <v>912</v>
      </c>
      <c r="J38" s="43" t="s">
        <v>1150</v>
      </c>
      <c r="K38" s="43" t="s">
        <v>913</v>
      </c>
      <c r="L38" s="43" t="s">
        <v>826</v>
      </c>
      <c r="M38" s="43" t="s">
        <v>914</v>
      </c>
      <c r="N38" s="43" t="s">
        <v>915</v>
      </c>
      <c r="O38" s="43" t="s">
        <v>916</v>
      </c>
      <c r="P38" s="43" t="s">
        <v>917</v>
      </c>
      <c r="Q38" s="43" t="s">
        <v>950</v>
      </c>
      <c r="R38" s="43" t="s">
        <v>946</v>
      </c>
      <c r="S38" s="43" t="s">
        <v>888</v>
      </c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Q38" s="104" t="s">
        <v>601</v>
      </c>
      <c r="AR38" s="100" t="s">
        <v>602</v>
      </c>
      <c r="AS38" s="101">
        <v>0</v>
      </c>
      <c r="AT38" s="101">
        <v>0</v>
      </c>
      <c r="AU38" s="101">
        <v>0</v>
      </c>
      <c r="AX38" s="184" t="s">
        <v>655</v>
      </c>
      <c r="AY38" s="105">
        <v>0.8</v>
      </c>
      <c r="AZ38" s="470">
        <f t="shared" si="3"/>
        <v>0.4532670065253534</v>
      </c>
      <c r="BA38" s="285">
        <f t="shared" ca="1" si="4"/>
        <v>0.76496411272602127</v>
      </c>
      <c r="BB38" s="471">
        <f t="shared" si="5"/>
        <v>18.052657199663354</v>
      </c>
      <c r="BC38" s="129">
        <v>0</v>
      </c>
      <c r="BD38" s="471">
        <f t="shared" si="6"/>
        <v>0</v>
      </c>
      <c r="BF38" s="184" t="s">
        <v>92</v>
      </c>
      <c r="BG38" s="299">
        <f t="shared" si="26"/>
        <v>0.83199999999999996</v>
      </c>
      <c r="BH38" s="299">
        <f t="shared" si="26"/>
        <v>1.8431603000000001</v>
      </c>
      <c r="BI38" s="300">
        <v>1</v>
      </c>
      <c r="BJ38" s="299">
        <f t="shared" si="27"/>
        <v>0.83202167057692289</v>
      </c>
    </row>
    <row r="39" spans="1:65">
      <c r="A39" s="203"/>
      <c r="B39" s="203"/>
      <c r="C39" s="316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Q39" s="104" t="s">
        <v>603</v>
      </c>
      <c r="AR39" s="100" t="s">
        <v>604</v>
      </c>
      <c r="AS39" s="101">
        <v>0</v>
      </c>
      <c r="AT39" s="101">
        <v>0</v>
      </c>
      <c r="AU39" s="101">
        <v>0</v>
      </c>
      <c r="AX39" s="184" t="str">
        <f>$Q$38</f>
        <v>INDGEO</v>
      </c>
      <c r="AY39" s="105">
        <v>0.8</v>
      </c>
      <c r="AZ39" s="470">
        <f t="shared" si="3"/>
        <v>0.15</v>
      </c>
      <c r="BA39" s="285">
        <f t="shared" ca="1" si="4"/>
        <v>4.3333333333333339</v>
      </c>
      <c r="BB39" s="471">
        <f t="shared" si="5"/>
        <v>0</v>
      </c>
      <c r="BC39" s="129">
        <v>0.1</v>
      </c>
      <c r="BD39" s="471">
        <f t="shared" si="6"/>
        <v>0</v>
      </c>
      <c r="BF39" s="184" t="s">
        <v>48</v>
      </c>
      <c r="BG39" s="299">
        <f t="shared" si="26"/>
        <v>22.869572948852298</v>
      </c>
      <c r="BH39" s="299">
        <f t="shared" si="26"/>
        <v>31.729617716434547</v>
      </c>
      <c r="BI39" s="300">
        <v>2</v>
      </c>
      <c r="BJ39" s="299">
        <f t="shared" si="27"/>
        <v>22.870319057719183</v>
      </c>
      <c r="BL39" s="2">
        <f>SUM(BJ39,T69,R36)</f>
        <v>30.09228946261991</v>
      </c>
    </row>
    <row r="40" spans="1:65" ht="18">
      <c r="A40" s="86" t="s">
        <v>940</v>
      </c>
      <c r="B40" s="88"/>
      <c r="C40" s="88"/>
      <c r="D40" s="88"/>
      <c r="E40" s="88"/>
      <c r="F40" s="88"/>
      <c r="G40" s="189" t="s">
        <v>16</v>
      </c>
      <c r="H40" s="190"/>
      <c r="I40" s="190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AQ40" s="104" t="s">
        <v>605</v>
      </c>
      <c r="AR40" s="100" t="s">
        <v>610</v>
      </c>
      <c r="AS40" s="101">
        <v>0</v>
      </c>
      <c r="AT40" s="101">
        <v>0</v>
      </c>
      <c r="AU40" s="101">
        <v>0</v>
      </c>
      <c r="AX40" t="s">
        <v>1001</v>
      </c>
      <c r="AZ40" s="298">
        <f>SUMPRODUCT(AZ25:AZ39,AY7:AY21)</f>
        <v>30.686294293104815</v>
      </c>
      <c r="BB40" s="298">
        <f>SUM(BB25:BB39)</f>
        <v>38.488225597847382</v>
      </c>
      <c r="BC40" s="334" t="s">
        <v>1080</v>
      </c>
      <c r="BD40" s="298">
        <f>MIN(MAX(0,BB40-BA22),SUM(BD25:BD39))</f>
        <v>0.55893811154592044</v>
      </c>
      <c r="BF40" s="596" t="s">
        <v>782</v>
      </c>
      <c r="BG40" s="597">
        <f>SUM(BG34:BG39)</f>
        <v>47.493572948852297</v>
      </c>
      <c r="BH40" s="597">
        <f>SUM(BH34:BH39)</f>
        <v>233.83628228266292</v>
      </c>
      <c r="BI40" s="598">
        <f>SUMPRODUCT(BH34:BH39,BI34:BI39)</f>
        <v>2045.6266791201529</v>
      </c>
      <c r="BJ40" s="597">
        <f>SUM(BJ34:BJ39)</f>
        <v>47.517623982452292</v>
      </c>
    </row>
    <row r="41" spans="1:65" ht="13.5" thickBot="1">
      <c r="A41" s="232" t="s">
        <v>873</v>
      </c>
      <c r="B41" s="233" t="s">
        <v>874</v>
      </c>
      <c r="C41" s="232" t="s">
        <v>555</v>
      </c>
      <c r="D41" s="43" t="str">
        <f t="shared" ref="D41:T41" si="28">B38</f>
        <v>INDELC</v>
      </c>
      <c r="E41" s="43" t="str">
        <f t="shared" si="28"/>
        <v>INDNGA</v>
      </c>
      <c r="F41" s="43" t="str">
        <f t="shared" si="28"/>
        <v>INDLPG</v>
      </c>
      <c r="G41" s="43" t="str">
        <f t="shared" si="28"/>
        <v>INDNGL</v>
      </c>
      <c r="H41" s="43" t="str">
        <f t="shared" si="28"/>
        <v>INDCOA</v>
      </c>
      <c r="I41" s="43" t="str">
        <f t="shared" si="28"/>
        <v>INDCOK</v>
      </c>
      <c r="J41" s="43" t="str">
        <f t="shared" si="28"/>
        <v>INDCOG</v>
      </c>
      <c r="K41" s="43" t="str">
        <f t="shared" si="28"/>
        <v>INDBFG</v>
      </c>
      <c r="L41" s="43" t="str">
        <f t="shared" si="28"/>
        <v>INDBCO</v>
      </c>
      <c r="M41" s="43" t="str">
        <f t="shared" si="28"/>
        <v>INDHFO</v>
      </c>
      <c r="N41" s="43" t="str">
        <f t="shared" si="28"/>
        <v>INDOIL</v>
      </c>
      <c r="O41" s="43" t="str">
        <f t="shared" si="28"/>
        <v>INDETH</v>
      </c>
      <c r="P41" s="43" t="str">
        <f t="shared" si="28"/>
        <v>INDNAP</v>
      </c>
      <c r="Q41" s="43" t="str">
        <f t="shared" si="28"/>
        <v>INDPTC</v>
      </c>
      <c r="R41" s="43" t="str">
        <f t="shared" si="28"/>
        <v>INDBIO</v>
      </c>
      <c r="S41" s="43" t="str">
        <f t="shared" si="28"/>
        <v>INDGEO</v>
      </c>
      <c r="T41" s="43" t="str">
        <f t="shared" si="28"/>
        <v>INDHET</v>
      </c>
      <c r="U41" s="203"/>
      <c r="V41" s="203"/>
      <c r="W41" s="203"/>
      <c r="AQ41" s="104" t="s">
        <v>611</v>
      </c>
      <c r="AR41" s="100" t="s">
        <v>612</v>
      </c>
      <c r="AS41" s="101">
        <v>0</v>
      </c>
      <c r="AT41" s="101">
        <v>0</v>
      </c>
      <c r="AU41" s="101">
        <v>0</v>
      </c>
      <c r="AZ41" t="s">
        <v>738</v>
      </c>
      <c r="BB41" s="298">
        <f>SUM(BA7:BA21)</f>
        <v>37.929287486301462</v>
      </c>
      <c r="BF41" s="283"/>
    </row>
    <row r="42" spans="1:65">
      <c r="A42" s="234" t="s">
        <v>559</v>
      </c>
      <c r="B42" s="205" t="s">
        <v>577</v>
      </c>
      <c r="C42" s="235" t="s">
        <v>93</v>
      </c>
      <c r="D42" s="255">
        <v>0</v>
      </c>
      <c r="E42" s="17">
        <v>0.15</v>
      </c>
      <c r="F42" s="255">
        <v>0</v>
      </c>
      <c r="G42" s="255"/>
      <c r="H42" s="17">
        <v>0</v>
      </c>
      <c r="I42" s="255"/>
      <c r="J42" s="17">
        <v>0</v>
      </c>
      <c r="K42" s="17">
        <v>0</v>
      </c>
      <c r="L42" s="255"/>
      <c r="M42" s="17">
        <v>0.15</v>
      </c>
      <c r="N42" s="17">
        <v>0.15</v>
      </c>
      <c r="O42" s="255"/>
      <c r="P42" s="255"/>
      <c r="Q42" s="255"/>
      <c r="R42" s="255"/>
      <c r="S42" s="255">
        <v>1</v>
      </c>
      <c r="T42" s="194">
        <v>1</v>
      </c>
      <c r="U42" s="203"/>
      <c r="V42" s="203"/>
      <c r="W42" s="203"/>
      <c r="AQ42" s="104" t="s">
        <v>613</v>
      </c>
      <c r="AR42" s="100" t="s">
        <v>614</v>
      </c>
      <c r="AS42" s="101">
        <v>0</v>
      </c>
      <c r="AT42" s="101">
        <v>0</v>
      </c>
      <c r="AU42" s="101">
        <v>0</v>
      </c>
      <c r="AW42" t="s">
        <v>106</v>
      </c>
      <c r="AZ42" t="s">
        <v>1081</v>
      </c>
      <c r="BB42" s="298">
        <f>(BB40+BG69-BB41-BB69)*BC42-BD$40</f>
        <v>2.4051033600001048E-2</v>
      </c>
      <c r="BC42">
        <v>1</v>
      </c>
    </row>
    <row r="43" spans="1:65">
      <c r="A43" s="234" t="s">
        <v>878</v>
      </c>
      <c r="B43" s="205" t="s">
        <v>859</v>
      </c>
      <c r="C43" s="235" t="s">
        <v>93</v>
      </c>
      <c r="D43" s="255">
        <v>0</v>
      </c>
      <c r="E43" s="17">
        <v>0.1</v>
      </c>
      <c r="F43" s="255">
        <v>0</v>
      </c>
      <c r="G43" s="255"/>
      <c r="H43" s="17">
        <v>0.25</v>
      </c>
      <c r="I43" s="255"/>
      <c r="J43" s="255">
        <v>0</v>
      </c>
      <c r="K43" s="255">
        <v>1</v>
      </c>
      <c r="L43" s="255">
        <v>1</v>
      </c>
      <c r="M43" s="17">
        <v>0.25</v>
      </c>
      <c r="N43" s="17">
        <v>0.25</v>
      </c>
      <c r="O43" s="255"/>
      <c r="P43" s="255"/>
      <c r="Q43" s="255"/>
      <c r="R43" s="255">
        <v>0</v>
      </c>
      <c r="S43" s="255">
        <v>1</v>
      </c>
      <c r="T43" s="194">
        <v>1</v>
      </c>
      <c r="U43" s="203"/>
      <c r="V43" s="203"/>
      <c r="W43" s="203"/>
      <c r="AQ43" s="473" t="s">
        <v>902</v>
      </c>
      <c r="AR43" s="100" t="s">
        <v>615</v>
      </c>
      <c r="AS43" s="131">
        <v>84.029391316887683</v>
      </c>
      <c r="AT43" s="131">
        <v>32.051452862017186</v>
      </c>
      <c r="AU43" s="131">
        <v>37.929287486301469</v>
      </c>
      <c r="AW43" s="286">
        <f>(AZ40+BE70)/B18</f>
        <v>0.24645494790992006</v>
      </c>
    </row>
    <row r="44" spans="1:65">
      <c r="A44" s="236" t="s">
        <v>883</v>
      </c>
      <c r="B44" s="205" t="s">
        <v>570</v>
      </c>
      <c r="C44" s="235" t="s">
        <v>93</v>
      </c>
      <c r="D44" s="17">
        <v>0</v>
      </c>
      <c r="E44" s="17">
        <v>0.23019500117896718</v>
      </c>
      <c r="F44" s="255"/>
      <c r="G44" s="255"/>
      <c r="H44" s="17">
        <v>1</v>
      </c>
      <c r="I44" s="256"/>
      <c r="J44" s="17">
        <v>1</v>
      </c>
      <c r="K44" s="255">
        <v>1</v>
      </c>
      <c r="L44" s="255">
        <v>1</v>
      </c>
      <c r="M44" s="17">
        <v>8.9606986899563465E-2</v>
      </c>
      <c r="N44" s="17">
        <v>0</v>
      </c>
      <c r="O44" s="255"/>
      <c r="P44" s="255"/>
      <c r="Q44" s="255"/>
      <c r="R44" s="255"/>
      <c r="S44" s="255">
        <v>1</v>
      </c>
      <c r="T44" s="194">
        <v>1</v>
      </c>
      <c r="U44" s="203"/>
      <c r="V44" s="203"/>
      <c r="W44" s="203"/>
    </row>
    <row r="45" spans="1:65">
      <c r="A45" s="236" t="s">
        <v>558</v>
      </c>
      <c r="B45" s="205" t="s">
        <v>979</v>
      </c>
      <c r="C45" s="235" t="s">
        <v>93</v>
      </c>
      <c r="D45" s="17">
        <v>0</v>
      </c>
      <c r="E45" s="17">
        <v>0.75</v>
      </c>
      <c r="F45" s="255">
        <v>0</v>
      </c>
      <c r="G45" s="255"/>
      <c r="H45" s="17">
        <v>1</v>
      </c>
      <c r="I45" s="255"/>
      <c r="J45" s="255">
        <v>1</v>
      </c>
      <c r="K45" s="255">
        <v>1</v>
      </c>
      <c r="L45" s="255">
        <v>1</v>
      </c>
      <c r="M45" s="17">
        <v>0.75</v>
      </c>
      <c r="N45" s="17">
        <v>0.7</v>
      </c>
      <c r="O45" s="255"/>
      <c r="P45" s="255"/>
      <c r="Q45" s="255"/>
      <c r="R45" s="17">
        <f>IF(P31&gt;0,X15/P31,0)</f>
        <v>0.98569734718616775</v>
      </c>
      <c r="S45" s="255">
        <v>1</v>
      </c>
      <c r="T45" s="194">
        <v>1</v>
      </c>
      <c r="U45" s="203"/>
      <c r="V45" s="203"/>
      <c r="W45" s="203"/>
    </row>
    <row r="46" spans="1:65" ht="15" customHeight="1">
      <c r="A46" s="236" t="s">
        <v>884</v>
      </c>
      <c r="B46" s="205" t="s">
        <v>92</v>
      </c>
      <c r="C46" s="235" t="s">
        <v>93</v>
      </c>
      <c r="D46" s="17">
        <v>0</v>
      </c>
      <c r="E46" s="17">
        <v>0.05</v>
      </c>
      <c r="F46" s="255">
        <v>0</v>
      </c>
      <c r="G46" s="255"/>
      <c r="H46" s="17"/>
      <c r="I46" s="255"/>
      <c r="J46" s="255"/>
      <c r="K46" s="255">
        <v>1</v>
      </c>
      <c r="L46" s="255">
        <v>1</v>
      </c>
      <c r="M46" s="17">
        <v>0.2</v>
      </c>
      <c r="N46" s="17">
        <v>0.3</v>
      </c>
      <c r="O46" s="255"/>
      <c r="P46" s="255"/>
      <c r="Q46" s="255"/>
      <c r="R46" s="255">
        <v>0</v>
      </c>
      <c r="S46" s="255">
        <v>1</v>
      </c>
      <c r="T46" s="194">
        <v>1</v>
      </c>
      <c r="U46" s="203"/>
      <c r="V46" s="203"/>
      <c r="W46" s="203"/>
      <c r="AE46" s="142" t="s">
        <v>138</v>
      </c>
      <c r="AF46" s="95"/>
      <c r="AG46" s="95"/>
      <c r="AH46" s="95"/>
      <c r="AQ46" s="87" t="s">
        <v>735</v>
      </c>
      <c r="AR46" s="89"/>
      <c r="AS46" s="467"/>
      <c r="AT46" s="95"/>
      <c r="AU46" s="91"/>
      <c r="AV46" s="91"/>
      <c r="AW46" s="14"/>
      <c r="AX46" s="142" t="s">
        <v>744</v>
      </c>
      <c r="AY46" s="89"/>
      <c r="AZ46" s="467"/>
      <c r="BA46" s="95"/>
      <c r="BB46" s="91"/>
      <c r="BF46" s="295" t="s">
        <v>1003</v>
      </c>
      <c r="BG46">
        <v>0.78</v>
      </c>
    </row>
    <row r="47" spans="1:65" ht="13.5" thickBot="1">
      <c r="A47" s="234" t="s">
        <v>885</v>
      </c>
      <c r="B47" s="205" t="s">
        <v>48</v>
      </c>
      <c r="C47" s="235" t="s">
        <v>93</v>
      </c>
      <c r="D47" s="17">
        <v>0</v>
      </c>
      <c r="E47" s="17">
        <v>0.1</v>
      </c>
      <c r="F47" s="17">
        <v>0.1</v>
      </c>
      <c r="G47" s="255"/>
      <c r="H47" s="17">
        <v>0.35</v>
      </c>
      <c r="I47" s="255"/>
      <c r="J47" s="17">
        <f>1-J51</f>
        <v>1</v>
      </c>
      <c r="K47" s="255"/>
      <c r="L47" s="255"/>
      <c r="M47" s="17">
        <v>0.1</v>
      </c>
      <c r="N47" s="17">
        <v>0.05</v>
      </c>
      <c r="O47" s="255"/>
      <c r="P47" s="255"/>
      <c r="Q47" s="255"/>
      <c r="R47" s="255">
        <v>0.75</v>
      </c>
      <c r="S47" s="255">
        <v>0</v>
      </c>
      <c r="T47" s="194">
        <f>1-INDEX($BJ$6:$BJ$23,RegIndex)</f>
        <v>0.76</v>
      </c>
      <c r="U47" s="203"/>
      <c r="V47" s="203"/>
      <c r="W47" s="203"/>
      <c r="AE47" s="111"/>
      <c r="AF47" s="284" t="s">
        <v>2</v>
      </c>
      <c r="AG47" s="284" t="s">
        <v>2</v>
      </c>
      <c r="AH47" s="284" t="s">
        <v>66</v>
      </c>
      <c r="AI47" s="284" t="s">
        <v>67</v>
      </c>
      <c r="AJ47" s="284" t="s">
        <v>903</v>
      </c>
      <c r="AK47" s="284" t="s">
        <v>65</v>
      </c>
      <c r="AL47" s="284" t="s">
        <v>68</v>
      </c>
      <c r="AM47" s="284" t="s">
        <v>69</v>
      </c>
      <c r="AN47" s="284"/>
      <c r="AO47" s="284" t="s">
        <v>70</v>
      </c>
      <c r="AQ47" s="246" t="s">
        <v>28</v>
      </c>
      <c r="AR47" s="169"/>
      <c r="AS47" s="247" t="s">
        <v>29</v>
      </c>
      <c r="AT47" s="248"/>
      <c r="AU47" s="247" t="s">
        <v>30</v>
      </c>
      <c r="AV47" s="249"/>
      <c r="AX47" s="96"/>
      <c r="AY47" s="96"/>
      <c r="AZ47" s="96"/>
      <c r="BA47" s="96"/>
      <c r="BB47" s="108"/>
      <c r="BF47" s="295" t="s">
        <v>1004</v>
      </c>
      <c r="BG47">
        <v>0.88</v>
      </c>
    </row>
    <row r="48" spans="1:65" ht="13.5" thickBot="1">
      <c r="A48" s="234" t="s">
        <v>885</v>
      </c>
      <c r="B48" s="205" t="s">
        <v>57</v>
      </c>
      <c r="C48" s="234" t="s">
        <v>875</v>
      </c>
      <c r="D48" s="17">
        <v>0.1</v>
      </c>
      <c r="E48" s="17">
        <v>0.5</v>
      </c>
      <c r="F48" s="17">
        <v>0.8</v>
      </c>
      <c r="G48" s="255"/>
      <c r="H48" s="17">
        <v>0.65</v>
      </c>
      <c r="I48" s="17">
        <v>0.7</v>
      </c>
      <c r="J48" s="255">
        <v>0</v>
      </c>
      <c r="K48" s="255">
        <v>1</v>
      </c>
      <c r="L48" s="255">
        <v>1</v>
      </c>
      <c r="M48" s="17">
        <v>0.2</v>
      </c>
      <c r="N48" s="17">
        <v>0.7</v>
      </c>
      <c r="O48" s="255"/>
      <c r="P48" s="255"/>
      <c r="Q48" s="255"/>
      <c r="R48" s="255"/>
      <c r="S48" s="255"/>
      <c r="T48" s="255"/>
      <c r="U48" s="203"/>
      <c r="V48" s="203"/>
      <c r="W48" s="203"/>
      <c r="AE48" s="184" t="s">
        <v>951</v>
      </c>
      <c r="AF48" s="9">
        <f>MATCH($AE48,$B$24:$AJ$24,0)</f>
        <v>2</v>
      </c>
      <c r="AG48" s="9">
        <f t="shared" ref="AG48:AG72" si="29">MATCH($AE48,AQ$51:AQ$83,0)</f>
        <v>5</v>
      </c>
      <c r="AH48" s="46">
        <f t="shared" ref="AH48:AH76" si="30">INDEX($B$18:$AK$18,$AF48)</f>
        <v>27.810934711455491</v>
      </c>
      <c r="AI48" s="46">
        <f t="shared" ref="AI48:AI76" si="31">INDEX($B$20:$AK$20,$AF48)</f>
        <v>0</v>
      </c>
      <c r="AJ48" s="46">
        <f t="shared" ref="AJ48:AJ76" si="32">INDEX($B$21:$AK$21,$AF48)</f>
        <v>4.0056073770566876</v>
      </c>
      <c r="AK48" s="9">
        <f t="shared" ref="AK48:AK75" si="33">IF(ISNA($AG48),0,INDEX(AS$7:AS$36,$AG48)+INDEX(AS$51:AS$80,$AG48)+INDEX(AU$51:AU$80,$AG48))</f>
        <v>13.560151465310488</v>
      </c>
      <c r="AL48" s="46">
        <f t="shared" ref="AL48:AL67" si="34">AH48+AI48-AJ48+AK48</f>
        <v>37.365478799709294</v>
      </c>
      <c r="AM48" s="184" t="s">
        <v>906</v>
      </c>
      <c r="AN48" s="9">
        <f t="shared" ref="AN48:AN76" si="35">MATCH(AM48,BI$49:BI$63,0)</f>
        <v>1</v>
      </c>
      <c r="AO48" s="542">
        <f t="shared" ref="AO48:AO69" ca="1" si="36">AL48/MAX(Tiny,INDEX(BK$49:BK$63,AN48))</f>
        <v>1</v>
      </c>
      <c r="AQ48" s="250">
        <f>IF(AT59+AT69+AT75+AT80=0,3,(AS59+AS69+AS75+AS80)/(AT59+AT69+AT75+AT80))</f>
        <v>2.991451821786673</v>
      </c>
      <c r="AR48" s="83"/>
      <c r="AS48" s="97" t="s">
        <v>581</v>
      </c>
      <c r="AT48" s="251" t="s">
        <v>582</v>
      </c>
      <c r="AU48" s="133" t="s">
        <v>581</v>
      </c>
      <c r="AV48" s="133" t="s">
        <v>583</v>
      </c>
      <c r="AX48" s="244"/>
      <c r="AY48" s="254" t="s">
        <v>746</v>
      </c>
      <c r="AZ48" s="254" t="s">
        <v>747</v>
      </c>
      <c r="BA48" s="245" t="s">
        <v>582</v>
      </c>
      <c r="BB48" s="245" t="s">
        <v>583</v>
      </c>
      <c r="BC48" s="98" t="s">
        <v>589</v>
      </c>
      <c r="BD48" s="98" t="s">
        <v>645</v>
      </c>
      <c r="BE48" s="284" t="s">
        <v>7</v>
      </c>
      <c r="BF48" s="284" t="s">
        <v>1002</v>
      </c>
      <c r="BG48" s="284" t="s">
        <v>998</v>
      </c>
      <c r="BI48" s="284"/>
      <c r="BJ48" s="284" t="s">
        <v>63</v>
      </c>
      <c r="BK48" s="284" t="s">
        <v>64</v>
      </c>
      <c r="BL48" s="284" t="s">
        <v>1244</v>
      </c>
    </row>
    <row r="49" spans="1:64">
      <c r="A49" s="234" t="s">
        <v>885</v>
      </c>
      <c r="B49" s="205" t="s">
        <v>60</v>
      </c>
      <c r="C49" s="234" t="s">
        <v>876</v>
      </c>
      <c r="D49" s="17">
        <v>0.37</v>
      </c>
      <c r="E49" s="17">
        <v>0</v>
      </c>
      <c r="F49" s="17">
        <v>0</v>
      </c>
      <c r="G49" s="255"/>
      <c r="H49" s="17"/>
      <c r="I49" s="255"/>
      <c r="J49" s="255"/>
      <c r="K49" s="255"/>
      <c r="L49" s="255"/>
      <c r="M49" s="17">
        <v>0</v>
      </c>
      <c r="N49" s="17">
        <v>0</v>
      </c>
      <c r="O49" s="255"/>
      <c r="P49" s="255"/>
      <c r="Q49" s="255"/>
      <c r="R49" s="255"/>
      <c r="S49" s="255"/>
      <c r="T49" s="255"/>
      <c r="U49" s="203"/>
      <c r="V49" s="203"/>
      <c r="W49" s="203"/>
      <c r="AE49" s="184" t="s">
        <v>832</v>
      </c>
      <c r="AF49" s="9">
        <f t="shared" ref="AF49:AF76" si="37">MATCH(AE49,$B$24:$AJ$24,0)</f>
        <v>12</v>
      </c>
      <c r="AG49" s="9">
        <f t="shared" si="29"/>
        <v>1</v>
      </c>
      <c r="AH49" s="46">
        <f t="shared" si="30"/>
        <v>0</v>
      </c>
      <c r="AI49" s="46">
        <f t="shared" si="31"/>
        <v>0</v>
      </c>
      <c r="AJ49" s="46">
        <f t="shared" si="32"/>
        <v>0</v>
      </c>
      <c r="AK49" s="9">
        <f t="shared" si="33"/>
        <v>0</v>
      </c>
      <c r="AL49" s="46">
        <f t="shared" si="34"/>
        <v>0</v>
      </c>
      <c r="AM49" s="184" t="s">
        <v>906</v>
      </c>
      <c r="AN49" s="9">
        <f t="shared" si="35"/>
        <v>1</v>
      </c>
      <c r="AO49" s="542">
        <f t="shared" ca="1" si="36"/>
        <v>0</v>
      </c>
      <c r="AQ49" s="446"/>
      <c r="AR49" s="173"/>
      <c r="AS49" s="269">
        <v>-4.1868000000000002E-2</v>
      </c>
      <c r="AT49" s="270">
        <v>3.5999999999999999E-3</v>
      </c>
      <c r="AU49" s="269">
        <v>-4.1868000000000002E-2</v>
      </c>
      <c r="AV49" s="270">
        <v>1E-3</v>
      </c>
      <c r="AX49" s="184" t="str">
        <f>$C$38</f>
        <v>INDNGA</v>
      </c>
      <c r="AY49" s="102">
        <f>AS51+AS55</f>
        <v>8.4598499999999993E-2</v>
      </c>
      <c r="AZ49" s="102">
        <f>AU51+AU55</f>
        <v>6.8851699999999988E-2</v>
      </c>
      <c r="BA49" s="102">
        <f>AT51+AT55</f>
        <v>2.8799999999999999E-2</v>
      </c>
      <c r="BB49" s="102">
        <f>AV51+AV55</f>
        <v>6.3750000000000001E-2</v>
      </c>
      <c r="BC49" s="2">
        <f t="shared" ref="BC49:BC63" si="38">IF(AY49=0,0,MAX(0.15,BA49/AY49*(1-AZ$4)))</f>
        <v>0.32391182638813787</v>
      </c>
      <c r="BD49" s="2">
        <f t="shared" ref="BD49:BD63" si="39">IF(AZ49=0,0,BB49/AZ49)</f>
        <v>0.92590306412187373</v>
      </c>
      <c r="BE49" s="470">
        <f t="shared" ref="BE49:BE67" si="40">BC49*AY49*BA$69/BA$70</f>
        <v>2.7402454644696875E-2</v>
      </c>
      <c r="BF49" s="470">
        <f t="shared" ref="BF49:BF63" si="41">MAX(BG$46,MIN(BG$47,BD49))</f>
        <v>0.88</v>
      </c>
      <c r="BG49" s="470">
        <f t="shared" ref="BG49:BG63" si="42">BF49*AZ49</f>
        <v>6.0589495999999993E-2</v>
      </c>
      <c r="BH49">
        <f t="shared" ref="BH49:BH63" si="43">MATCH(AX49,$B$38:$R$38,0)</f>
        <v>2</v>
      </c>
      <c r="BI49" s="184" t="s">
        <v>906</v>
      </c>
      <c r="BJ49" s="102">
        <f t="shared" ref="BJ49:BJ59" si="44">SUM(AY7,AY49,AZ49)</f>
        <v>13.560151465310488</v>
      </c>
      <c r="BK49" s="102">
        <f t="shared" ref="BK49:BK59" ca="1" si="45">BJ49+OFFSET($A$34,0,$BH49)+OFFSET($A$36,0,$BH49)-INDEX($B$37:$S$37,$BH49)</f>
        <v>37.365478799709294</v>
      </c>
      <c r="BL49" s="102">
        <f t="shared" ref="BL49:BL61" ca="1" si="46">BK49</f>
        <v>37.365478799709294</v>
      </c>
    </row>
    <row r="50" spans="1:64" ht="13.5" thickBot="1">
      <c r="A50" s="234" t="s">
        <v>885</v>
      </c>
      <c r="B50" s="205" t="s">
        <v>61</v>
      </c>
      <c r="C50" s="234" t="s">
        <v>0</v>
      </c>
      <c r="D50" s="17">
        <v>0.23</v>
      </c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03"/>
      <c r="V50" s="203"/>
      <c r="W50" s="203"/>
      <c r="AE50" s="184" t="s">
        <v>1084</v>
      </c>
      <c r="AF50" s="9">
        <f t="shared" si="37"/>
        <v>3</v>
      </c>
      <c r="AG50" s="9" t="e">
        <f t="shared" si="29"/>
        <v>#N/A</v>
      </c>
      <c r="AH50" s="46">
        <f t="shared" si="30"/>
        <v>42.045863343340358</v>
      </c>
      <c r="AI50" s="46">
        <f t="shared" si="31"/>
        <v>0</v>
      </c>
      <c r="AJ50" s="46">
        <f t="shared" si="32"/>
        <v>24.375823737595688</v>
      </c>
      <c r="AK50" s="9">
        <f t="shared" si="33"/>
        <v>0</v>
      </c>
      <c r="AL50" s="46">
        <f t="shared" si="34"/>
        <v>17.67003960574467</v>
      </c>
      <c r="AM50" s="184" t="s">
        <v>907</v>
      </c>
      <c r="AN50" s="9">
        <f t="shared" si="35"/>
        <v>2</v>
      </c>
      <c r="AO50" s="542">
        <f t="shared" ca="1" si="36"/>
        <v>1</v>
      </c>
      <c r="AQ50" s="468"/>
      <c r="AR50" s="242" t="s">
        <v>585</v>
      </c>
      <c r="AS50" s="252" t="s">
        <v>31</v>
      </c>
      <c r="AT50" s="253" t="s">
        <v>32</v>
      </c>
      <c r="AU50" s="252" t="s">
        <v>33</v>
      </c>
      <c r="AV50" s="252" t="s">
        <v>34</v>
      </c>
      <c r="AX50" s="184" t="str">
        <f>$D$38</f>
        <v>INDLPG</v>
      </c>
      <c r="AY50" s="102">
        <f>AS57</f>
        <v>0</v>
      </c>
      <c r="AZ50" s="102">
        <f>AU57</f>
        <v>0</v>
      </c>
      <c r="BA50" s="102">
        <f>AT57</f>
        <v>0</v>
      </c>
      <c r="BB50" s="102">
        <f>AV57</f>
        <v>1E-3</v>
      </c>
      <c r="BC50" s="2">
        <f t="shared" si="38"/>
        <v>0</v>
      </c>
      <c r="BD50" s="2">
        <f t="shared" si="39"/>
        <v>0</v>
      </c>
      <c r="BE50" s="470">
        <f t="shared" si="40"/>
        <v>0</v>
      </c>
      <c r="BF50" s="470">
        <f t="shared" si="41"/>
        <v>0.78</v>
      </c>
      <c r="BG50" s="470">
        <f t="shared" si="42"/>
        <v>0</v>
      </c>
      <c r="BH50">
        <f t="shared" si="43"/>
        <v>3</v>
      </c>
      <c r="BI50" s="184" t="s">
        <v>907</v>
      </c>
      <c r="BJ50" s="102">
        <f t="shared" si="44"/>
        <v>0</v>
      </c>
      <c r="BK50" s="102">
        <f t="shared" ca="1" si="45"/>
        <v>17.67003960574467</v>
      </c>
      <c r="BL50" s="102">
        <f t="shared" ca="1" si="46"/>
        <v>17.67003960574467</v>
      </c>
    </row>
    <row r="51" spans="1:64">
      <c r="A51" s="234" t="s">
        <v>885</v>
      </c>
      <c r="B51" s="205" t="s">
        <v>94</v>
      </c>
      <c r="C51" s="234" t="s">
        <v>877</v>
      </c>
      <c r="D51" s="255"/>
      <c r="E51" s="255"/>
      <c r="F51" s="255"/>
      <c r="G51" s="255">
        <v>1</v>
      </c>
      <c r="H51" s="255"/>
      <c r="I51" s="255"/>
      <c r="J51" s="255"/>
      <c r="K51" s="255"/>
      <c r="L51" s="255"/>
      <c r="M51" s="255"/>
      <c r="N51" s="255"/>
      <c r="O51" s="255">
        <v>1</v>
      </c>
      <c r="P51" s="255">
        <v>1</v>
      </c>
      <c r="Q51" s="255">
        <v>0.5</v>
      </c>
      <c r="R51" s="255">
        <v>0</v>
      </c>
      <c r="S51" s="255"/>
      <c r="T51" s="255"/>
      <c r="U51" s="203"/>
      <c r="V51" s="203"/>
      <c r="W51" s="203"/>
      <c r="AE51" s="184" t="s">
        <v>756</v>
      </c>
      <c r="AF51" s="9">
        <f t="shared" si="37"/>
        <v>4</v>
      </c>
      <c r="AG51" s="9">
        <f t="shared" si="29"/>
        <v>14</v>
      </c>
      <c r="AH51" s="46">
        <f t="shared" si="30"/>
        <v>0</v>
      </c>
      <c r="AI51" s="46">
        <f t="shared" si="31"/>
        <v>0</v>
      </c>
      <c r="AJ51" s="46">
        <f t="shared" si="32"/>
        <v>0</v>
      </c>
      <c r="AK51" s="9">
        <f t="shared" si="33"/>
        <v>0</v>
      </c>
      <c r="AL51" s="46">
        <f t="shared" si="34"/>
        <v>0</v>
      </c>
      <c r="AM51" s="184" t="s">
        <v>908</v>
      </c>
      <c r="AN51" s="9">
        <f t="shared" si="35"/>
        <v>3</v>
      </c>
      <c r="AO51" s="542">
        <f t="shared" ca="1" si="36"/>
        <v>0</v>
      </c>
      <c r="AQ51" s="99" t="s">
        <v>832</v>
      </c>
      <c r="AR51" s="100" t="s">
        <v>591</v>
      </c>
      <c r="AS51" s="134">
        <v>0</v>
      </c>
      <c r="AT51" s="134">
        <v>0</v>
      </c>
      <c r="AU51" s="134">
        <v>0</v>
      </c>
      <c r="AV51" s="134">
        <v>0</v>
      </c>
      <c r="AX51" s="184" t="str">
        <f>$E$38</f>
        <v>INDNGL</v>
      </c>
      <c r="AY51" s="102">
        <f>AS64</f>
        <v>0</v>
      </c>
      <c r="AZ51" s="102">
        <f>AU64</f>
        <v>0</v>
      </c>
      <c r="BA51" s="102">
        <f>AT64</f>
        <v>0</v>
      </c>
      <c r="BB51" s="102">
        <f>AV64</f>
        <v>0</v>
      </c>
      <c r="BC51" s="2">
        <f t="shared" si="38"/>
        <v>0</v>
      </c>
      <c r="BD51" s="2">
        <f t="shared" si="39"/>
        <v>0</v>
      </c>
      <c r="BE51" s="470">
        <f t="shared" si="40"/>
        <v>0</v>
      </c>
      <c r="BF51" s="470">
        <f t="shared" si="41"/>
        <v>0.78</v>
      </c>
      <c r="BG51" s="470">
        <f t="shared" si="42"/>
        <v>0</v>
      </c>
      <c r="BH51">
        <f t="shared" si="43"/>
        <v>4</v>
      </c>
      <c r="BI51" s="184" t="s">
        <v>908</v>
      </c>
      <c r="BJ51" s="102">
        <f t="shared" si="44"/>
        <v>0</v>
      </c>
      <c r="BK51" s="102">
        <f t="shared" ca="1" si="45"/>
        <v>0</v>
      </c>
      <c r="BL51" s="102">
        <f t="shared" ca="1" si="46"/>
        <v>0</v>
      </c>
    </row>
    <row r="52" spans="1:64" ht="12.75" customHeight="1">
      <c r="A52" s="234" t="s">
        <v>885</v>
      </c>
      <c r="B52" s="205" t="s">
        <v>75</v>
      </c>
      <c r="C52" s="234" t="s">
        <v>560</v>
      </c>
      <c r="D52" s="17">
        <f t="shared" ref="D52:T52" si="47">1-SUM(D47:D51)</f>
        <v>0.30000000000000004</v>
      </c>
      <c r="E52" s="17">
        <f t="shared" si="47"/>
        <v>0.4</v>
      </c>
      <c r="F52" s="17">
        <f t="shared" si="47"/>
        <v>9.9999999999999978E-2</v>
      </c>
      <c r="G52" s="255">
        <f t="shared" si="47"/>
        <v>0</v>
      </c>
      <c r="H52" s="17">
        <f t="shared" si="47"/>
        <v>0</v>
      </c>
      <c r="I52" s="17">
        <f t="shared" si="47"/>
        <v>0.30000000000000004</v>
      </c>
      <c r="J52" s="255">
        <f t="shared" si="47"/>
        <v>0</v>
      </c>
      <c r="K52" s="255">
        <f t="shared" si="47"/>
        <v>0</v>
      </c>
      <c r="L52" s="255">
        <f t="shared" si="47"/>
        <v>0</v>
      </c>
      <c r="M52" s="17">
        <f t="shared" si="47"/>
        <v>0.7</v>
      </c>
      <c r="N52" s="17">
        <f t="shared" si="47"/>
        <v>0.25</v>
      </c>
      <c r="O52" s="255">
        <f t="shared" si="47"/>
        <v>0</v>
      </c>
      <c r="P52" s="255">
        <f t="shared" si="47"/>
        <v>0</v>
      </c>
      <c r="Q52" s="194">
        <f t="shared" si="47"/>
        <v>0.5</v>
      </c>
      <c r="R52" s="194">
        <f t="shared" si="47"/>
        <v>0.25</v>
      </c>
      <c r="S52" s="17">
        <f t="shared" si="47"/>
        <v>1</v>
      </c>
      <c r="T52" s="17">
        <f t="shared" si="47"/>
        <v>0.24</v>
      </c>
      <c r="U52" s="203"/>
      <c r="V52" s="203"/>
      <c r="W52" s="203"/>
      <c r="AE52" s="184" t="s">
        <v>952</v>
      </c>
      <c r="AF52" s="9">
        <f t="shared" si="37"/>
        <v>5</v>
      </c>
      <c r="AG52" s="9">
        <f t="shared" si="29"/>
        <v>27</v>
      </c>
      <c r="AH52" s="46">
        <f t="shared" si="30"/>
        <v>5.1703067200649118</v>
      </c>
      <c r="AI52" s="46">
        <f t="shared" si="31"/>
        <v>0</v>
      </c>
      <c r="AJ52" s="46">
        <f t="shared" si="32"/>
        <v>0</v>
      </c>
      <c r="AK52" s="9">
        <f t="shared" si="33"/>
        <v>0.83552839268865564</v>
      </c>
      <c r="AL52" s="46">
        <f t="shared" si="34"/>
        <v>6.0058351127535676</v>
      </c>
      <c r="AM52" s="184" t="s">
        <v>909</v>
      </c>
      <c r="AN52" s="9">
        <f t="shared" si="35"/>
        <v>4</v>
      </c>
      <c r="AO52" s="542">
        <f t="shared" ca="1" si="36"/>
        <v>1</v>
      </c>
      <c r="AQ52" s="99" t="s">
        <v>830</v>
      </c>
      <c r="AR52" s="100" t="s">
        <v>801</v>
      </c>
      <c r="AS52" s="134">
        <v>0</v>
      </c>
      <c r="AT52" s="134">
        <v>0</v>
      </c>
      <c r="AU52" s="134">
        <v>0</v>
      </c>
      <c r="AV52" s="134">
        <v>0</v>
      </c>
      <c r="AX52" s="184" t="str">
        <f>$F$38</f>
        <v>INDCOA</v>
      </c>
      <c r="AY52" s="102">
        <f>AS77</f>
        <v>0.12461589999999999</v>
      </c>
      <c r="AZ52" s="102">
        <f>AU77</f>
        <v>2.29981E-2</v>
      </c>
      <c r="BA52" s="102">
        <f>AT77</f>
        <v>3.5999999999999997E-2</v>
      </c>
      <c r="BB52" s="102">
        <f>AV77</f>
        <v>1.8000000000000002E-2</v>
      </c>
      <c r="BC52" s="2">
        <f t="shared" si="38"/>
        <v>0.27486916441538445</v>
      </c>
      <c r="BD52" s="2">
        <f t="shared" si="39"/>
        <v>0.78267335127684468</v>
      </c>
      <c r="BE52" s="470">
        <f t="shared" si="40"/>
        <v>3.4253068305871097E-2</v>
      </c>
      <c r="BF52" s="470">
        <f t="shared" si="41"/>
        <v>0.78267335127684468</v>
      </c>
      <c r="BG52" s="470">
        <f t="shared" si="42"/>
        <v>1.8000000000000002E-2</v>
      </c>
      <c r="BH52">
        <f t="shared" si="43"/>
        <v>5</v>
      </c>
      <c r="BI52" s="184" t="s">
        <v>909</v>
      </c>
      <c r="BJ52" s="102">
        <f t="shared" si="44"/>
        <v>0.83552839268865564</v>
      </c>
      <c r="BK52" s="102">
        <f t="shared" ca="1" si="45"/>
        <v>6.0058351127535676</v>
      </c>
      <c r="BL52" s="102">
        <f t="shared" ca="1" si="46"/>
        <v>6.0058351127535676</v>
      </c>
    </row>
    <row r="53" spans="1:64">
      <c r="A53" s="203"/>
      <c r="B53" s="203"/>
      <c r="C53" s="203"/>
      <c r="D53" s="260">
        <f t="shared" ref="D53:T53" si="48">SUM(D47:D52)</f>
        <v>1</v>
      </c>
      <c r="E53" s="260">
        <f t="shared" si="48"/>
        <v>1</v>
      </c>
      <c r="F53" s="260">
        <f t="shared" si="48"/>
        <v>1</v>
      </c>
      <c r="G53" s="260">
        <f t="shared" si="48"/>
        <v>1</v>
      </c>
      <c r="H53" s="260">
        <f t="shared" si="48"/>
        <v>1</v>
      </c>
      <c r="I53" s="260">
        <f t="shared" si="48"/>
        <v>1</v>
      </c>
      <c r="J53" s="260">
        <f t="shared" si="48"/>
        <v>1</v>
      </c>
      <c r="K53" s="260">
        <f t="shared" si="48"/>
        <v>1</v>
      </c>
      <c r="L53" s="260">
        <f t="shared" si="48"/>
        <v>1</v>
      </c>
      <c r="M53" s="260">
        <f t="shared" si="48"/>
        <v>1</v>
      </c>
      <c r="N53" s="260">
        <f t="shared" si="48"/>
        <v>1</v>
      </c>
      <c r="O53" s="260">
        <f t="shared" si="48"/>
        <v>1</v>
      </c>
      <c r="P53" s="260">
        <f t="shared" si="48"/>
        <v>1</v>
      </c>
      <c r="Q53" s="260">
        <f t="shared" si="48"/>
        <v>1</v>
      </c>
      <c r="R53" s="260">
        <f t="shared" si="48"/>
        <v>1</v>
      </c>
      <c r="S53" s="260">
        <f t="shared" si="48"/>
        <v>1</v>
      </c>
      <c r="T53" s="260">
        <f t="shared" si="48"/>
        <v>1</v>
      </c>
      <c r="U53" s="203"/>
      <c r="V53" s="203"/>
      <c r="W53" s="203"/>
      <c r="AE53" s="184" t="s">
        <v>953</v>
      </c>
      <c r="AF53" s="9">
        <f t="shared" si="37"/>
        <v>6</v>
      </c>
      <c r="AG53" s="9">
        <f t="shared" si="29"/>
        <v>26</v>
      </c>
      <c r="AH53" s="46">
        <f t="shared" si="30"/>
        <v>6.2226748875781608</v>
      </c>
      <c r="AI53" s="46">
        <f t="shared" si="31"/>
        <v>0</v>
      </c>
      <c r="AJ53" s="46">
        <f t="shared" si="32"/>
        <v>0</v>
      </c>
      <c r="AK53" s="9">
        <f t="shared" si="33"/>
        <v>10.083411754943693</v>
      </c>
      <c r="AL53" s="46">
        <f t="shared" si="34"/>
        <v>16.306086642521855</v>
      </c>
      <c r="AM53" s="184" t="s">
        <v>1150</v>
      </c>
      <c r="AN53" s="9">
        <f t="shared" si="35"/>
        <v>8</v>
      </c>
      <c r="AO53" s="542">
        <f t="shared" ca="1" si="36"/>
        <v>1</v>
      </c>
      <c r="AQ53" s="99" t="s">
        <v>956</v>
      </c>
      <c r="AR53" s="100" t="s">
        <v>800</v>
      </c>
      <c r="AS53" s="134">
        <v>0</v>
      </c>
      <c r="AT53" s="134">
        <v>0</v>
      </c>
      <c r="AU53" s="134">
        <v>0</v>
      </c>
      <c r="AV53" s="134">
        <v>0</v>
      </c>
      <c r="AX53" s="184" t="str">
        <f>$G$38</f>
        <v>INDCOK</v>
      </c>
      <c r="AY53" s="102">
        <f>AS78</f>
        <v>0</v>
      </c>
      <c r="AZ53" s="102">
        <f>AU78</f>
        <v>0</v>
      </c>
      <c r="BA53" s="102">
        <f>AT78</f>
        <v>0</v>
      </c>
      <c r="BB53" s="102">
        <f>AV78</f>
        <v>0</v>
      </c>
      <c r="BC53" s="2">
        <f t="shared" si="38"/>
        <v>0</v>
      </c>
      <c r="BD53" s="2">
        <f t="shared" si="39"/>
        <v>0</v>
      </c>
      <c r="BE53" s="470">
        <f t="shared" si="40"/>
        <v>0</v>
      </c>
      <c r="BF53" s="470">
        <f t="shared" si="41"/>
        <v>0.78</v>
      </c>
      <c r="BG53" s="470">
        <f t="shared" si="42"/>
        <v>0</v>
      </c>
      <c r="BH53">
        <f t="shared" si="43"/>
        <v>6</v>
      </c>
      <c r="BI53" s="184" t="s">
        <v>910</v>
      </c>
      <c r="BJ53" s="102">
        <f t="shared" si="44"/>
        <v>0</v>
      </c>
      <c r="BK53" s="102">
        <f t="shared" ca="1" si="45"/>
        <v>4.2485008999999998</v>
      </c>
      <c r="BL53" s="102">
        <f t="shared" ca="1" si="46"/>
        <v>4.2485008999999998</v>
      </c>
    </row>
    <row r="54" spans="1:64" ht="14.25" customHeight="1">
      <c r="A54" s="234" t="s">
        <v>885</v>
      </c>
      <c r="B54" s="203" t="s">
        <v>1332</v>
      </c>
      <c r="C54" s="234" t="s">
        <v>1333</v>
      </c>
      <c r="D54" s="255">
        <v>0.1</v>
      </c>
      <c r="E54" s="255"/>
      <c r="F54" s="255">
        <v>0.14000000000000001</v>
      </c>
      <c r="G54" s="255"/>
      <c r="H54" s="255"/>
      <c r="I54" s="255"/>
      <c r="J54" s="255"/>
      <c r="K54" s="255"/>
      <c r="L54" s="255"/>
      <c r="M54" s="255"/>
      <c r="N54" s="255">
        <f>0.9-F54</f>
        <v>0.76</v>
      </c>
      <c r="O54" s="255"/>
      <c r="P54" s="255"/>
      <c r="Q54" s="255"/>
      <c r="R54" s="255"/>
      <c r="S54" s="255"/>
      <c r="T54" s="255"/>
      <c r="U54" s="203"/>
      <c r="V54" s="203"/>
      <c r="W54" s="203"/>
      <c r="AE54" s="184" t="s">
        <v>954</v>
      </c>
      <c r="AF54" s="9">
        <f t="shared" si="37"/>
        <v>7</v>
      </c>
      <c r="AG54" s="9">
        <f t="shared" si="29"/>
        <v>28</v>
      </c>
      <c r="AH54" s="46">
        <f t="shared" si="30"/>
        <v>4.2485008999999998</v>
      </c>
      <c r="AI54" s="46">
        <f t="shared" si="31"/>
        <v>0</v>
      </c>
      <c r="AJ54" s="46">
        <f t="shared" si="32"/>
        <v>0</v>
      </c>
      <c r="AK54" s="9">
        <f t="shared" si="33"/>
        <v>0</v>
      </c>
      <c r="AL54" s="46">
        <f t="shared" si="34"/>
        <v>4.2485008999999998</v>
      </c>
      <c r="AM54" s="184" t="s">
        <v>910</v>
      </c>
      <c r="AN54" s="9">
        <f t="shared" si="35"/>
        <v>5</v>
      </c>
      <c r="AO54" s="542">
        <f t="shared" ca="1" si="36"/>
        <v>1</v>
      </c>
      <c r="AQ54" s="99" t="s">
        <v>831</v>
      </c>
      <c r="AR54" s="100" t="s">
        <v>592</v>
      </c>
      <c r="AS54" s="134">
        <v>0</v>
      </c>
      <c r="AT54" s="134">
        <v>0</v>
      </c>
      <c r="AU54" s="134">
        <v>0</v>
      </c>
      <c r="AV54" s="134">
        <v>0</v>
      </c>
      <c r="AX54" s="184" t="str">
        <f>$H$38</f>
        <v>INDCOG</v>
      </c>
      <c r="AY54" s="102">
        <f>AS53</f>
        <v>0</v>
      </c>
      <c r="AZ54" s="102">
        <f>AU53</f>
        <v>0</v>
      </c>
      <c r="BA54" s="102">
        <f>AT53</f>
        <v>0</v>
      </c>
      <c r="BB54" s="102">
        <f>AV53</f>
        <v>0</v>
      </c>
      <c r="BC54" s="2">
        <f t="shared" si="38"/>
        <v>0</v>
      </c>
      <c r="BD54" s="2">
        <f t="shared" si="39"/>
        <v>0</v>
      </c>
      <c r="BE54" s="470">
        <f t="shared" si="40"/>
        <v>0</v>
      </c>
      <c r="BF54" s="470">
        <f t="shared" si="41"/>
        <v>0.78</v>
      </c>
      <c r="BG54" s="470">
        <f t="shared" si="42"/>
        <v>0</v>
      </c>
      <c r="BH54">
        <f t="shared" si="43"/>
        <v>7</v>
      </c>
      <c r="BI54" s="184" t="s">
        <v>911</v>
      </c>
      <c r="BJ54" s="102">
        <f t="shared" si="44"/>
        <v>0</v>
      </c>
      <c r="BK54" s="102">
        <f t="shared" ca="1" si="45"/>
        <v>2.8070987000000001</v>
      </c>
      <c r="BL54" s="102">
        <f t="shared" ca="1" si="46"/>
        <v>2.8070987000000001</v>
      </c>
    </row>
    <row r="55" spans="1:64">
      <c r="A55" s="234" t="s">
        <v>885</v>
      </c>
      <c r="B55" s="203" t="s">
        <v>1332</v>
      </c>
      <c r="C55" s="234" t="s">
        <v>1118</v>
      </c>
      <c r="D55" s="255">
        <v>0.22</v>
      </c>
      <c r="E55" s="255"/>
      <c r="F55" s="255">
        <v>0.05</v>
      </c>
      <c r="G55" s="255"/>
      <c r="H55" s="255"/>
      <c r="I55" s="255"/>
      <c r="J55" s="255"/>
      <c r="K55" s="255"/>
      <c r="L55" s="255"/>
      <c r="M55" s="255"/>
      <c r="N55" s="255">
        <f>0.95-F55</f>
        <v>0.89999999999999991</v>
      </c>
      <c r="O55" s="255"/>
      <c r="P55" s="255"/>
      <c r="Q55" s="255"/>
      <c r="R55" s="255"/>
      <c r="S55" s="255"/>
      <c r="T55" s="255"/>
      <c r="AE55" s="184" t="s">
        <v>956</v>
      </c>
      <c r="AF55" s="9">
        <f t="shared" si="37"/>
        <v>9</v>
      </c>
      <c r="AG55" s="9">
        <f t="shared" si="29"/>
        <v>3</v>
      </c>
      <c r="AH55" s="46">
        <f t="shared" si="30"/>
        <v>2.8070987000000001</v>
      </c>
      <c r="AI55" s="46">
        <f t="shared" si="31"/>
        <v>0</v>
      </c>
      <c r="AJ55" s="46">
        <f t="shared" si="32"/>
        <v>0</v>
      </c>
      <c r="AK55" s="9">
        <f t="shared" si="33"/>
        <v>0</v>
      </c>
      <c r="AL55" s="46">
        <f t="shared" si="34"/>
        <v>2.8070987000000001</v>
      </c>
      <c r="AM55" s="184" t="s">
        <v>911</v>
      </c>
      <c r="AN55" s="9">
        <f t="shared" si="35"/>
        <v>6</v>
      </c>
      <c r="AO55" s="542">
        <f t="shared" ca="1" si="36"/>
        <v>1</v>
      </c>
      <c r="AQ55" s="99" t="s">
        <v>951</v>
      </c>
      <c r="AR55" s="100" t="s">
        <v>798</v>
      </c>
      <c r="AS55" s="134">
        <v>8.4598499999999993E-2</v>
      </c>
      <c r="AT55" s="134">
        <v>2.8799999999999999E-2</v>
      </c>
      <c r="AU55" s="134">
        <v>6.8851699999999988E-2</v>
      </c>
      <c r="AV55" s="134">
        <v>6.3750000000000001E-2</v>
      </c>
      <c r="AX55" s="184" t="str">
        <f>$I$38</f>
        <v>INDBFG</v>
      </c>
      <c r="AY55" s="102">
        <f>AS52+AS54</f>
        <v>0</v>
      </c>
      <c r="AZ55" s="102">
        <f>AU52+AU54</f>
        <v>0</v>
      </c>
      <c r="BA55" s="102">
        <f>AT52+AT54</f>
        <v>0</v>
      </c>
      <c r="BB55" s="102">
        <f>AV52+AV54</f>
        <v>0</v>
      </c>
      <c r="BC55" s="2">
        <f t="shared" si="38"/>
        <v>0</v>
      </c>
      <c r="BD55" s="2">
        <f t="shared" si="39"/>
        <v>0</v>
      </c>
      <c r="BE55" s="470">
        <f t="shared" si="40"/>
        <v>0</v>
      </c>
      <c r="BF55" s="470">
        <f t="shared" si="41"/>
        <v>0.78</v>
      </c>
      <c r="BG55" s="470">
        <f t="shared" si="42"/>
        <v>0</v>
      </c>
      <c r="BH55">
        <f t="shared" si="43"/>
        <v>8</v>
      </c>
      <c r="BI55" s="184" t="s">
        <v>912</v>
      </c>
      <c r="BJ55" s="102">
        <f t="shared" si="44"/>
        <v>0</v>
      </c>
      <c r="BK55" s="102">
        <f t="shared" ca="1" si="45"/>
        <v>2.3069980000000001</v>
      </c>
      <c r="BL55" s="102">
        <f t="shared" ca="1" si="46"/>
        <v>2.3069980000000001</v>
      </c>
    </row>
    <row r="56" spans="1:64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AE56" s="184" t="s">
        <v>830</v>
      </c>
      <c r="AF56" s="9">
        <f t="shared" si="37"/>
        <v>10</v>
      </c>
      <c r="AG56" s="9">
        <f t="shared" si="29"/>
        <v>2</v>
      </c>
      <c r="AH56" s="46">
        <f t="shared" si="30"/>
        <v>0</v>
      </c>
      <c r="AI56" s="46">
        <f t="shared" si="31"/>
        <v>0</v>
      </c>
      <c r="AJ56" s="46">
        <f t="shared" si="32"/>
        <v>0</v>
      </c>
      <c r="AK56" s="9">
        <f t="shared" si="33"/>
        <v>0</v>
      </c>
      <c r="AL56" s="46">
        <f t="shared" si="34"/>
        <v>0</v>
      </c>
      <c r="AM56" s="184" t="s">
        <v>912</v>
      </c>
      <c r="AN56" s="9">
        <f t="shared" si="35"/>
        <v>7</v>
      </c>
      <c r="AO56" s="542">
        <f t="shared" ca="1" si="36"/>
        <v>0</v>
      </c>
      <c r="AQ56" s="99" t="s">
        <v>833</v>
      </c>
      <c r="AR56" s="100" t="s">
        <v>891</v>
      </c>
      <c r="AS56" s="134">
        <v>0</v>
      </c>
      <c r="AT56" s="134">
        <v>0</v>
      </c>
      <c r="AU56" s="134">
        <v>0.14850160000000001</v>
      </c>
      <c r="AV56" s="134">
        <v>6.8000000000000005E-2</v>
      </c>
      <c r="AX56" s="184" t="str">
        <f>$J$38</f>
        <v>INDBCO</v>
      </c>
      <c r="AY56" s="102">
        <f>AS76</f>
        <v>5.3000700000000005E-2</v>
      </c>
      <c r="AZ56" s="102">
        <f>AU76</f>
        <v>0.1919941</v>
      </c>
      <c r="BA56" s="102">
        <f>AT76</f>
        <v>2.52E-2</v>
      </c>
      <c r="BB56" s="102">
        <f>AV76</f>
        <v>0.155</v>
      </c>
      <c r="BC56" s="2">
        <f t="shared" si="38"/>
        <v>0.45239304035814182</v>
      </c>
      <c r="BD56" s="2">
        <f t="shared" si="39"/>
        <v>0.80731647482917446</v>
      </c>
      <c r="BE56" s="470">
        <f t="shared" si="40"/>
        <v>2.3977147814109766E-2</v>
      </c>
      <c r="BF56" s="470">
        <f t="shared" si="41"/>
        <v>0.80731647482917446</v>
      </c>
      <c r="BG56" s="470">
        <f t="shared" si="42"/>
        <v>0.155</v>
      </c>
      <c r="BH56">
        <f t="shared" si="43"/>
        <v>9</v>
      </c>
      <c r="BI56" s="184" t="s">
        <v>1150</v>
      </c>
      <c r="BJ56" s="102">
        <f t="shared" si="44"/>
        <v>10.083411754943693</v>
      </c>
      <c r="BK56" s="102">
        <f t="shared" ca="1" si="45"/>
        <v>16.306086642521855</v>
      </c>
      <c r="BL56" s="102">
        <f t="shared" ca="1" si="46"/>
        <v>16.306086642521855</v>
      </c>
    </row>
    <row r="57" spans="1:64" ht="14.25" customHeight="1">
      <c r="A57" s="86" t="s">
        <v>988</v>
      </c>
      <c r="B57" s="106"/>
      <c r="C57" s="107"/>
      <c r="D57" s="88"/>
      <c r="E57" s="88"/>
      <c r="F57" s="88"/>
      <c r="G57" s="88"/>
      <c r="H57" s="88"/>
      <c r="I57" s="88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AE57" s="184" t="s">
        <v>955</v>
      </c>
      <c r="AF57" s="9">
        <f t="shared" si="37"/>
        <v>8</v>
      </c>
      <c r="AG57" s="9" t="e">
        <f t="shared" si="29"/>
        <v>#N/A</v>
      </c>
      <c r="AH57" s="46">
        <f t="shared" si="30"/>
        <v>0</v>
      </c>
      <c r="AI57" s="46">
        <f t="shared" si="31"/>
        <v>0</v>
      </c>
      <c r="AJ57" s="46">
        <f t="shared" si="32"/>
        <v>0</v>
      </c>
      <c r="AK57" s="9">
        <f t="shared" si="33"/>
        <v>0</v>
      </c>
      <c r="AL57" s="46">
        <f t="shared" si="34"/>
        <v>0</v>
      </c>
      <c r="AM57" s="184" t="s">
        <v>912</v>
      </c>
      <c r="AN57" s="9">
        <f t="shared" si="35"/>
        <v>7</v>
      </c>
      <c r="AO57" s="542">
        <f t="shared" ca="1" si="36"/>
        <v>0</v>
      </c>
      <c r="AQ57" s="99" t="s">
        <v>1297</v>
      </c>
      <c r="AR57" s="100" t="s">
        <v>663</v>
      </c>
      <c r="AS57" s="134">
        <v>0</v>
      </c>
      <c r="AT57" s="134">
        <v>0</v>
      </c>
      <c r="AU57" s="134">
        <v>0</v>
      </c>
      <c r="AV57" s="134">
        <v>1E-3</v>
      </c>
      <c r="AX57" s="184" t="str">
        <f>$K$38</f>
        <v>INDHFO</v>
      </c>
      <c r="AY57" s="102">
        <f>AS68+AS60+AS65+AS66</f>
        <v>0.1200021</v>
      </c>
      <c r="AZ57" s="102">
        <f>AU68+AU60+AU65+AU66</f>
        <v>3.4000595000000002E-2</v>
      </c>
      <c r="BA57" s="102">
        <f>AT68+AT60+AT65+AT66</f>
        <v>4.3200000000000002E-2</v>
      </c>
      <c r="BB57" s="102">
        <f>AV68+AV60+AV65+AV66</f>
        <v>4.2500000000000003E-2</v>
      </c>
      <c r="BC57" s="2">
        <f t="shared" si="38"/>
        <v>0.34252468887665571</v>
      </c>
      <c r="BD57" s="2">
        <f t="shared" si="39"/>
        <v>1.2499781253828057</v>
      </c>
      <c r="BE57" s="470">
        <f t="shared" si="40"/>
        <v>4.1103681967045322E-2</v>
      </c>
      <c r="BF57" s="470">
        <f t="shared" si="41"/>
        <v>0.88</v>
      </c>
      <c r="BG57" s="470">
        <f t="shared" si="42"/>
        <v>2.9920523600000002E-2</v>
      </c>
      <c r="BH57">
        <f t="shared" si="43"/>
        <v>10</v>
      </c>
      <c r="BI57" s="184" t="s">
        <v>913</v>
      </c>
      <c r="BJ57" s="102">
        <f t="shared" si="44"/>
        <v>2.3224688123515582</v>
      </c>
      <c r="BK57" s="102">
        <f t="shared" ca="1" si="45"/>
        <v>12.668832426475948</v>
      </c>
      <c r="BL57" s="102">
        <f t="shared" ca="1" si="46"/>
        <v>12.668832426475948</v>
      </c>
    </row>
    <row r="58" spans="1:64" ht="14.25" customHeight="1" thickBot="1">
      <c r="A58" s="233" t="s">
        <v>873</v>
      </c>
      <c r="B58" s="233" t="s">
        <v>874</v>
      </c>
      <c r="C58" s="233" t="s">
        <v>555</v>
      </c>
      <c r="D58" s="188" t="str">
        <f t="shared" ref="D58:T58" si="49">B38</f>
        <v>INDELC</v>
      </c>
      <c r="E58" s="188" t="str">
        <f t="shared" si="49"/>
        <v>INDNGA</v>
      </c>
      <c r="F58" s="188" t="str">
        <f t="shared" si="49"/>
        <v>INDLPG</v>
      </c>
      <c r="G58" s="188" t="str">
        <f t="shared" si="49"/>
        <v>INDNGL</v>
      </c>
      <c r="H58" s="188" t="str">
        <f t="shared" si="49"/>
        <v>INDCOA</v>
      </c>
      <c r="I58" s="188" t="str">
        <f t="shared" si="49"/>
        <v>INDCOK</v>
      </c>
      <c r="J58" s="188" t="str">
        <f t="shared" si="49"/>
        <v>INDCOG</v>
      </c>
      <c r="K58" s="188" t="str">
        <f t="shared" si="49"/>
        <v>INDBFG</v>
      </c>
      <c r="L58" s="188" t="str">
        <f t="shared" si="49"/>
        <v>INDBCO</v>
      </c>
      <c r="M58" s="188" t="str">
        <f t="shared" si="49"/>
        <v>INDHFO</v>
      </c>
      <c r="N58" s="188" t="str">
        <f t="shared" si="49"/>
        <v>INDOIL</v>
      </c>
      <c r="O58" s="188" t="str">
        <f t="shared" si="49"/>
        <v>INDETH</v>
      </c>
      <c r="P58" s="188" t="str">
        <f t="shared" si="49"/>
        <v>INDNAP</v>
      </c>
      <c r="Q58" s="188" t="str">
        <f t="shared" si="49"/>
        <v>INDPTC</v>
      </c>
      <c r="R58" s="188" t="str">
        <f t="shared" si="49"/>
        <v>INDBIO</v>
      </c>
      <c r="S58" s="188" t="str">
        <f t="shared" si="49"/>
        <v>INDGEO</v>
      </c>
      <c r="T58" s="188" t="str">
        <f t="shared" si="49"/>
        <v>INDHET</v>
      </c>
      <c r="U58" s="188" t="s">
        <v>888</v>
      </c>
      <c r="V58" s="203"/>
      <c r="W58" s="203"/>
      <c r="AE58" s="184" t="s">
        <v>831</v>
      </c>
      <c r="AF58" s="9">
        <f t="shared" si="37"/>
        <v>11</v>
      </c>
      <c r="AG58" s="9">
        <f t="shared" si="29"/>
        <v>4</v>
      </c>
      <c r="AH58" s="46">
        <f t="shared" si="30"/>
        <v>2.3069980000000001</v>
      </c>
      <c r="AI58" s="46">
        <f t="shared" si="31"/>
        <v>0</v>
      </c>
      <c r="AJ58" s="46">
        <f t="shared" si="32"/>
        <v>0</v>
      </c>
      <c r="AK58" s="9">
        <f t="shared" si="33"/>
        <v>0</v>
      </c>
      <c r="AL58" s="46">
        <f t="shared" si="34"/>
        <v>2.3069980000000001</v>
      </c>
      <c r="AM58" s="184" t="s">
        <v>912</v>
      </c>
      <c r="AN58" s="9">
        <f t="shared" si="35"/>
        <v>7</v>
      </c>
      <c r="AO58" s="542">
        <f t="shared" ca="1" si="36"/>
        <v>1</v>
      </c>
      <c r="AQ58" s="135" t="s">
        <v>843</v>
      </c>
      <c r="AR58" s="136" t="s">
        <v>804</v>
      </c>
      <c r="AS58" s="134">
        <v>0</v>
      </c>
      <c r="AT58" s="134">
        <v>0</v>
      </c>
      <c r="AU58" s="134">
        <v>0</v>
      </c>
      <c r="AV58" s="134">
        <v>0</v>
      </c>
      <c r="AX58" s="184" t="str">
        <f>$L$38</f>
        <v>INDOIL</v>
      </c>
      <c r="AY58" s="102">
        <f>AS61+AS62+AS67</f>
        <v>8.520140000000001E-2</v>
      </c>
      <c r="AZ58" s="102">
        <f>AU61+AU62+AU67</f>
        <v>0</v>
      </c>
      <c r="BA58" s="102">
        <f>AT61+AT62+AT67</f>
        <v>3.5999999999999997E-2</v>
      </c>
      <c r="BB58" s="102">
        <f>AV61+AV62+AV67</f>
        <v>1.7000000000000001E-2</v>
      </c>
      <c r="BC58" s="2">
        <f t="shared" si="38"/>
        <v>0.40202471210415669</v>
      </c>
      <c r="BD58" s="2">
        <f t="shared" si="39"/>
        <v>0</v>
      </c>
      <c r="BE58" s="470">
        <f t="shared" si="40"/>
        <v>3.425306830587109E-2</v>
      </c>
      <c r="BF58" s="470">
        <f t="shared" si="41"/>
        <v>0.78</v>
      </c>
      <c r="BG58" s="470">
        <f t="shared" si="42"/>
        <v>0</v>
      </c>
      <c r="BH58">
        <f t="shared" si="43"/>
        <v>11</v>
      </c>
      <c r="BI58" s="184" t="s">
        <v>826</v>
      </c>
      <c r="BJ58" s="102">
        <f t="shared" si="44"/>
        <v>0.21330651539859638</v>
      </c>
      <c r="BK58" s="102">
        <f t="shared" ca="1" si="45"/>
        <v>24.107755482926713</v>
      </c>
      <c r="BL58" s="102">
        <f t="shared" ca="1" si="46"/>
        <v>24.107755482926713</v>
      </c>
    </row>
    <row r="59" spans="1:64" ht="14.25" customHeight="1">
      <c r="A59" s="259" t="str">
        <f t="shared" ref="A59:C69" si="50">A42</f>
        <v>Iron and Steel</v>
      </c>
      <c r="B59" s="259" t="str">
        <f t="shared" si="50"/>
        <v>ISIS</v>
      </c>
      <c r="C59" s="259" t="str">
        <f t="shared" si="50"/>
        <v>Steam Boiler</v>
      </c>
      <c r="D59" s="68">
        <f>D42*B$28</f>
        <v>0</v>
      </c>
      <c r="E59" s="68">
        <f t="shared" ref="E59:T59" si="51">(E42*C$28)</f>
        <v>0.34742984999999998</v>
      </c>
      <c r="F59" s="68">
        <f t="shared" si="51"/>
        <v>0</v>
      </c>
      <c r="G59" s="68">
        <f t="shared" si="51"/>
        <v>0</v>
      </c>
      <c r="H59" s="68">
        <f t="shared" si="51"/>
        <v>0</v>
      </c>
      <c r="I59" s="68">
        <f t="shared" si="51"/>
        <v>0</v>
      </c>
      <c r="J59" s="68">
        <f t="shared" si="51"/>
        <v>0</v>
      </c>
      <c r="K59" s="68">
        <f t="shared" si="51"/>
        <v>0</v>
      </c>
      <c r="L59" s="68">
        <f t="shared" si="51"/>
        <v>0</v>
      </c>
      <c r="M59" s="68">
        <f t="shared" si="51"/>
        <v>6.0001049999999995E-3</v>
      </c>
      <c r="N59" s="68">
        <f t="shared" si="51"/>
        <v>1.9170314999999997E-2</v>
      </c>
      <c r="O59" s="68">
        <f t="shared" si="51"/>
        <v>0</v>
      </c>
      <c r="P59" s="68">
        <f t="shared" si="51"/>
        <v>0</v>
      </c>
      <c r="Q59" s="68">
        <f t="shared" si="51"/>
        <v>0</v>
      </c>
      <c r="R59" s="68">
        <f t="shared" si="51"/>
        <v>0</v>
      </c>
      <c r="S59" s="68">
        <f t="shared" si="51"/>
        <v>0</v>
      </c>
      <c r="T59" s="68">
        <f t="shared" si="51"/>
        <v>1.498</v>
      </c>
      <c r="U59" s="68">
        <f t="shared" ref="U59:U69" si="52">SUM(D59:T59)</f>
        <v>1.87060027</v>
      </c>
      <c r="V59" s="213"/>
      <c r="W59" s="203"/>
      <c r="AE59" s="184" t="s">
        <v>835</v>
      </c>
      <c r="AF59" s="9">
        <f t="shared" si="37"/>
        <v>15</v>
      </c>
      <c r="AG59" s="9">
        <f t="shared" si="29"/>
        <v>18</v>
      </c>
      <c r="AH59" s="46">
        <f t="shared" si="30"/>
        <v>8.4478718768376897</v>
      </c>
      <c r="AI59" s="46">
        <f t="shared" si="31"/>
        <v>0</v>
      </c>
      <c r="AJ59" s="46">
        <f t="shared" si="32"/>
        <v>1.5784525829918572</v>
      </c>
      <c r="AK59" s="9">
        <f t="shared" si="33"/>
        <v>2.0023782589505776</v>
      </c>
      <c r="AL59" s="46">
        <f t="shared" si="34"/>
        <v>8.8717975527964104</v>
      </c>
      <c r="AM59" s="184" t="s">
        <v>913</v>
      </c>
      <c r="AN59" s="9">
        <f t="shared" si="35"/>
        <v>9</v>
      </c>
      <c r="AO59" s="542">
        <f t="shared" ca="1" si="36"/>
        <v>0.70028533444452956</v>
      </c>
      <c r="AQ59" s="99" t="s">
        <v>902</v>
      </c>
      <c r="AR59" s="100" t="s">
        <v>902</v>
      </c>
      <c r="AS59" s="137">
        <v>8.4598499999999993E-2</v>
      </c>
      <c r="AT59" s="137">
        <v>2.8799999999999999E-2</v>
      </c>
      <c r="AU59" s="137">
        <v>0.2173533</v>
      </c>
      <c r="AV59" s="137">
        <v>0.13275000000000001</v>
      </c>
      <c r="AX59" s="184" t="str">
        <f>$M$38</f>
        <v>INDETH</v>
      </c>
      <c r="AY59" s="102">
        <f>AS56+AS58</f>
        <v>0</v>
      </c>
      <c r="AZ59" s="102">
        <f>AU56+AU58</f>
        <v>0.14850160000000001</v>
      </c>
      <c r="BA59" s="102">
        <f>AT56+AT58</f>
        <v>0</v>
      </c>
      <c r="BB59" s="102">
        <f>AV56+AV58</f>
        <v>6.8000000000000005E-2</v>
      </c>
      <c r="BC59" s="2">
        <f t="shared" si="38"/>
        <v>0</v>
      </c>
      <c r="BD59" s="2">
        <f t="shared" si="39"/>
        <v>0.45790752422869518</v>
      </c>
      <c r="BE59" s="470">
        <f t="shared" si="40"/>
        <v>0</v>
      </c>
      <c r="BF59" s="470">
        <f t="shared" si="41"/>
        <v>0.78</v>
      </c>
      <c r="BG59" s="470">
        <f t="shared" si="42"/>
        <v>0.11583124800000001</v>
      </c>
      <c r="BH59">
        <f t="shared" si="43"/>
        <v>12</v>
      </c>
      <c r="BI59" s="184" t="s">
        <v>914</v>
      </c>
      <c r="BJ59" s="102">
        <f t="shared" si="44"/>
        <v>0.45921079785226415</v>
      </c>
      <c r="BK59" s="102">
        <f t="shared" ca="1" si="45"/>
        <v>0.50708298650031658</v>
      </c>
      <c r="BL59" s="102">
        <f t="shared" ca="1" si="46"/>
        <v>0.50708298650031658</v>
      </c>
    </row>
    <row r="60" spans="1:64" ht="14.25" customHeight="1">
      <c r="A60" s="259" t="str">
        <f t="shared" si="50"/>
        <v>Non-ferrous Metals</v>
      </c>
      <c r="B60" s="259" t="str">
        <f t="shared" si="50"/>
        <v>ISNF</v>
      </c>
      <c r="C60" s="259" t="str">
        <f t="shared" si="50"/>
        <v>Steam Boiler</v>
      </c>
      <c r="D60" s="68">
        <f>D43*B$29</f>
        <v>0</v>
      </c>
      <c r="E60" s="68">
        <f t="shared" ref="E60:T60" si="53">(E43*C$29)</f>
        <v>4.6800100000000009E-3</v>
      </c>
      <c r="F60" s="68">
        <f t="shared" si="53"/>
        <v>0</v>
      </c>
      <c r="G60" s="68">
        <f t="shared" si="53"/>
        <v>0</v>
      </c>
      <c r="H60" s="68">
        <f t="shared" si="53"/>
        <v>6.2027499999999999E-3</v>
      </c>
      <c r="I60" s="68">
        <f t="shared" si="53"/>
        <v>0</v>
      </c>
      <c r="J60" s="68">
        <f t="shared" si="53"/>
        <v>0</v>
      </c>
      <c r="K60" s="68">
        <f t="shared" si="53"/>
        <v>0</v>
      </c>
      <c r="L60" s="68">
        <f t="shared" si="53"/>
        <v>9.9184999999999985E-3</v>
      </c>
      <c r="M60" s="68">
        <f t="shared" si="53"/>
        <v>7.9750325000000011E-2</v>
      </c>
      <c r="N60" s="68">
        <f t="shared" si="53"/>
        <v>0</v>
      </c>
      <c r="O60" s="68">
        <f t="shared" si="53"/>
        <v>0</v>
      </c>
      <c r="P60" s="68">
        <f t="shared" si="53"/>
        <v>0</v>
      </c>
      <c r="Q60" s="68">
        <f t="shared" si="53"/>
        <v>0</v>
      </c>
      <c r="R60" s="68">
        <f t="shared" si="53"/>
        <v>0</v>
      </c>
      <c r="S60" s="68">
        <f t="shared" si="53"/>
        <v>0</v>
      </c>
      <c r="T60" s="68">
        <f t="shared" si="53"/>
        <v>2.4910000000000001</v>
      </c>
      <c r="U60" s="68">
        <f t="shared" si="52"/>
        <v>2.5915515849999999</v>
      </c>
      <c r="V60" s="213"/>
      <c r="W60" s="203"/>
      <c r="AE60" s="184" t="s">
        <v>834</v>
      </c>
      <c r="AF60" s="9">
        <f t="shared" si="37"/>
        <v>14</v>
      </c>
      <c r="AG60" s="9">
        <f t="shared" si="29"/>
        <v>10</v>
      </c>
      <c r="AH60" s="46">
        <f t="shared" si="30"/>
        <v>0</v>
      </c>
      <c r="AI60" s="46">
        <f t="shared" si="31"/>
        <v>0</v>
      </c>
      <c r="AJ60" s="46">
        <f t="shared" si="32"/>
        <v>0</v>
      </c>
      <c r="AK60" s="9">
        <f t="shared" si="33"/>
        <v>0</v>
      </c>
      <c r="AL60" s="46">
        <f t="shared" si="34"/>
        <v>0</v>
      </c>
      <c r="AM60" s="184" t="s">
        <v>913</v>
      </c>
      <c r="AN60" s="9">
        <f t="shared" si="35"/>
        <v>9</v>
      </c>
      <c r="AO60" s="542">
        <f t="shared" ca="1" si="36"/>
        <v>0</v>
      </c>
      <c r="AQ60" s="99" t="s">
        <v>834</v>
      </c>
      <c r="AR60" s="100" t="s">
        <v>892</v>
      </c>
      <c r="AS60" s="134">
        <v>0</v>
      </c>
      <c r="AT60" s="134">
        <v>0</v>
      </c>
      <c r="AU60" s="134">
        <v>0</v>
      </c>
      <c r="AV60" s="134">
        <v>0</v>
      </c>
      <c r="AX60" s="184" t="str">
        <f>$N$38</f>
        <v>INDNAP</v>
      </c>
      <c r="AY60" s="102">
        <f>AS63</f>
        <v>0</v>
      </c>
      <c r="AZ60" s="102">
        <f>AU63</f>
        <v>0</v>
      </c>
      <c r="BA60" s="102">
        <f>AT63</f>
        <v>0</v>
      </c>
      <c r="BB60" s="102">
        <f>AV63</f>
        <v>0</v>
      </c>
      <c r="BC60" s="2">
        <f t="shared" si="38"/>
        <v>0</v>
      </c>
      <c r="BD60" s="2">
        <f t="shared" si="39"/>
        <v>0</v>
      </c>
      <c r="BE60" s="470">
        <f t="shared" si="40"/>
        <v>0</v>
      </c>
      <c r="BF60" s="470">
        <f t="shared" si="41"/>
        <v>0.78</v>
      </c>
      <c r="BG60" s="470">
        <f t="shared" si="42"/>
        <v>0</v>
      </c>
      <c r="BH60">
        <f t="shared" si="43"/>
        <v>13</v>
      </c>
      <c r="BI60" s="184" t="s">
        <v>915</v>
      </c>
      <c r="BJ60" s="102">
        <f>SUM(AY60,AZ60)</f>
        <v>0</v>
      </c>
      <c r="BK60" s="102">
        <f ca="1">MAX(0,BJ60+OFFSET($A$34,0,$BH60)+OFFSET($A$36,0,$BH60)-INDEX($B$37:$S$37,$BH60))</f>
        <v>3.3520203887176212</v>
      </c>
      <c r="BL60" s="102">
        <f t="shared" ca="1" si="46"/>
        <v>3.3520203887176212</v>
      </c>
    </row>
    <row r="61" spans="1:64" ht="14.25" customHeight="1">
      <c r="A61" s="259" t="str">
        <f t="shared" si="50"/>
        <v>Chemicals and Petrochemicals</v>
      </c>
      <c r="B61" s="259" t="str">
        <f t="shared" si="50"/>
        <v>ISCH</v>
      </c>
      <c r="C61" s="259" t="str">
        <f t="shared" si="50"/>
        <v>Steam Boiler</v>
      </c>
      <c r="D61" s="68">
        <f t="shared" ref="D61:T61" si="54">D44*(B$30)</f>
        <v>0</v>
      </c>
      <c r="E61" s="68">
        <f t="shared" si="54"/>
        <v>1.2890005961672479</v>
      </c>
      <c r="F61" s="68">
        <f t="shared" si="54"/>
        <v>0</v>
      </c>
      <c r="G61" s="68">
        <f t="shared" si="54"/>
        <v>0</v>
      </c>
      <c r="H61" s="68">
        <f t="shared" si="54"/>
        <v>0</v>
      </c>
      <c r="I61" s="68">
        <f t="shared" si="54"/>
        <v>0</v>
      </c>
      <c r="J61" s="68">
        <f t="shared" si="54"/>
        <v>0</v>
      </c>
      <c r="K61" s="68">
        <f t="shared" si="54"/>
        <v>0</v>
      </c>
      <c r="L61" s="68">
        <f t="shared" si="54"/>
        <v>0</v>
      </c>
      <c r="M61" s="68">
        <f t="shared" si="54"/>
        <v>0.83083609006113668</v>
      </c>
      <c r="N61" s="68">
        <f t="shared" si="54"/>
        <v>0</v>
      </c>
      <c r="O61" s="68">
        <f t="shared" si="54"/>
        <v>0</v>
      </c>
      <c r="P61" s="68">
        <f t="shared" si="54"/>
        <v>0</v>
      </c>
      <c r="Q61" s="68">
        <f t="shared" si="54"/>
        <v>0</v>
      </c>
      <c r="R61" s="68">
        <f t="shared" si="54"/>
        <v>0</v>
      </c>
      <c r="S61" s="68">
        <f t="shared" si="54"/>
        <v>0</v>
      </c>
      <c r="T61" s="68">
        <f t="shared" si="54"/>
        <v>11.805999999999999</v>
      </c>
      <c r="U61" s="68">
        <f t="shared" si="52"/>
        <v>13.925836686228383</v>
      </c>
      <c r="V61" s="213"/>
      <c r="W61" s="203"/>
      <c r="AE61" s="184" t="s">
        <v>839</v>
      </c>
      <c r="AF61" s="9">
        <f t="shared" si="37"/>
        <v>19</v>
      </c>
      <c r="AG61" s="9">
        <f t="shared" si="29"/>
        <v>16</v>
      </c>
      <c r="AH61" s="46">
        <f t="shared" si="30"/>
        <v>7.1600015999999993</v>
      </c>
      <c r="AI61" s="46">
        <f t="shared" si="31"/>
        <v>0</v>
      </c>
      <c r="AJ61" s="46">
        <f t="shared" si="32"/>
        <v>3.6830572797214436</v>
      </c>
      <c r="AK61" s="9">
        <f t="shared" si="33"/>
        <v>0.3200905534009803</v>
      </c>
      <c r="AL61" s="46">
        <f t="shared" si="34"/>
        <v>3.7970348736795358</v>
      </c>
      <c r="AM61" s="184" t="s">
        <v>913</v>
      </c>
      <c r="AN61" s="9">
        <f t="shared" si="35"/>
        <v>9</v>
      </c>
      <c r="AO61" s="542">
        <f t="shared" ca="1" si="36"/>
        <v>0.29971466555547027</v>
      </c>
      <c r="AQ61" s="99" t="s">
        <v>836</v>
      </c>
      <c r="AR61" s="100" t="s">
        <v>803</v>
      </c>
      <c r="AS61" s="134">
        <v>8.520140000000001E-2</v>
      </c>
      <c r="AT61" s="134">
        <v>3.5999999999999997E-2</v>
      </c>
      <c r="AU61" s="134">
        <v>0</v>
      </c>
      <c r="AV61" s="134">
        <v>1.7000000000000001E-2</v>
      </c>
      <c r="AX61" s="184" t="str">
        <f>$O$38</f>
        <v>INDPTC</v>
      </c>
      <c r="AY61" s="102">
        <f>AS79</f>
        <v>0</v>
      </c>
      <c r="AZ61" s="102">
        <f>AU79</f>
        <v>3.1999699999999999E-2</v>
      </c>
      <c r="BA61" s="102">
        <f>AT79</f>
        <v>0</v>
      </c>
      <c r="BB61" s="102">
        <f>AV79</f>
        <v>1.4999999999999999E-2</v>
      </c>
      <c r="BC61" s="2">
        <f t="shared" si="38"/>
        <v>0</v>
      </c>
      <c r="BD61" s="2">
        <f t="shared" si="39"/>
        <v>0.46875439457244911</v>
      </c>
      <c r="BE61" s="470">
        <f t="shared" si="40"/>
        <v>0</v>
      </c>
      <c r="BF61" s="470">
        <f t="shared" si="41"/>
        <v>0.78</v>
      </c>
      <c r="BG61" s="470">
        <f t="shared" si="42"/>
        <v>2.4959766000000001E-2</v>
      </c>
      <c r="BH61">
        <f t="shared" si="43"/>
        <v>14</v>
      </c>
      <c r="BI61" s="184" t="s">
        <v>916</v>
      </c>
      <c r="BJ61" s="102">
        <f>SUM(AY18,AY61,AZ61)</f>
        <v>3.1999699999999999E-2</v>
      </c>
      <c r="BK61" s="102">
        <f ca="1">BJ61+OFFSET($A$34,0,$BH61)+OFFSET($A$36,0,$BH61)-INDEX($B$37:$S$37,$BH61)</f>
        <v>1.7420005999999999</v>
      </c>
      <c r="BL61" s="102">
        <f t="shared" ca="1" si="46"/>
        <v>1.7420005999999999</v>
      </c>
    </row>
    <row r="62" spans="1:64" ht="14.25" customHeight="1">
      <c r="A62" s="259" t="str">
        <f t="shared" si="50"/>
        <v>Paper, Pulp and Printing</v>
      </c>
      <c r="B62" s="259" t="str">
        <f t="shared" si="50"/>
        <v>ISLP</v>
      </c>
      <c r="C62" s="259" t="str">
        <f t="shared" si="50"/>
        <v>Steam Boiler</v>
      </c>
      <c r="D62" s="68">
        <f t="shared" ref="D62:T62" si="55">D45*B$31</f>
        <v>0</v>
      </c>
      <c r="E62" s="68">
        <f t="shared" si="55"/>
        <v>13.17824895</v>
      </c>
      <c r="F62" s="68">
        <f t="shared" si="55"/>
        <v>0</v>
      </c>
      <c r="G62" s="68">
        <f t="shared" si="55"/>
        <v>0</v>
      </c>
      <c r="H62" s="68">
        <f t="shared" si="55"/>
        <v>1.9344153000000002</v>
      </c>
      <c r="I62" s="68">
        <f t="shared" si="55"/>
        <v>0</v>
      </c>
      <c r="J62" s="68">
        <f t="shared" si="55"/>
        <v>0</v>
      </c>
      <c r="K62" s="68">
        <f t="shared" si="55"/>
        <v>0</v>
      </c>
      <c r="L62" s="68">
        <f t="shared" si="55"/>
        <v>6.148400800000001</v>
      </c>
      <c r="M62" s="68">
        <f t="shared" si="55"/>
        <v>3.0592523249999997</v>
      </c>
      <c r="N62" s="68">
        <f t="shared" si="55"/>
        <v>0.29819894999999996</v>
      </c>
      <c r="O62" s="68">
        <f t="shared" si="55"/>
        <v>0</v>
      </c>
      <c r="P62" s="68">
        <f t="shared" si="55"/>
        <v>0</v>
      </c>
      <c r="Q62" s="68">
        <f t="shared" si="55"/>
        <v>0</v>
      </c>
      <c r="R62" s="68">
        <f t="shared" si="55"/>
        <v>149.2599994</v>
      </c>
      <c r="S62" s="68">
        <f t="shared" si="55"/>
        <v>0</v>
      </c>
      <c r="T62" s="68">
        <f t="shared" si="55"/>
        <v>7.9969999999999999</v>
      </c>
      <c r="U62" s="68">
        <f t="shared" si="52"/>
        <v>181.87551572500001</v>
      </c>
      <c r="V62" s="213"/>
      <c r="W62" s="203"/>
      <c r="AE62" s="184" t="s">
        <v>836</v>
      </c>
      <c r="AF62" s="9">
        <f t="shared" si="37"/>
        <v>16</v>
      </c>
      <c r="AG62" s="9">
        <f t="shared" si="29"/>
        <v>11</v>
      </c>
      <c r="AH62" s="46">
        <f t="shared" si="30"/>
        <v>18.787168910553589</v>
      </c>
      <c r="AI62" s="46">
        <f t="shared" si="31"/>
        <v>5.0268019000000006</v>
      </c>
      <c r="AJ62" s="46">
        <f t="shared" si="32"/>
        <v>0</v>
      </c>
      <c r="AK62" s="9">
        <f t="shared" si="33"/>
        <v>0.21330651539859638</v>
      </c>
      <c r="AL62" s="46">
        <f t="shared" si="34"/>
        <v>24.027277325952188</v>
      </c>
      <c r="AM62" s="184" t="s">
        <v>826</v>
      </c>
      <c r="AN62" s="9">
        <f t="shared" si="35"/>
        <v>10</v>
      </c>
      <c r="AO62" s="542">
        <f t="shared" ca="1" si="36"/>
        <v>0.99666173165595939</v>
      </c>
      <c r="AQ62" s="99" t="s">
        <v>838</v>
      </c>
      <c r="AR62" s="100" t="s">
        <v>593</v>
      </c>
      <c r="AS62" s="134">
        <v>0</v>
      </c>
      <c r="AT62" s="134">
        <v>0</v>
      </c>
      <c r="AU62" s="134">
        <v>0</v>
      </c>
      <c r="AV62" s="134">
        <v>0</v>
      </c>
      <c r="AX62" s="184" t="str">
        <f>$P$38</f>
        <v>INDBIO</v>
      </c>
      <c r="AY62" s="102">
        <f>SUM(AS70:AS74)</f>
        <v>5.9854158000000002</v>
      </c>
      <c r="AZ62" s="102">
        <f>SUM(AU70:AU74)</f>
        <v>1.6436469900000001</v>
      </c>
      <c r="BA62" s="102">
        <f>SUM(AT70:AT74)</f>
        <v>1.9878912</v>
      </c>
      <c r="BB62" s="102">
        <f>SUM(AV70:AV74)</f>
        <v>1.4127000000000001</v>
      </c>
      <c r="BC62" s="2">
        <f t="shared" si="38"/>
        <v>0.31600595390474923</v>
      </c>
      <c r="BD62" s="2">
        <f t="shared" si="39"/>
        <v>0.85949112467270117</v>
      </c>
      <c r="BE62" s="470">
        <f t="shared" si="40"/>
        <v>1.8914270293955575</v>
      </c>
      <c r="BF62" s="470">
        <f t="shared" si="41"/>
        <v>0.85949112467270117</v>
      </c>
      <c r="BG62" s="470">
        <f t="shared" si="42"/>
        <v>1.4127000000000001</v>
      </c>
      <c r="BH62">
        <f t="shared" si="43"/>
        <v>15</v>
      </c>
      <c r="BI62" s="184" t="s">
        <v>917</v>
      </c>
      <c r="BJ62" s="102">
        <f>SUM(AY19,AY20,AY62,AZ62)</f>
        <v>65.118141063342421</v>
      </c>
      <c r="BK62" s="102">
        <f ca="1">BJ62+OFFSET($A$34,0,$BH62)+OFFSET($A$36,0,$BH62)-INDEX($B$37:$S$37,$BH62)</f>
        <v>228.86415105536881</v>
      </c>
      <c r="BL62" s="409">
        <f ca="1">BK62-X15-Driver2!P127-CHP!F72-0</f>
        <v>20.332377154952368</v>
      </c>
    </row>
    <row r="63" spans="1:64" ht="14.25" customHeight="1">
      <c r="A63" s="259" t="str">
        <f t="shared" si="50"/>
        <v>Non-Metallic minerals (SCG)</v>
      </c>
      <c r="B63" s="259" t="str">
        <f t="shared" si="50"/>
        <v>ISNM</v>
      </c>
      <c r="C63" s="259" t="str">
        <f t="shared" si="50"/>
        <v>Steam Boiler</v>
      </c>
      <c r="D63" s="68">
        <f t="shared" ref="D63:T63" si="56">D46*B$32</f>
        <v>0</v>
      </c>
      <c r="E63" s="68">
        <f t="shared" si="56"/>
        <v>5.1599929999999995E-2</v>
      </c>
      <c r="F63" s="68">
        <f t="shared" si="56"/>
        <v>0</v>
      </c>
      <c r="G63" s="68">
        <f t="shared" si="56"/>
        <v>0</v>
      </c>
      <c r="H63" s="68">
        <f t="shared" si="56"/>
        <v>0</v>
      </c>
      <c r="I63" s="68">
        <f t="shared" si="56"/>
        <v>0</v>
      </c>
      <c r="J63" s="68">
        <f t="shared" si="56"/>
        <v>0</v>
      </c>
      <c r="K63" s="68">
        <f t="shared" si="56"/>
        <v>0.68300109999999992</v>
      </c>
      <c r="L63" s="68">
        <f t="shared" si="56"/>
        <v>9.9184999999999985E-3</v>
      </c>
      <c r="M63" s="68">
        <f t="shared" si="56"/>
        <v>0.16740038000000002</v>
      </c>
      <c r="N63" s="68">
        <f t="shared" si="56"/>
        <v>9.9240389999999998E-2</v>
      </c>
      <c r="O63" s="68">
        <f t="shared" si="56"/>
        <v>0</v>
      </c>
      <c r="P63" s="68">
        <f t="shared" si="56"/>
        <v>0</v>
      </c>
      <c r="Q63" s="68">
        <f t="shared" si="56"/>
        <v>0</v>
      </c>
      <c r="R63" s="68">
        <f t="shared" si="56"/>
        <v>0</v>
      </c>
      <c r="S63" s="68">
        <f t="shared" si="56"/>
        <v>0</v>
      </c>
      <c r="T63" s="68">
        <f t="shared" si="56"/>
        <v>0.83199999999999996</v>
      </c>
      <c r="U63" s="68">
        <f t="shared" si="52"/>
        <v>1.8431603000000001</v>
      </c>
      <c r="V63" s="213"/>
      <c r="W63" s="203"/>
      <c r="AE63" s="184" t="s">
        <v>837</v>
      </c>
      <c r="AF63" s="9">
        <f t="shared" si="37"/>
        <v>17</v>
      </c>
      <c r="AG63" s="9">
        <f t="shared" si="29"/>
        <v>17</v>
      </c>
      <c r="AH63" s="46">
        <f t="shared" si="30"/>
        <v>0</v>
      </c>
      <c r="AI63" s="46">
        <f t="shared" si="31"/>
        <v>0</v>
      </c>
      <c r="AJ63" s="46">
        <f t="shared" si="32"/>
        <v>0</v>
      </c>
      <c r="AK63" s="9">
        <f t="shared" si="33"/>
        <v>0</v>
      </c>
      <c r="AL63" s="46">
        <f t="shared" si="34"/>
        <v>0</v>
      </c>
      <c r="AM63" s="184" t="s">
        <v>826</v>
      </c>
      <c r="AN63" s="9">
        <f t="shared" si="35"/>
        <v>10</v>
      </c>
      <c r="AO63" s="542">
        <f t="shared" ca="1" si="36"/>
        <v>0</v>
      </c>
      <c r="AQ63" s="99" t="s">
        <v>841</v>
      </c>
      <c r="AR63" s="100" t="s">
        <v>805</v>
      </c>
      <c r="AS63" s="134">
        <v>0</v>
      </c>
      <c r="AT63" s="134">
        <v>0</v>
      </c>
      <c r="AU63" s="134">
        <v>0</v>
      </c>
      <c r="AV63" s="134">
        <v>0</v>
      </c>
      <c r="AX63" s="184" t="str">
        <f>$Q$38</f>
        <v>INDGEO</v>
      </c>
      <c r="AY63" s="102">
        <f>AS83</f>
        <v>0</v>
      </c>
      <c r="AZ63" s="102">
        <f>AU83</f>
        <v>0</v>
      </c>
      <c r="BA63" s="102">
        <f>AT83</f>
        <v>0</v>
      </c>
      <c r="BB63" s="102">
        <f>AV83</f>
        <v>0</v>
      </c>
      <c r="BC63" s="2">
        <f t="shared" si="38"/>
        <v>0</v>
      </c>
      <c r="BD63" s="2">
        <f t="shared" si="39"/>
        <v>0</v>
      </c>
      <c r="BE63" s="470">
        <f t="shared" si="40"/>
        <v>0</v>
      </c>
      <c r="BF63" s="470">
        <f t="shared" si="41"/>
        <v>0.78</v>
      </c>
      <c r="BG63" s="470">
        <f t="shared" si="42"/>
        <v>0</v>
      </c>
      <c r="BH63">
        <f t="shared" si="43"/>
        <v>16</v>
      </c>
      <c r="BI63" s="184" t="s">
        <v>950</v>
      </c>
      <c r="BJ63" s="102">
        <f>SUM(AY21,AY63,AZ63)</f>
        <v>0</v>
      </c>
      <c r="BK63" s="102">
        <f ca="1">BJ63+OFFSET($A$34,0,$BH63)+OFFSET($A$36,0,$BH63)-INDEX($B$37:$S$37,$BH63)</f>
        <v>0</v>
      </c>
      <c r="BL63" s="102">
        <f ca="1">BK63</f>
        <v>0</v>
      </c>
    </row>
    <row r="64" spans="1:64" ht="14.25" customHeight="1">
      <c r="A64" s="259" t="str">
        <f t="shared" si="50"/>
        <v>Other Industrial</v>
      </c>
      <c r="B64" s="259" t="str">
        <f t="shared" si="50"/>
        <v>ISOI</v>
      </c>
      <c r="C64" s="259" t="str">
        <f t="shared" si="50"/>
        <v>Steam Boiler</v>
      </c>
      <c r="D64" s="68">
        <f t="shared" ref="D64:M69" si="57">D47*B$33</f>
        <v>0</v>
      </c>
      <c r="E64" s="68">
        <f t="shared" si="57"/>
        <v>0.12453355114554923</v>
      </c>
      <c r="F64" s="68">
        <f t="shared" si="57"/>
        <v>0.35758622433403631</v>
      </c>
      <c r="G64" s="68">
        <f t="shared" si="57"/>
        <v>0</v>
      </c>
      <c r="H64" s="68">
        <f t="shared" si="57"/>
        <v>0.13502041702271925</v>
      </c>
      <c r="I64" s="68">
        <f t="shared" si="57"/>
        <v>0</v>
      </c>
      <c r="J64" s="68">
        <f t="shared" si="57"/>
        <v>0</v>
      </c>
      <c r="K64" s="68">
        <f t="shared" si="57"/>
        <v>0</v>
      </c>
      <c r="L64" s="68">
        <f t="shared" si="57"/>
        <v>0</v>
      </c>
      <c r="M64" s="68">
        <f t="shared" si="57"/>
        <v>0.10608653768376893</v>
      </c>
      <c r="N64" s="68">
        <f t="shared" ref="N64:T69" si="58">N47*L$33</f>
        <v>0.88865229337640583</v>
      </c>
      <c r="O64" s="68">
        <f t="shared" si="58"/>
        <v>0</v>
      </c>
      <c r="P64" s="68">
        <f t="shared" si="58"/>
        <v>0</v>
      </c>
      <c r="Q64" s="68">
        <f t="shared" si="58"/>
        <v>0</v>
      </c>
      <c r="R64" s="68">
        <f t="shared" si="58"/>
        <v>7.2481657440197669</v>
      </c>
      <c r="S64" s="68">
        <f t="shared" si="58"/>
        <v>0</v>
      </c>
      <c r="T64" s="68">
        <f t="shared" si="58"/>
        <v>22.869572948852298</v>
      </c>
      <c r="U64" s="68">
        <f t="shared" si="52"/>
        <v>31.729617716434547</v>
      </c>
      <c r="V64" s="213">
        <f t="shared" ref="V64:V69" si="59">U64/$U$70</f>
        <v>0.33743444100480324</v>
      </c>
      <c r="W64" s="203"/>
      <c r="AE64" s="184" t="s">
        <v>838</v>
      </c>
      <c r="AF64" s="9">
        <f t="shared" si="37"/>
        <v>18</v>
      </c>
      <c r="AG64" s="9">
        <f t="shared" si="29"/>
        <v>12</v>
      </c>
      <c r="AH64" s="46">
        <f t="shared" si="30"/>
        <v>8.047815697452991E-2</v>
      </c>
      <c r="AI64" s="46">
        <f t="shared" si="31"/>
        <v>0</v>
      </c>
      <c r="AJ64" s="46">
        <f t="shared" si="32"/>
        <v>0</v>
      </c>
      <c r="AK64" s="9">
        <f t="shared" si="33"/>
        <v>0</v>
      </c>
      <c r="AL64" s="46">
        <f t="shared" si="34"/>
        <v>8.047815697452991E-2</v>
      </c>
      <c r="AM64" s="184" t="s">
        <v>826</v>
      </c>
      <c r="AN64" s="9">
        <f t="shared" si="35"/>
        <v>10</v>
      </c>
      <c r="AO64" s="542">
        <f t="shared" ca="1" si="36"/>
        <v>3.3382683440407847E-3</v>
      </c>
      <c r="AQ64" s="99" t="s">
        <v>756</v>
      </c>
      <c r="AR64" s="100" t="s">
        <v>562</v>
      </c>
      <c r="AS64" s="134">
        <v>0</v>
      </c>
      <c r="AT64" s="134">
        <v>0</v>
      </c>
      <c r="AU64" s="134">
        <v>0</v>
      </c>
      <c r="AV64" s="134">
        <v>0</v>
      </c>
      <c r="AX64" s="184" t="s">
        <v>35</v>
      </c>
      <c r="AY64" s="138">
        <f>AS81</f>
        <v>0</v>
      </c>
      <c r="AZ64" s="139"/>
      <c r="BA64" s="138">
        <f>AT81</f>
        <v>0</v>
      </c>
      <c r="BB64" s="139"/>
      <c r="BC64" s="2">
        <f>IF(AY64=0,0.3,MAX(0.15,BA64/AY64*(1-AZ$4)))</f>
        <v>0.3</v>
      </c>
      <c r="BE64" s="470">
        <f t="shared" si="40"/>
        <v>0</v>
      </c>
      <c r="BF64" s="105"/>
      <c r="BG64" s="105"/>
      <c r="BJ64" s="2">
        <f>SUM(BJ49:BJ63)</f>
        <v>92.624218501887682</v>
      </c>
      <c r="BK64" s="93">
        <f ca="1">SUM(BK49:BK63)</f>
        <v>357.95188070071879</v>
      </c>
      <c r="BL64" s="93"/>
    </row>
    <row r="65" spans="1:59" ht="14.25" customHeight="1">
      <c r="A65" s="259" t="str">
        <f t="shared" si="50"/>
        <v>Other Industrial</v>
      </c>
      <c r="B65" s="259" t="str">
        <f t="shared" si="50"/>
        <v>IPOI</v>
      </c>
      <c r="C65" s="259" t="str">
        <f t="shared" si="50"/>
        <v>Process Heat</v>
      </c>
      <c r="D65" s="68">
        <f t="shared" si="57"/>
        <v>3.0151561170211876</v>
      </c>
      <c r="E65" s="68">
        <f t="shared" si="57"/>
        <v>0.62266775572774613</v>
      </c>
      <c r="F65" s="68">
        <f t="shared" si="57"/>
        <v>2.8606897946722905</v>
      </c>
      <c r="G65" s="68">
        <f t="shared" si="57"/>
        <v>0</v>
      </c>
      <c r="H65" s="68">
        <f t="shared" si="57"/>
        <v>0.25075220304219292</v>
      </c>
      <c r="I65" s="68">
        <f t="shared" si="57"/>
        <v>2.0512450000000102E-2</v>
      </c>
      <c r="J65" s="68">
        <f t="shared" si="57"/>
        <v>0</v>
      </c>
      <c r="K65" s="68">
        <f t="shared" si="57"/>
        <v>0</v>
      </c>
      <c r="L65" s="68">
        <f t="shared" si="57"/>
        <v>5.4437087578159342E-2</v>
      </c>
      <c r="M65" s="68">
        <f t="shared" si="57"/>
        <v>0.21217307536753785</v>
      </c>
      <c r="N65" s="68">
        <f t="shared" si="58"/>
        <v>12.441132107269679</v>
      </c>
      <c r="O65" s="68">
        <f t="shared" si="58"/>
        <v>0</v>
      </c>
      <c r="P65" s="68">
        <f t="shared" si="58"/>
        <v>0</v>
      </c>
      <c r="Q65" s="68">
        <f t="shared" si="58"/>
        <v>0</v>
      </c>
      <c r="R65" s="68">
        <f t="shared" si="58"/>
        <v>0</v>
      </c>
      <c r="S65" s="68">
        <f t="shared" si="58"/>
        <v>0</v>
      </c>
      <c r="T65" s="68">
        <f t="shared" si="58"/>
        <v>0</v>
      </c>
      <c r="U65" s="68">
        <f t="shared" si="52"/>
        <v>19.477520590678793</v>
      </c>
      <c r="V65" s="213">
        <f t="shared" si="59"/>
        <v>0.20713726624166154</v>
      </c>
      <c r="W65" s="203"/>
      <c r="AE65" s="184" t="s">
        <v>757</v>
      </c>
      <c r="AF65" s="9">
        <f t="shared" si="37"/>
        <v>31</v>
      </c>
      <c r="AG65" s="9" t="e">
        <f t="shared" si="29"/>
        <v>#N/A</v>
      </c>
      <c r="AH65" s="46">
        <f t="shared" si="30"/>
        <v>0</v>
      </c>
      <c r="AI65" s="46">
        <f t="shared" si="31"/>
        <v>0</v>
      </c>
      <c r="AJ65" s="46">
        <f t="shared" si="32"/>
        <v>0</v>
      </c>
      <c r="AK65" s="9">
        <f t="shared" si="33"/>
        <v>0</v>
      </c>
      <c r="AL65" s="46">
        <f t="shared" si="34"/>
        <v>0</v>
      </c>
      <c r="AM65" s="184" t="s">
        <v>826</v>
      </c>
      <c r="AN65" s="9">
        <f t="shared" si="35"/>
        <v>10</v>
      </c>
      <c r="AO65" s="542">
        <f t="shared" ca="1" si="36"/>
        <v>0</v>
      </c>
      <c r="AQ65" s="99" t="s">
        <v>840</v>
      </c>
      <c r="AR65" s="100" t="s">
        <v>893</v>
      </c>
      <c r="AS65" s="134">
        <v>0</v>
      </c>
      <c r="AT65" s="134">
        <v>0</v>
      </c>
      <c r="AU65" s="134">
        <v>0</v>
      </c>
      <c r="AV65" s="134">
        <v>0</v>
      </c>
      <c r="AX65" s="184" t="s">
        <v>36</v>
      </c>
      <c r="AY65" s="138">
        <f>AS82</f>
        <v>0</v>
      </c>
      <c r="AZ65" s="139"/>
      <c r="BA65" s="138">
        <f>AT82</f>
        <v>0</v>
      </c>
      <c r="BB65" s="139"/>
      <c r="BC65" s="2">
        <f>IF(AY65=0,0,MAX(0.9,BA65/AY65))</f>
        <v>0</v>
      </c>
      <c r="BD65" s="2"/>
      <c r="BE65" s="470">
        <f t="shared" si="40"/>
        <v>0</v>
      </c>
      <c r="BF65" s="105"/>
      <c r="BG65" s="105"/>
    </row>
    <row r="66" spans="1:59" ht="14.25" customHeight="1">
      <c r="A66" s="259" t="str">
        <f t="shared" si="50"/>
        <v>Other Industrial</v>
      </c>
      <c r="B66" s="259" t="str">
        <f t="shared" si="50"/>
        <v>IMOI</v>
      </c>
      <c r="C66" s="259" t="str">
        <f t="shared" si="50"/>
        <v>Machine Drive</v>
      </c>
      <c r="D66" s="68">
        <f t="shared" si="57"/>
        <v>11.156077632978393</v>
      </c>
      <c r="E66" s="68">
        <f t="shared" si="57"/>
        <v>0</v>
      </c>
      <c r="F66" s="68">
        <f t="shared" si="57"/>
        <v>0</v>
      </c>
      <c r="G66" s="68">
        <f t="shared" si="57"/>
        <v>0</v>
      </c>
      <c r="H66" s="68">
        <f t="shared" si="57"/>
        <v>0</v>
      </c>
      <c r="I66" s="68">
        <f t="shared" si="57"/>
        <v>0</v>
      </c>
      <c r="J66" s="68">
        <f t="shared" si="57"/>
        <v>0</v>
      </c>
      <c r="K66" s="68">
        <f t="shared" si="57"/>
        <v>0</v>
      </c>
      <c r="L66" s="68">
        <f t="shared" si="57"/>
        <v>0</v>
      </c>
      <c r="M66" s="68">
        <f t="shared" si="57"/>
        <v>0</v>
      </c>
      <c r="N66" s="68">
        <f t="shared" si="58"/>
        <v>0</v>
      </c>
      <c r="O66" s="68">
        <f t="shared" si="58"/>
        <v>0</v>
      </c>
      <c r="P66" s="68">
        <f t="shared" si="58"/>
        <v>0</v>
      </c>
      <c r="Q66" s="68">
        <f t="shared" si="58"/>
        <v>0</v>
      </c>
      <c r="R66" s="68">
        <f t="shared" si="58"/>
        <v>0</v>
      </c>
      <c r="S66" s="68">
        <f t="shared" si="58"/>
        <v>0</v>
      </c>
      <c r="T66" s="68">
        <f t="shared" si="58"/>
        <v>0</v>
      </c>
      <c r="U66" s="68">
        <f t="shared" si="52"/>
        <v>11.156077632978393</v>
      </c>
      <c r="V66" s="213">
        <f t="shared" si="59"/>
        <v>0.11864135438166454</v>
      </c>
      <c r="W66" s="203"/>
      <c r="AE66" s="184" t="s">
        <v>843</v>
      </c>
      <c r="AF66" s="9">
        <f t="shared" si="37"/>
        <v>20</v>
      </c>
      <c r="AG66" s="9">
        <f t="shared" si="29"/>
        <v>8</v>
      </c>
      <c r="AH66" s="46">
        <f t="shared" si="30"/>
        <v>0</v>
      </c>
      <c r="AI66" s="46">
        <f t="shared" si="31"/>
        <v>0</v>
      </c>
      <c r="AJ66" s="46">
        <f t="shared" si="32"/>
        <v>0</v>
      </c>
      <c r="AK66" s="9">
        <f t="shared" si="33"/>
        <v>0</v>
      </c>
      <c r="AL66" s="46">
        <f t="shared" si="34"/>
        <v>0</v>
      </c>
      <c r="AM66" s="184" t="s">
        <v>914</v>
      </c>
      <c r="AN66" s="9">
        <f t="shared" si="35"/>
        <v>11</v>
      </c>
      <c r="AO66" s="542">
        <f t="shared" ca="1" si="36"/>
        <v>0</v>
      </c>
      <c r="AQ66" s="99" t="s">
        <v>839</v>
      </c>
      <c r="AR66" s="100" t="s">
        <v>594</v>
      </c>
      <c r="AS66" s="134">
        <v>0</v>
      </c>
      <c r="AT66" s="134">
        <v>0</v>
      </c>
      <c r="AU66" s="134">
        <v>0</v>
      </c>
      <c r="AV66" s="134">
        <v>0</v>
      </c>
      <c r="AX66" s="184" t="s">
        <v>37</v>
      </c>
      <c r="AY66" s="138">
        <f>AS84</f>
        <v>0</v>
      </c>
      <c r="AZ66" s="139"/>
      <c r="BA66" s="138">
        <f>AT84</f>
        <v>0</v>
      </c>
      <c r="BB66" s="139"/>
      <c r="BC66" s="2">
        <f>IF(AY66=0,0,MAX(0.9,BA66/AY66))</f>
        <v>0</v>
      </c>
      <c r="BE66" s="470">
        <f t="shared" si="40"/>
        <v>0</v>
      </c>
      <c r="BF66" s="105"/>
      <c r="BG66" s="105"/>
    </row>
    <row r="67" spans="1:59" ht="14.25" customHeight="1">
      <c r="A67" s="259" t="str">
        <f t="shared" si="50"/>
        <v>Other Industrial</v>
      </c>
      <c r="B67" s="259" t="str">
        <f t="shared" si="50"/>
        <v>IEOI</v>
      </c>
      <c r="C67" s="259" t="str">
        <f t="shared" si="50"/>
        <v>Specific electricity uses</v>
      </c>
      <c r="D67" s="68">
        <f t="shared" si="57"/>
        <v>6.9348590691487315</v>
      </c>
      <c r="E67" s="68">
        <f t="shared" si="57"/>
        <v>0</v>
      </c>
      <c r="F67" s="68">
        <f t="shared" si="57"/>
        <v>0</v>
      </c>
      <c r="G67" s="68">
        <f t="shared" si="57"/>
        <v>0</v>
      </c>
      <c r="H67" s="68">
        <f t="shared" si="57"/>
        <v>0</v>
      </c>
      <c r="I67" s="68">
        <f t="shared" si="57"/>
        <v>0</v>
      </c>
      <c r="J67" s="68">
        <f t="shared" si="57"/>
        <v>0</v>
      </c>
      <c r="K67" s="68">
        <f t="shared" si="57"/>
        <v>0</v>
      </c>
      <c r="L67" s="68">
        <f t="shared" si="57"/>
        <v>0</v>
      </c>
      <c r="M67" s="68">
        <f t="shared" si="57"/>
        <v>0</v>
      </c>
      <c r="N67" s="68">
        <f t="shared" si="58"/>
        <v>0</v>
      </c>
      <c r="O67" s="68">
        <f t="shared" si="58"/>
        <v>0</v>
      </c>
      <c r="P67" s="68">
        <f t="shared" si="58"/>
        <v>0</v>
      </c>
      <c r="Q67" s="68">
        <f t="shared" si="58"/>
        <v>0</v>
      </c>
      <c r="R67" s="68">
        <f t="shared" si="58"/>
        <v>0</v>
      </c>
      <c r="S67" s="68">
        <f t="shared" si="58"/>
        <v>0</v>
      </c>
      <c r="T67" s="68">
        <f t="shared" si="58"/>
        <v>0</v>
      </c>
      <c r="U67" s="68">
        <f t="shared" si="52"/>
        <v>6.9348590691487315</v>
      </c>
      <c r="V67" s="213">
        <f t="shared" si="59"/>
        <v>7.3750031102115796E-2</v>
      </c>
      <c r="W67" s="203"/>
      <c r="AE67" s="184" t="s">
        <v>833</v>
      </c>
      <c r="AF67" s="9">
        <f t="shared" si="37"/>
        <v>13</v>
      </c>
      <c r="AG67" s="9">
        <f t="shared" si="29"/>
        <v>6</v>
      </c>
      <c r="AH67" s="46">
        <f t="shared" si="30"/>
        <v>0.79200020000000004</v>
      </c>
      <c r="AI67" s="46">
        <f t="shared" si="31"/>
        <v>0</v>
      </c>
      <c r="AJ67" s="46">
        <f t="shared" si="32"/>
        <v>0.74412801135194773</v>
      </c>
      <c r="AK67" s="9">
        <f t="shared" si="33"/>
        <v>0.45921079785226415</v>
      </c>
      <c r="AL67" s="46">
        <f t="shared" si="34"/>
        <v>0.50708298650031647</v>
      </c>
      <c r="AM67" s="184" t="s">
        <v>914</v>
      </c>
      <c r="AN67" s="9">
        <f t="shared" si="35"/>
        <v>11</v>
      </c>
      <c r="AO67" s="542">
        <f t="shared" ca="1" si="36"/>
        <v>0.99999999999999978</v>
      </c>
      <c r="AQ67" s="99" t="s">
        <v>837</v>
      </c>
      <c r="AR67" s="100" t="s">
        <v>890</v>
      </c>
      <c r="AS67" s="134">
        <v>0</v>
      </c>
      <c r="AT67" s="134">
        <v>0</v>
      </c>
      <c r="AU67" s="134">
        <v>0</v>
      </c>
      <c r="AV67" s="134">
        <v>0</v>
      </c>
      <c r="AX67" s="184" t="s">
        <v>38</v>
      </c>
      <c r="AY67" s="138">
        <f>AS85</f>
        <v>0</v>
      </c>
      <c r="AZ67" s="139"/>
      <c r="BA67" s="138">
        <f>AT85</f>
        <v>0</v>
      </c>
      <c r="BB67" s="139"/>
      <c r="BC67" s="2">
        <f>IF(AY67=0,0,MAX(0.9,BA67/AY67))</f>
        <v>0</v>
      </c>
      <c r="BE67" s="470">
        <f t="shared" si="40"/>
        <v>0</v>
      </c>
      <c r="BF67" s="105"/>
      <c r="BG67" s="105"/>
    </row>
    <row r="68" spans="1:59" ht="14.25" customHeight="1">
      <c r="A68" s="259" t="str">
        <f t="shared" si="50"/>
        <v>Other Industrial</v>
      </c>
      <c r="B68" s="259" t="str">
        <f t="shared" si="50"/>
        <v>n.a.</v>
      </c>
      <c r="C68" s="259" t="str">
        <f t="shared" si="50"/>
        <v xml:space="preserve">Feedstocks </v>
      </c>
      <c r="D68" s="68">
        <f t="shared" si="57"/>
        <v>0</v>
      </c>
      <c r="E68" s="68">
        <f t="shared" si="57"/>
        <v>0</v>
      </c>
      <c r="F68" s="68">
        <f t="shared" si="57"/>
        <v>0</v>
      </c>
      <c r="G68" s="68">
        <f t="shared" si="57"/>
        <v>0</v>
      </c>
      <c r="H68" s="68">
        <f t="shared" si="57"/>
        <v>0</v>
      </c>
      <c r="I68" s="68">
        <f t="shared" si="57"/>
        <v>0</v>
      </c>
      <c r="J68" s="68">
        <f t="shared" si="57"/>
        <v>0</v>
      </c>
      <c r="K68" s="68">
        <f t="shared" si="57"/>
        <v>0</v>
      </c>
      <c r="L68" s="68">
        <f t="shared" si="57"/>
        <v>0</v>
      </c>
      <c r="M68" s="68">
        <f t="shared" si="57"/>
        <v>0</v>
      </c>
      <c r="N68" s="68">
        <f t="shared" si="58"/>
        <v>0</v>
      </c>
      <c r="O68" s="68">
        <f t="shared" si="58"/>
        <v>0</v>
      </c>
      <c r="P68" s="68">
        <f t="shared" si="58"/>
        <v>0</v>
      </c>
      <c r="Q68" s="68">
        <f t="shared" si="58"/>
        <v>0</v>
      </c>
      <c r="R68" s="68">
        <f t="shared" si="58"/>
        <v>0</v>
      </c>
      <c r="S68" s="68">
        <f t="shared" si="58"/>
        <v>0</v>
      </c>
      <c r="T68" s="68">
        <f t="shared" si="58"/>
        <v>0</v>
      </c>
      <c r="U68" s="68">
        <f t="shared" si="52"/>
        <v>0</v>
      </c>
      <c r="V68" s="213">
        <f t="shared" si="59"/>
        <v>0</v>
      </c>
      <c r="W68" s="203"/>
      <c r="AE68" s="184" t="s">
        <v>841</v>
      </c>
      <c r="AF68" s="9">
        <f t="shared" si="37"/>
        <v>21</v>
      </c>
      <c r="AG68" s="9">
        <f t="shared" si="29"/>
        <v>13</v>
      </c>
      <c r="AH68" s="46">
        <f t="shared" si="30"/>
        <v>12.943001600000002</v>
      </c>
      <c r="AI68" s="46">
        <f t="shared" si="31"/>
        <v>0</v>
      </c>
      <c r="AJ68" s="46">
        <f t="shared" si="32"/>
        <v>9.5909812112823811</v>
      </c>
      <c r="AK68" s="9">
        <f t="shared" si="33"/>
        <v>0</v>
      </c>
      <c r="AL68" s="46">
        <f>MAX(0,AH68+AI68-AJ68+AK68)</f>
        <v>3.3520203887176212</v>
      </c>
      <c r="AM68" s="184" t="s">
        <v>915</v>
      </c>
      <c r="AN68" s="9">
        <f t="shared" si="35"/>
        <v>12</v>
      </c>
      <c r="AO68" s="542">
        <f t="shared" ca="1" si="36"/>
        <v>1</v>
      </c>
      <c r="AQ68" s="99" t="s">
        <v>835</v>
      </c>
      <c r="AR68" s="100" t="s">
        <v>802</v>
      </c>
      <c r="AS68" s="134">
        <v>0.1200021</v>
      </c>
      <c r="AT68" s="134">
        <v>4.3200000000000002E-2</v>
      </c>
      <c r="AU68" s="134">
        <v>3.4000595000000002E-2</v>
      </c>
      <c r="AV68" s="134">
        <v>4.2500000000000003E-2</v>
      </c>
      <c r="AX68" s="184" t="s">
        <v>946</v>
      </c>
      <c r="AY68" s="138">
        <f>AS86</f>
        <v>-2.0000000233721948E-7</v>
      </c>
      <c r="AZ68" s="138">
        <f>AU86</f>
        <v>9.9999999836342113E-8</v>
      </c>
      <c r="BA68" s="138">
        <f>AT86</f>
        <v>0.76680000000000081</v>
      </c>
      <c r="BB68" s="138">
        <f>AV86</f>
        <v>1.0429999999999986</v>
      </c>
      <c r="BC68" s="2">
        <f>IF(AY68=0,1,MAX(1,BA68/AY68))</f>
        <v>1</v>
      </c>
      <c r="BD68" s="2">
        <f>IF(AZ68=0,0.9,MIN(10,BB68/AZ68))</f>
        <v>10</v>
      </c>
      <c r="BE68" s="470">
        <f>BA68</f>
        <v>0.76680000000000081</v>
      </c>
      <c r="BF68" s="474">
        <f>10</f>
        <v>10</v>
      </c>
      <c r="BG68" s="470">
        <f>BB68</f>
        <v>1.0429999999999986</v>
      </c>
    </row>
    <row r="69" spans="1:59" ht="14.25" customHeight="1">
      <c r="A69" s="259" t="str">
        <f t="shared" si="50"/>
        <v>Other Industrial</v>
      </c>
      <c r="B69" s="259" t="str">
        <f t="shared" si="50"/>
        <v>IOOI</v>
      </c>
      <c r="C69" s="259" t="str">
        <f t="shared" si="50"/>
        <v>Other</v>
      </c>
      <c r="D69" s="68">
        <f t="shared" si="57"/>
        <v>9.0454683510635636</v>
      </c>
      <c r="E69" s="68">
        <f t="shared" si="57"/>
        <v>0.49813420458219693</v>
      </c>
      <c r="F69" s="68">
        <f t="shared" si="57"/>
        <v>0.3575862243340362</v>
      </c>
      <c r="G69" s="68">
        <f t="shared" si="57"/>
        <v>0</v>
      </c>
      <c r="H69" s="68">
        <f t="shared" si="57"/>
        <v>0</v>
      </c>
      <c r="I69" s="68">
        <f t="shared" si="57"/>
        <v>8.7910500000000467E-3</v>
      </c>
      <c r="J69" s="68">
        <f t="shared" si="57"/>
        <v>0</v>
      </c>
      <c r="K69" s="68">
        <f t="shared" si="57"/>
        <v>0</v>
      </c>
      <c r="L69" s="68">
        <f t="shared" si="57"/>
        <v>0</v>
      </c>
      <c r="M69" s="68">
        <f t="shared" si="57"/>
        <v>0.74260576378638243</v>
      </c>
      <c r="N69" s="68">
        <f t="shared" si="58"/>
        <v>4.4432614668820287</v>
      </c>
      <c r="O69" s="68">
        <f t="shared" si="58"/>
        <v>0</v>
      </c>
      <c r="P69" s="68">
        <f t="shared" si="58"/>
        <v>0</v>
      </c>
      <c r="Q69" s="68">
        <f t="shared" si="58"/>
        <v>0</v>
      </c>
      <c r="R69" s="68">
        <f t="shared" si="58"/>
        <v>2.4160552480065891</v>
      </c>
      <c r="S69" s="68">
        <f t="shared" si="58"/>
        <v>0</v>
      </c>
      <c r="T69" s="68">
        <f t="shared" si="58"/>
        <v>7.2219704049007261</v>
      </c>
      <c r="U69" s="68">
        <f t="shared" si="52"/>
        <v>24.733872713555524</v>
      </c>
      <c r="V69" s="213">
        <f t="shared" si="59"/>
        <v>0.26303690726975482</v>
      </c>
      <c r="W69" s="203"/>
      <c r="AE69" s="184" t="s">
        <v>842</v>
      </c>
      <c r="AF69" s="9">
        <f t="shared" si="37"/>
        <v>22</v>
      </c>
      <c r="AG69" s="9">
        <f t="shared" si="29"/>
        <v>29</v>
      </c>
      <c r="AH69" s="46">
        <f t="shared" si="30"/>
        <v>1.7100008999999998</v>
      </c>
      <c r="AI69" s="46">
        <f t="shared" si="31"/>
        <v>0</v>
      </c>
      <c r="AJ69" s="46">
        <f t="shared" si="32"/>
        <v>0</v>
      </c>
      <c r="AK69" s="9">
        <f t="shared" si="33"/>
        <v>3.1999699999999999E-2</v>
      </c>
      <c r="AL69" s="46">
        <f t="shared" ref="AL69:AL76" si="60">AH69+AI69-AJ69+AK69</f>
        <v>1.7420005999999999</v>
      </c>
      <c r="AM69" s="184" t="s">
        <v>916</v>
      </c>
      <c r="AN69" s="9">
        <f t="shared" si="35"/>
        <v>13</v>
      </c>
      <c r="AO69" s="542">
        <f t="shared" ca="1" si="36"/>
        <v>1</v>
      </c>
      <c r="AQ69" s="99" t="s">
        <v>902</v>
      </c>
      <c r="AR69" s="100" t="s">
        <v>902</v>
      </c>
      <c r="AS69" s="137">
        <v>0.20520350000000001</v>
      </c>
      <c r="AT69" s="137">
        <v>7.9199999999999993E-2</v>
      </c>
      <c r="AU69" s="137">
        <v>3.4000595000000002E-2</v>
      </c>
      <c r="AV69" s="137">
        <v>5.9500000000000004E-2</v>
      </c>
      <c r="AX69" s="596" t="s">
        <v>782</v>
      </c>
      <c r="AY69" s="600">
        <f>SUM(AY49:AY68)</f>
        <v>6.4528341999999981</v>
      </c>
      <c r="AZ69" s="600">
        <f>SUM(AZ49:AZ68)</f>
        <v>2.1419928850000001</v>
      </c>
      <c r="BA69" s="600">
        <f>SUM(BA49:BA64)*(1-$AZ$4)+SUM(BA65:BA68)</f>
        <v>2.8192164504331525</v>
      </c>
      <c r="BB69" s="600">
        <f>SUM(BB49:BB68)</f>
        <v>2.8359499999999986</v>
      </c>
      <c r="BC69" s="2">
        <f>IF(AY69=0,0,BA69/AY69)</f>
        <v>0.43689584499678502</v>
      </c>
      <c r="BD69" s="2">
        <f>IF(AZ69=0,0,BB69/AZ69)</f>
        <v>1.3239773203074849</v>
      </c>
      <c r="BE69" s="600">
        <f>SUM(BE49:BE68)</f>
        <v>2.8192164504331525</v>
      </c>
      <c r="BF69" s="601">
        <f>IF(AZ69&gt;0,BG69/AZ69)</f>
        <v>1.3352056646070507</v>
      </c>
      <c r="BG69" s="602">
        <f>SUM(BG49:BG68)</f>
        <v>2.8600010335999988</v>
      </c>
    </row>
    <row r="70" spans="1:59" ht="14.25" customHeight="1">
      <c r="A70" s="259"/>
      <c r="B70" s="259"/>
      <c r="C70" s="259"/>
      <c r="D70" s="261">
        <f t="shared" ref="D70:U70" si="61">SUM(D64:D69)</f>
        <v>30.151561170211878</v>
      </c>
      <c r="E70" s="261">
        <f t="shared" si="61"/>
        <v>1.2453355114554923</v>
      </c>
      <c r="F70" s="261">
        <f t="shared" si="61"/>
        <v>3.5758622433403628</v>
      </c>
      <c r="G70" s="261">
        <f t="shared" si="61"/>
        <v>0</v>
      </c>
      <c r="H70" s="261">
        <f t="shared" si="61"/>
        <v>0.3857726200649122</v>
      </c>
      <c r="I70" s="261">
        <f t="shared" si="61"/>
        <v>2.9303500000000149E-2</v>
      </c>
      <c r="J70" s="261">
        <f t="shared" si="61"/>
        <v>0</v>
      </c>
      <c r="K70" s="261">
        <f t="shared" si="61"/>
        <v>0</v>
      </c>
      <c r="L70" s="261">
        <f t="shared" si="61"/>
        <v>5.4437087578159342E-2</v>
      </c>
      <c r="M70" s="261">
        <f t="shared" si="61"/>
        <v>1.0608653768376892</v>
      </c>
      <c r="N70" s="261">
        <f t="shared" si="61"/>
        <v>17.773045867528115</v>
      </c>
      <c r="O70" s="261">
        <f t="shared" si="61"/>
        <v>0</v>
      </c>
      <c r="P70" s="261">
        <f t="shared" si="61"/>
        <v>0</v>
      </c>
      <c r="Q70" s="261">
        <f t="shared" si="61"/>
        <v>0</v>
      </c>
      <c r="R70" s="261">
        <f t="shared" si="61"/>
        <v>9.6642209920263564</v>
      </c>
      <c r="S70" s="261">
        <f t="shared" si="61"/>
        <v>0</v>
      </c>
      <c r="T70" s="261">
        <f t="shared" si="61"/>
        <v>30.091543353753025</v>
      </c>
      <c r="U70" s="261">
        <f t="shared" si="61"/>
        <v>94.031947722795991</v>
      </c>
      <c r="V70" s="203"/>
      <c r="W70" s="203"/>
      <c r="AE70" s="184" t="s">
        <v>606</v>
      </c>
      <c r="AF70" s="9">
        <f t="shared" si="37"/>
        <v>23</v>
      </c>
      <c r="AG70" s="9">
        <f t="shared" si="29"/>
        <v>23</v>
      </c>
      <c r="AH70" s="46">
        <f t="shared" si="30"/>
        <v>159.20281394983564</v>
      </c>
      <c r="AI70" s="46">
        <f t="shared" si="31"/>
        <v>0</v>
      </c>
      <c r="AJ70" s="46">
        <f t="shared" si="32"/>
        <v>0</v>
      </c>
      <c r="AK70" s="9">
        <f t="shared" si="33"/>
        <v>58.64601193171417</v>
      </c>
      <c r="AL70" s="46">
        <f t="shared" si="60"/>
        <v>217.84882588154983</v>
      </c>
      <c r="AM70" s="184" t="s">
        <v>917</v>
      </c>
      <c r="AN70" s="9">
        <f t="shared" si="35"/>
        <v>14</v>
      </c>
      <c r="AO70" s="542">
        <f t="shared" ref="AO70:AO75" ca="1" si="62">AL70/MAX(Tiny,AL70,INDEX(BL$49:BL$63,AN70))</f>
        <v>1</v>
      </c>
      <c r="AQ70" s="99" t="s">
        <v>607</v>
      </c>
      <c r="AR70" s="100" t="s">
        <v>652</v>
      </c>
      <c r="AS70" s="134">
        <v>0.4174197</v>
      </c>
      <c r="AT70" s="134">
        <v>0.18</v>
      </c>
      <c r="AU70" s="134">
        <v>0.1763982</v>
      </c>
      <c r="AV70" s="134">
        <v>0.13800000000000001</v>
      </c>
      <c r="AY70" t="s">
        <v>1001</v>
      </c>
      <c r="BA70" s="599">
        <f>MAX(0.01,SUMPRODUCT(AY49:AY67,BC49:BC67)+BA68)</f>
        <v>2.8192164504331529</v>
      </c>
      <c r="BD70" t="s">
        <v>1001</v>
      </c>
      <c r="BE70" s="599">
        <f>BE69</f>
        <v>2.8192164504331525</v>
      </c>
    </row>
    <row r="71" spans="1:59" ht="14.25" customHeight="1">
      <c r="A71" s="259" t="s">
        <v>885</v>
      </c>
      <c r="B71" s="259" t="s">
        <v>1332</v>
      </c>
      <c r="C71" s="259" t="s">
        <v>1333</v>
      </c>
      <c r="D71" s="440">
        <f>MIN(D54*($AO$20),B$33*D$48)</f>
        <v>0.52357615884360775</v>
      </c>
      <c r="E71" s="429"/>
      <c r="F71" s="440">
        <f>MIN(F54*($AN$20-$AO$20),D$33*F$48)</f>
        <v>0.31538328282618017</v>
      </c>
      <c r="G71" s="429"/>
      <c r="H71" s="429"/>
      <c r="I71" s="429"/>
      <c r="J71" s="429"/>
      <c r="K71" s="429"/>
      <c r="L71" s="429"/>
      <c r="M71" s="429"/>
      <c r="N71" s="440">
        <f>MIN(N54*($AN$20-$AO$20),L$33*N$48)</f>
        <v>1.7120806781992637</v>
      </c>
      <c r="O71" s="429"/>
      <c r="P71" s="429"/>
      <c r="Q71" s="429"/>
      <c r="R71" s="429"/>
      <c r="S71" s="429"/>
      <c r="T71" s="429"/>
      <c r="U71" s="441">
        <f>SUM(D71:T71)</f>
        <v>2.5510401198690515</v>
      </c>
      <c r="V71" s="203"/>
      <c r="W71" s="203"/>
      <c r="AE71" s="184" t="s">
        <v>846</v>
      </c>
      <c r="AF71" s="9">
        <f t="shared" si="37"/>
        <v>24</v>
      </c>
      <c r="AG71" s="9" t="e">
        <f t="shared" si="29"/>
        <v>#N/A</v>
      </c>
      <c r="AH71" s="46">
        <f t="shared" si="30"/>
        <v>0</v>
      </c>
      <c r="AI71" s="46">
        <f t="shared" si="31"/>
        <v>0</v>
      </c>
      <c r="AJ71" s="46">
        <f t="shared" si="32"/>
        <v>0</v>
      </c>
      <c r="AK71" s="9">
        <f t="shared" si="33"/>
        <v>0</v>
      </c>
      <c r="AL71" s="46">
        <f t="shared" si="60"/>
        <v>0</v>
      </c>
      <c r="AM71" s="184" t="s">
        <v>917</v>
      </c>
      <c r="AN71" s="9">
        <f t="shared" si="35"/>
        <v>14</v>
      </c>
      <c r="AO71" s="542">
        <f t="shared" ca="1" si="62"/>
        <v>0</v>
      </c>
      <c r="AQ71" s="99" t="s">
        <v>609</v>
      </c>
      <c r="AR71" s="100" t="s">
        <v>595</v>
      </c>
      <c r="AS71" s="134">
        <v>0.1929989</v>
      </c>
      <c r="AT71" s="134">
        <v>5.04E-2</v>
      </c>
      <c r="AU71" s="134">
        <v>6.3999399999999998E-2</v>
      </c>
      <c r="AV71" s="134">
        <v>4.7E-2</v>
      </c>
    </row>
    <row r="72" spans="1:59" ht="14.25" customHeight="1">
      <c r="A72" s="259" t="s">
        <v>885</v>
      </c>
      <c r="B72" s="259" t="s">
        <v>1332</v>
      </c>
      <c r="C72" s="259" t="s">
        <v>1118</v>
      </c>
      <c r="D72" s="440">
        <f>MIN(D55*($AO$23),B$33*D$48-D71)</f>
        <v>0.2668396764</v>
      </c>
      <c r="E72" s="429"/>
      <c r="F72" s="440">
        <f>MIN(F55*($AN$23-$AO$23),D$33*F$48-F71)</f>
        <v>0.58853263902219499</v>
      </c>
      <c r="G72" s="429"/>
      <c r="H72" s="429"/>
      <c r="I72" s="429"/>
      <c r="J72" s="429"/>
      <c r="K72" s="429"/>
      <c r="L72" s="429"/>
      <c r="M72" s="429"/>
      <c r="N72" s="440">
        <f>MIN(N55*($AN$23-$AO$23),L$33*N$48-N71)</f>
        <v>10.593587502399508</v>
      </c>
      <c r="O72" s="429"/>
      <c r="P72" s="429"/>
      <c r="Q72" s="429"/>
      <c r="R72" s="429"/>
      <c r="S72" s="429"/>
      <c r="T72" s="429"/>
      <c r="U72" s="441">
        <f>SUM(D72:T72)</f>
        <v>11.448959817821702</v>
      </c>
      <c r="AE72" s="184" t="s">
        <v>1289</v>
      </c>
      <c r="AF72" s="9">
        <f t="shared" si="37"/>
        <v>25</v>
      </c>
      <c r="AG72" s="9" t="e">
        <f t="shared" si="29"/>
        <v>#N/A</v>
      </c>
      <c r="AH72" s="46">
        <f t="shared" si="30"/>
        <v>7.2861931842276406E-2</v>
      </c>
      <c r="AI72" s="46">
        <f t="shared" si="31"/>
        <v>0</v>
      </c>
      <c r="AJ72" s="46">
        <f t="shared" si="32"/>
        <v>0</v>
      </c>
      <c r="AK72" s="9">
        <f t="shared" si="33"/>
        <v>0</v>
      </c>
      <c r="AL72" s="46">
        <f t="shared" si="60"/>
        <v>7.2861931842276406E-2</v>
      </c>
      <c r="AM72" s="184" t="s">
        <v>917</v>
      </c>
      <c r="AN72" s="9">
        <f t="shared" si="35"/>
        <v>14</v>
      </c>
      <c r="AO72" s="542">
        <f t="shared" ca="1" si="62"/>
        <v>3.5835422138296006E-3</v>
      </c>
      <c r="AQ72" s="99" t="s">
        <v>608</v>
      </c>
      <c r="AR72" s="100" t="s">
        <v>178</v>
      </c>
      <c r="AS72" s="134">
        <v>0.1759964</v>
      </c>
      <c r="AT72" s="134">
        <v>4.3891199999999998E-2</v>
      </c>
      <c r="AU72" s="134">
        <v>2.1249489999999999E-2</v>
      </c>
      <c r="AV72" s="134">
        <v>1.8699999999999998E-2</v>
      </c>
    </row>
    <row r="73" spans="1:59" ht="14.25" customHeight="1">
      <c r="A73" s="259" t="s">
        <v>885</v>
      </c>
      <c r="B73" s="259" t="s">
        <v>1332</v>
      </c>
      <c r="C73" t="s">
        <v>1495</v>
      </c>
      <c r="D73" s="3">
        <f t="shared" ref="D73:U73" si="63">SUM(D71:D72)</f>
        <v>0.7904158352436077</v>
      </c>
      <c r="E73" s="3">
        <f t="shared" si="63"/>
        <v>0</v>
      </c>
      <c r="F73" s="3">
        <f t="shared" si="63"/>
        <v>0.90391592184837521</v>
      </c>
      <c r="G73" s="3">
        <f t="shared" si="63"/>
        <v>0</v>
      </c>
      <c r="H73" s="3">
        <f t="shared" si="63"/>
        <v>0</v>
      </c>
      <c r="I73" s="3">
        <f t="shared" si="63"/>
        <v>0</v>
      </c>
      <c r="J73" s="3">
        <f t="shared" si="63"/>
        <v>0</v>
      </c>
      <c r="K73" s="3">
        <f t="shared" si="63"/>
        <v>0</v>
      </c>
      <c r="L73" s="3">
        <f t="shared" si="63"/>
        <v>0</v>
      </c>
      <c r="M73" s="3">
        <f t="shared" si="63"/>
        <v>0</v>
      </c>
      <c r="N73" s="3">
        <f t="shared" si="63"/>
        <v>12.305668180598772</v>
      </c>
      <c r="O73" s="3">
        <f t="shared" si="63"/>
        <v>0</v>
      </c>
      <c r="P73" s="3">
        <f t="shared" si="63"/>
        <v>0</v>
      </c>
      <c r="Q73" s="3">
        <f t="shared" si="63"/>
        <v>0</v>
      </c>
      <c r="R73" s="3">
        <f t="shared" si="63"/>
        <v>0</v>
      </c>
      <c r="S73" s="3">
        <f t="shared" si="63"/>
        <v>0</v>
      </c>
      <c r="T73" s="3">
        <f t="shared" si="63"/>
        <v>0</v>
      </c>
      <c r="U73" s="3">
        <f t="shared" si="63"/>
        <v>13.999999937690754</v>
      </c>
      <c r="AE73" s="184" t="s">
        <v>847</v>
      </c>
      <c r="AF73" s="9">
        <f t="shared" si="37"/>
        <v>26</v>
      </c>
      <c r="AG73" s="9">
        <f>MATCH("bioblq",AQ$51:AQ$80,0)</f>
        <v>20</v>
      </c>
      <c r="AH73" s="46">
        <f t="shared" si="30"/>
        <v>0.17496515046308295</v>
      </c>
      <c r="AI73" s="46">
        <f t="shared" si="31"/>
        <v>0</v>
      </c>
      <c r="AJ73" s="46">
        <f t="shared" si="32"/>
        <v>0</v>
      </c>
      <c r="AK73" s="9">
        <f t="shared" si="33"/>
        <v>1.0899780179942942</v>
      </c>
      <c r="AL73" s="46">
        <f t="shared" si="60"/>
        <v>1.2649431684573771</v>
      </c>
      <c r="AM73" s="184" t="s">
        <v>917</v>
      </c>
      <c r="AN73" s="9">
        <f t="shared" si="35"/>
        <v>14</v>
      </c>
      <c r="AO73" s="542">
        <f t="shared" ca="1" si="62"/>
        <v>6.2213245348406013E-2</v>
      </c>
      <c r="AQ73" s="99" t="s">
        <v>606</v>
      </c>
      <c r="AR73" s="100" t="s">
        <v>947</v>
      </c>
      <c r="AS73" s="134">
        <v>5.1990008000000003</v>
      </c>
      <c r="AT73" s="134">
        <v>1.7136</v>
      </c>
      <c r="AU73" s="134">
        <v>1.3819999000000001</v>
      </c>
      <c r="AV73" s="134">
        <v>1.2090000000000001</v>
      </c>
    </row>
    <row r="74" spans="1:59" ht="14.25" customHeight="1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AE74" s="184" t="s">
        <v>608</v>
      </c>
      <c r="AF74" s="9">
        <f t="shared" si="37"/>
        <v>27</v>
      </c>
      <c r="AG74" s="9">
        <f>MATCH($AE74,AQ$51:AQ$83,0)</f>
        <v>22</v>
      </c>
      <c r="AH74" s="46">
        <f t="shared" si="30"/>
        <v>3.4211626377717064</v>
      </c>
      <c r="AI74" s="46">
        <f t="shared" si="31"/>
        <v>0</v>
      </c>
      <c r="AJ74" s="46">
        <f t="shared" si="32"/>
        <v>0</v>
      </c>
      <c r="AK74" s="9">
        <f t="shared" si="33"/>
        <v>4.3141529136339596</v>
      </c>
      <c r="AL74" s="46">
        <f t="shared" si="60"/>
        <v>7.735315551405666</v>
      </c>
      <c r="AM74" s="184" t="s">
        <v>917</v>
      </c>
      <c r="AN74" s="9">
        <f t="shared" si="35"/>
        <v>14</v>
      </c>
      <c r="AO74" s="542">
        <f t="shared" ca="1" si="62"/>
        <v>0.38044324539403751</v>
      </c>
      <c r="AQ74" s="99" t="s">
        <v>596</v>
      </c>
      <c r="AR74" s="100" t="s">
        <v>597</v>
      </c>
      <c r="AS74" s="134">
        <v>0</v>
      </c>
      <c r="AT74" s="134">
        <v>0</v>
      </c>
      <c r="AU74" s="134">
        <v>0</v>
      </c>
      <c r="AV74" s="134">
        <v>0</v>
      </c>
    </row>
    <row r="75" spans="1:59" ht="14.25" customHeight="1">
      <c r="AE75" s="184" t="s">
        <v>609</v>
      </c>
      <c r="AF75" s="9">
        <f t="shared" si="37"/>
        <v>28</v>
      </c>
      <c r="AG75" s="9">
        <f>MATCH($AE75,AQ$51:AQ$83,0)</f>
        <v>21</v>
      </c>
      <c r="AH75" s="46">
        <f t="shared" si="30"/>
        <v>0.87420632211365812</v>
      </c>
      <c r="AI75" s="46">
        <f t="shared" si="31"/>
        <v>0</v>
      </c>
      <c r="AJ75" s="46">
        <f t="shared" si="32"/>
        <v>0</v>
      </c>
      <c r="AK75" s="9">
        <f t="shared" si="33"/>
        <v>1.0679982000000001</v>
      </c>
      <c r="AL75" s="46">
        <f t="shared" si="60"/>
        <v>1.9422045221136583</v>
      </c>
      <c r="AM75" s="184" t="s">
        <v>917</v>
      </c>
      <c r="AN75" s="9">
        <f t="shared" si="35"/>
        <v>14</v>
      </c>
      <c r="AO75" s="542">
        <f t="shared" ca="1" si="62"/>
        <v>9.552274715898601E-2</v>
      </c>
      <c r="AQ75" s="99" t="s">
        <v>902</v>
      </c>
      <c r="AR75" s="100" t="s">
        <v>902</v>
      </c>
      <c r="AS75" s="137">
        <v>5.9854158000000002</v>
      </c>
      <c r="AT75" s="137">
        <v>1.9878912</v>
      </c>
      <c r="AU75" s="137">
        <v>1.6436469899999999</v>
      </c>
      <c r="AV75" s="137">
        <v>1.4127000000000001</v>
      </c>
    </row>
    <row r="76" spans="1:59" ht="14.25" customHeight="1">
      <c r="A76" s="237" t="s">
        <v>977</v>
      </c>
      <c r="B76" s="203"/>
      <c r="C76" s="203" t="s">
        <v>93</v>
      </c>
      <c r="D76" s="238">
        <f t="shared" ref="D76:U76" si="64">D64+D63+D62+D61+D60+D59</f>
        <v>0</v>
      </c>
      <c r="E76" s="238">
        <f t="shared" si="64"/>
        <v>14.995492887312796</v>
      </c>
      <c r="F76" s="238">
        <f t="shared" si="64"/>
        <v>0.35758622433403631</v>
      </c>
      <c r="G76" s="238">
        <f t="shared" si="64"/>
        <v>0</v>
      </c>
      <c r="H76" s="238">
        <f t="shared" si="64"/>
        <v>2.0756384670227193</v>
      </c>
      <c r="I76" s="238">
        <f t="shared" si="64"/>
        <v>0</v>
      </c>
      <c r="J76" s="238">
        <f t="shared" si="64"/>
        <v>0</v>
      </c>
      <c r="K76" s="238">
        <f t="shared" si="64"/>
        <v>0.68300109999999992</v>
      </c>
      <c r="L76" s="238">
        <f t="shared" si="64"/>
        <v>6.1682378000000018</v>
      </c>
      <c r="M76" s="238">
        <f t="shared" si="64"/>
        <v>4.2493257627449053</v>
      </c>
      <c r="N76" s="238">
        <f t="shared" si="64"/>
        <v>1.3052619483764059</v>
      </c>
      <c r="O76" s="238">
        <f t="shared" si="64"/>
        <v>0</v>
      </c>
      <c r="P76" s="238">
        <f t="shared" si="64"/>
        <v>0</v>
      </c>
      <c r="Q76" s="238">
        <f t="shared" si="64"/>
        <v>0</v>
      </c>
      <c r="R76" s="238">
        <f t="shared" si="64"/>
        <v>156.50816514401976</v>
      </c>
      <c r="S76" s="238">
        <f t="shared" si="64"/>
        <v>0</v>
      </c>
      <c r="T76" s="238">
        <f t="shared" si="64"/>
        <v>47.493572948852297</v>
      </c>
      <c r="U76" s="238">
        <f t="shared" si="64"/>
        <v>233.83628228266295</v>
      </c>
      <c r="V76" s="203"/>
      <c r="W76" s="203"/>
      <c r="AE76" s="184" t="s">
        <v>845</v>
      </c>
      <c r="AF76" s="9">
        <f t="shared" si="37"/>
        <v>30</v>
      </c>
      <c r="AG76" s="9" t="e">
        <f>MATCH($AE76,AQ$51:AQ$83,0)</f>
        <v>#N/A</v>
      </c>
      <c r="AH76" s="46">
        <f t="shared" si="30"/>
        <v>0</v>
      </c>
      <c r="AI76" s="46">
        <f t="shared" si="31"/>
        <v>0</v>
      </c>
      <c r="AJ76" s="46">
        <f t="shared" si="32"/>
        <v>0</v>
      </c>
      <c r="AK76" s="9">
        <f>IF(ISNA($AG76),0,INDEX(AS$7:AS$39,$AG76)+INDEX(AS$51:AS$83,$AG76)+INDEX(AU$51:AU$83,$AG76))</f>
        <v>0</v>
      </c>
      <c r="AL76" s="46">
        <f t="shared" si="60"/>
        <v>0</v>
      </c>
      <c r="AM76" s="184" t="s">
        <v>950</v>
      </c>
      <c r="AN76" s="9">
        <f t="shared" si="35"/>
        <v>15</v>
      </c>
      <c r="AO76" s="542">
        <f ca="1">AL76/MAX(Tiny,INDEX(BK$49:BK$63,AN76))</f>
        <v>0</v>
      </c>
      <c r="AQ76" s="103" t="s">
        <v>953</v>
      </c>
      <c r="AR76" s="100" t="s">
        <v>193</v>
      </c>
      <c r="AS76" s="134">
        <v>5.3000700000000005E-2</v>
      </c>
      <c r="AT76" s="134">
        <v>2.52E-2</v>
      </c>
      <c r="AU76" s="134">
        <v>0.1919941</v>
      </c>
      <c r="AV76" s="134">
        <v>0.155</v>
      </c>
    </row>
    <row r="77" spans="1:59" ht="14.25" customHeight="1">
      <c r="A77" s="203"/>
      <c r="B77" s="203"/>
      <c r="C77" s="203"/>
      <c r="D77" s="213">
        <f t="shared" ref="D77:U77" si="65">D76/$U76</f>
        <v>0</v>
      </c>
      <c r="E77" s="213">
        <f t="shared" si="65"/>
        <v>6.4128170106579688E-2</v>
      </c>
      <c r="F77" s="213">
        <f t="shared" si="65"/>
        <v>1.5292161714313588E-3</v>
      </c>
      <c r="G77" s="213">
        <f t="shared" si="65"/>
        <v>0</v>
      </c>
      <c r="H77" s="213">
        <f t="shared" si="65"/>
        <v>8.8764602599765621E-3</v>
      </c>
      <c r="I77" s="213">
        <f t="shared" si="65"/>
        <v>0</v>
      </c>
      <c r="J77" s="213">
        <f t="shared" si="65"/>
        <v>0</v>
      </c>
      <c r="K77" s="213">
        <f t="shared" si="65"/>
        <v>2.9208516887656612E-3</v>
      </c>
      <c r="L77" s="213">
        <f t="shared" si="65"/>
        <v>2.6378446235061984E-2</v>
      </c>
      <c r="M77" s="213">
        <f t="shared" si="65"/>
        <v>1.8172225974788164E-2</v>
      </c>
      <c r="N77" s="213">
        <f t="shared" si="65"/>
        <v>5.5819479151597009E-3</v>
      </c>
      <c r="O77" s="213">
        <f t="shared" si="65"/>
        <v>0</v>
      </c>
      <c r="P77" s="213">
        <f t="shared" si="65"/>
        <v>0</v>
      </c>
      <c r="Q77" s="213">
        <f t="shared" si="65"/>
        <v>0</v>
      </c>
      <c r="R77" s="213">
        <f t="shared" si="65"/>
        <v>0.66930659184373953</v>
      </c>
      <c r="S77" s="213">
        <f t="shared" si="65"/>
        <v>0</v>
      </c>
      <c r="T77" s="213">
        <f t="shared" si="65"/>
        <v>0.20310608980449718</v>
      </c>
      <c r="U77" s="213">
        <f t="shared" si="65"/>
        <v>1</v>
      </c>
      <c r="V77" s="203"/>
      <c r="W77" s="203"/>
      <c r="AJ77" s="93">
        <f>SUM(AJ48:AJ76)</f>
        <v>43.978050200000006</v>
      </c>
      <c r="AL77" s="93">
        <f>SUM(AL48:AL76)</f>
        <v>357.95188070071885</v>
      </c>
      <c r="AQ77" s="103" t="s">
        <v>952</v>
      </c>
      <c r="AR77" s="100" t="s">
        <v>598</v>
      </c>
      <c r="AS77" s="134">
        <v>0.12461589999999999</v>
      </c>
      <c r="AT77" s="134">
        <v>3.5999999999999997E-2</v>
      </c>
      <c r="AU77" s="134">
        <v>2.29981E-2</v>
      </c>
      <c r="AV77" s="134">
        <v>1.8000000000000002E-2</v>
      </c>
    </row>
    <row r="78" spans="1:59" ht="14.25" customHeight="1">
      <c r="A78" s="86" t="s">
        <v>989</v>
      </c>
      <c r="B78" s="106"/>
      <c r="C78" s="107"/>
      <c r="D78" s="88"/>
      <c r="E78" s="88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AQ78" s="103" t="s">
        <v>954</v>
      </c>
      <c r="AR78" s="100" t="s">
        <v>799</v>
      </c>
      <c r="AS78" s="134">
        <v>0</v>
      </c>
      <c r="AT78" s="134">
        <v>0</v>
      </c>
      <c r="AU78" s="134">
        <v>0</v>
      </c>
      <c r="AV78" s="134">
        <v>0</v>
      </c>
    </row>
    <row r="79" spans="1:59" ht="14.25" customHeight="1">
      <c r="A79" s="203"/>
      <c r="B79" s="203"/>
      <c r="C79" s="203"/>
      <c r="D79" s="262" t="str">
        <f t="shared" ref="D79:U79" si="66">B38</f>
        <v>INDELC</v>
      </c>
      <c r="E79" s="262" t="str">
        <f t="shared" si="66"/>
        <v>INDNGA</v>
      </c>
      <c r="F79" s="262" t="str">
        <f t="shared" si="66"/>
        <v>INDLPG</v>
      </c>
      <c r="G79" s="262" t="str">
        <f t="shared" si="66"/>
        <v>INDNGL</v>
      </c>
      <c r="H79" s="262" t="str">
        <f t="shared" si="66"/>
        <v>INDCOA</v>
      </c>
      <c r="I79" s="262" t="str">
        <f t="shared" si="66"/>
        <v>INDCOK</v>
      </c>
      <c r="J79" s="262" t="str">
        <f t="shared" si="66"/>
        <v>INDCOG</v>
      </c>
      <c r="K79" s="262" t="str">
        <f t="shared" si="66"/>
        <v>INDBFG</v>
      </c>
      <c r="L79" s="262" t="str">
        <f t="shared" si="66"/>
        <v>INDBCO</v>
      </c>
      <c r="M79" s="262" t="str">
        <f t="shared" si="66"/>
        <v>INDHFO</v>
      </c>
      <c r="N79" s="262" t="str">
        <f t="shared" si="66"/>
        <v>INDOIL</v>
      </c>
      <c r="O79" s="262" t="str">
        <f t="shared" si="66"/>
        <v>INDETH</v>
      </c>
      <c r="P79" s="262" t="str">
        <f t="shared" si="66"/>
        <v>INDNAP</v>
      </c>
      <c r="Q79" s="262" t="str">
        <f t="shared" si="66"/>
        <v>INDPTC</v>
      </c>
      <c r="R79" s="262" t="str">
        <f t="shared" si="66"/>
        <v>INDBIO</v>
      </c>
      <c r="S79" s="262" t="str">
        <f t="shared" si="66"/>
        <v>INDGEO</v>
      </c>
      <c r="T79" s="262" t="str">
        <f t="shared" si="66"/>
        <v>INDHET</v>
      </c>
      <c r="U79" s="262" t="str">
        <f t="shared" si="66"/>
        <v>TOTAL</v>
      </c>
      <c r="V79" s="203"/>
      <c r="W79" s="203"/>
      <c r="AQ79" s="99" t="s">
        <v>842</v>
      </c>
      <c r="AR79" s="100" t="s">
        <v>806</v>
      </c>
      <c r="AS79" s="134">
        <v>0</v>
      </c>
      <c r="AT79" s="134">
        <v>0</v>
      </c>
      <c r="AU79" s="134">
        <v>3.1999699999999999E-2</v>
      </c>
      <c r="AV79" s="134">
        <v>1.4999999999999999E-2</v>
      </c>
    </row>
    <row r="80" spans="1:59" ht="14.25" customHeight="1">
      <c r="A80" s="203"/>
      <c r="B80" s="203"/>
      <c r="C80" s="203" t="s">
        <v>13</v>
      </c>
      <c r="D80" s="257">
        <f t="shared" ref="D80:U80" si="67">B33</f>
        <v>30.151561170211874</v>
      </c>
      <c r="E80" s="257">
        <f t="shared" si="67"/>
        <v>1.2453355114554923</v>
      </c>
      <c r="F80" s="257">
        <f t="shared" si="67"/>
        <v>3.5758622433403628</v>
      </c>
      <c r="G80" s="257">
        <f t="shared" si="67"/>
        <v>0</v>
      </c>
      <c r="H80" s="257">
        <f t="shared" si="67"/>
        <v>0.3857726200649122</v>
      </c>
      <c r="I80" s="257">
        <f t="shared" si="67"/>
        <v>2.9303500000000149E-2</v>
      </c>
      <c r="J80" s="257">
        <f t="shared" si="67"/>
        <v>0</v>
      </c>
      <c r="K80" s="257">
        <f t="shared" si="67"/>
        <v>0</v>
      </c>
      <c r="L80" s="257">
        <f t="shared" si="67"/>
        <v>5.4437087578159342E-2</v>
      </c>
      <c r="M80" s="257">
        <f t="shared" si="67"/>
        <v>1.0608653768376892</v>
      </c>
      <c r="N80" s="257">
        <f t="shared" si="67"/>
        <v>17.773045867528115</v>
      </c>
      <c r="O80" s="257">
        <f t="shared" si="67"/>
        <v>0</v>
      </c>
      <c r="P80" s="257">
        <f t="shared" si="67"/>
        <v>0</v>
      </c>
      <c r="Q80" s="257">
        <f t="shared" si="67"/>
        <v>0</v>
      </c>
      <c r="R80" s="257">
        <f t="shared" si="67"/>
        <v>9.6642209920263564</v>
      </c>
      <c r="S80" s="257">
        <f t="shared" si="67"/>
        <v>0</v>
      </c>
      <c r="T80" s="257">
        <f t="shared" si="67"/>
        <v>30.091543353753025</v>
      </c>
      <c r="U80" s="257">
        <f t="shared" si="67"/>
        <v>94.031947722795991</v>
      </c>
      <c r="V80" s="203"/>
      <c r="W80" s="203"/>
      <c r="AQ80" s="99" t="s">
        <v>902</v>
      </c>
      <c r="AR80" s="100" t="s">
        <v>902</v>
      </c>
      <c r="AS80" s="137">
        <v>0.17761659999999999</v>
      </c>
      <c r="AT80" s="137">
        <v>6.1199999999999997E-2</v>
      </c>
      <c r="AU80" s="137">
        <v>0.24699189999999999</v>
      </c>
      <c r="AV80" s="137">
        <v>0.188</v>
      </c>
    </row>
    <row r="81" spans="1:48" ht="14.25" customHeight="1">
      <c r="A81" s="203"/>
      <c r="B81" s="203"/>
      <c r="C81" s="203" t="s">
        <v>14</v>
      </c>
      <c r="D81" s="257">
        <f t="shared" ref="D81:U81" si="68">D70</f>
        <v>30.151561170211878</v>
      </c>
      <c r="E81" s="257">
        <f t="shared" si="68"/>
        <v>1.2453355114554923</v>
      </c>
      <c r="F81" s="257">
        <f t="shared" si="68"/>
        <v>3.5758622433403628</v>
      </c>
      <c r="G81" s="257">
        <f t="shared" si="68"/>
        <v>0</v>
      </c>
      <c r="H81" s="257">
        <f t="shared" si="68"/>
        <v>0.3857726200649122</v>
      </c>
      <c r="I81" s="257">
        <f t="shared" si="68"/>
        <v>2.9303500000000149E-2</v>
      </c>
      <c r="J81" s="257">
        <f t="shared" si="68"/>
        <v>0</v>
      </c>
      <c r="K81" s="257">
        <f t="shared" si="68"/>
        <v>0</v>
      </c>
      <c r="L81" s="257">
        <f t="shared" si="68"/>
        <v>5.4437087578159342E-2</v>
      </c>
      <c r="M81" s="257">
        <f t="shared" si="68"/>
        <v>1.0608653768376892</v>
      </c>
      <c r="N81" s="257">
        <f t="shared" si="68"/>
        <v>17.773045867528115</v>
      </c>
      <c r="O81" s="257">
        <f t="shared" si="68"/>
        <v>0</v>
      </c>
      <c r="P81" s="257">
        <f t="shared" si="68"/>
        <v>0</v>
      </c>
      <c r="Q81" s="257">
        <f t="shared" si="68"/>
        <v>0</v>
      </c>
      <c r="R81" s="257">
        <f t="shared" si="68"/>
        <v>9.6642209920263564</v>
      </c>
      <c r="S81" s="257">
        <f t="shared" si="68"/>
        <v>0</v>
      </c>
      <c r="T81" s="257">
        <f t="shared" si="68"/>
        <v>30.091543353753025</v>
      </c>
      <c r="U81" s="257">
        <f t="shared" si="68"/>
        <v>94.031947722795991</v>
      </c>
      <c r="V81" s="203"/>
      <c r="W81" s="203"/>
      <c r="AQ81" s="104" t="s">
        <v>599</v>
      </c>
      <c r="AR81" s="100" t="s">
        <v>600</v>
      </c>
      <c r="AS81" s="134">
        <v>0</v>
      </c>
      <c r="AT81" s="134">
        <v>0</v>
      </c>
      <c r="AU81" s="134">
        <v>0</v>
      </c>
      <c r="AV81" s="134">
        <v>0</v>
      </c>
    </row>
    <row r="82" spans="1:48" ht="14.25" customHeight="1">
      <c r="A82" s="203"/>
      <c r="B82" s="203"/>
      <c r="C82" s="203"/>
      <c r="D82" s="258">
        <f t="shared" ref="D82:U82" si="69">IF((D81-D80)/100&gt;5%,"ERROR",IF((D81-D80)/100&lt;-5%,"ERROR",(D81-D80)/100))</f>
        <v>3.552713678800501E-17</v>
      </c>
      <c r="E82" s="258">
        <f t="shared" si="69"/>
        <v>0</v>
      </c>
      <c r="F82" s="258">
        <f t="shared" si="69"/>
        <v>0</v>
      </c>
      <c r="G82" s="258">
        <f t="shared" si="69"/>
        <v>0</v>
      </c>
      <c r="H82" s="258">
        <f t="shared" si="69"/>
        <v>0</v>
      </c>
      <c r="I82" s="258">
        <f t="shared" si="69"/>
        <v>0</v>
      </c>
      <c r="J82" s="258">
        <f t="shared" si="69"/>
        <v>0</v>
      </c>
      <c r="K82" s="258">
        <f t="shared" si="69"/>
        <v>0</v>
      </c>
      <c r="L82" s="258">
        <f t="shared" si="69"/>
        <v>0</v>
      </c>
      <c r="M82" s="258">
        <f t="shared" si="69"/>
        <v>0</v>
      </c>
      <c r="N82" s="258">
        <f t="shared" si="69"/>
        <v>0</v>
      </c>
      <c r="O82" s="258">
        <f t="shared" si="69"/>
        <v>0</v>
      </c>
      <c r="P82" s="258">
        <f t="shared" si="69"/>
        <v>0</v>
      </c>
      <c r="Q82" s="258">
        <f t="shared" si="69"/>
        <v>0</v>
      </c>
      <c r="R82" s="258">
        <f t="shared" si="69"/>
        <v>0</v>
      </c>
      <c r="S82" s="258">
        <f t="shared" si="69"/>
        <v>0</v>
      </c>
      <c r="T82" s="258">
        <f t="shared" si="69"/>
        <v>0</v>
      </c>
      <c r="U82" s="258">
        <f t="shared" si="69"/>
        <v>0</v>
      </c>
      <c r="V82" s="203"/>
      <c r="W82" s="203"/>
      <c r="AQ82" s="104" t="s">
        <v>601</v>
      </c>
      <c r="AR82" s="100" t="s">
        <v>602</v>
      </c>
      <c r="AS82" s="134">
        <v>0</v>
      </c>
      <c r="AT82" s="134">
        <v>0</v>
      </c>
      <c r="AU82" s="134">
        <v>0</v>
      </c>
      <c r="AV82" s="134">
        <v>0</v>
      </c>
    </row>
    <row r="83" spans="1:48" ht="14.25" customHeight="1">
      <c r="A83" s="203"/>
      <c r="B83" s="203"/>
      <c r="C83" s="203" t="s">
        <v>15</v>
      </c>
      <c r="D83" s="257">
        <f t="shared" ref="D83:U83" si="70">B34</f>
        <v>135.94984003236291</v>
      </c>
      <c r="E83" s="257">
        <f t="shared" si="70"/>
        <v>27.810934711455491</v>
      </c>
      <c r="F83" s="257">
        <f t="shared" si="70"/>
        <v>42.045863343340358</v>
      </c>
      <c r="G83" s="257">
        <f t="shared" si="70"/>
        <v>0</v>
      </c>
      <c r="H83" s="257">
        <f t="shared" si="70"/>
        <v>5.1703067200649118</v>
      </c>
      <c r="I83" s="257">
        <f t="shared" si="70"/>
        <v>4.2485008999999998</v>
      </c>
      <c r="J83" s="257">
        <f t="shared" si="70"/>
        <v>2.8070987000000001</v>
      </c>
      <c r="K83" s="257">
        <f t="shared" si="70"/>
        <v>2.3069980000000001</v>
      </c>
      <c r="L83" s="257">
        <f t="shared" si="70"/>
        <v>6.2226748875781608</v>
      </c>
      <c r="M83" s="257">
        <f t="shared" si="70"/>
        <v>15.607873476837689</v>
      </c>
      <c r="N83" s="257">
        <f t="shared" si="70"/>
        <v>18.867647067528118</v>
      </c>
      <c r="O83" s="257">
        <f t="shared" si="70"/>
        <v>0.79200020000000004</v>
      </c>
      <c r="P83" s="257">
        <f t="shared" si="70"/>
        <v>12.943001600000002</v>
      </c>
      <c r="Q83" s="257">
        <f t="shared" si="70"/>
        <v>1.7100008999999998</v>
      </c>
      <c r="R83" s="257">
        <f t="shared" si="70"/>
        <v>163.74600999202639</v>
      </c>
      <c r="S83" s="257">
        <f t="shared" si="70"/>
        <v>0</v>
      </c>
      <c r="T83" s="257">
        <f t="shared" si="70"/>
        <v>54.715543353753027</v>
      </c>
      <c r="U83" s="257">
        <f t="shared" si="70"/>
        <v>494.94429388494717</v>
      </c>
      <c r="V83" s="203"/>
      <c r="W83" s="203"/>
      <c r="AQ83" s="104" t="s">
        <v>603</v>
      </c>
      <c r="AR83" s="100" t="s">
        <v>604</v>
      </c>
      <c r="AS83" s="134">
        <v>0</v>
      </c>
      <c r="AT83" s="134">
        <v>0</v>
      </c>
      <c r="AU83" s="134">
        <v>0</v>
      </c>
      <c r="AV83" s="134">
        <v>0</v>
      </c>
    </row>
    <row r="84" spans="1:48" ht="14.25" customHeight="1">
      <c r="A84" s="203"/>
      <c r="B84" s="203"/>
      <c r="C84" s="203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03"/>
      <c r="W84" s="203"/>
      <c r="AQ84" s="104" t="s">
        <v>605</v>
      </c>
      <c r="AR84" s="100" t="s">
        <v>610</v>
      </c>
      <c r="AS84" s="134">
        <v>0</v>
      </c>
      <c r="AT84" s="134">
        <v>0</v>
      </c>
      <c r="AU84" s="134">
        <v>0</v>
      </c>
      <c r="AV84" s="134">
        <v>0</v>
      </c>
    </row>
    <row r="85" spans="1:48" ht="14.25" customHeight="1">
      <c r="A85" s="203"/>
      <c r="B85" s="203"/>
      <c r="C85" s="203"/>
      <c r="D85" s="258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03"/>
      <c r="W85" s="203"/>
      <c r="AQ85" s="104" t="s">
        <v>613</v>
      </c>
      <c r="AR85" s="100" t="s">
        <v>614</v>
      </c>
      <c r="AS85" s="134">
        <v>0</v>
      </c>
      <c r="AT85" s="134">
        <v>0</v>
      </c>
      <c r="AU85" s="134">
        <v>0</v>
      </c>
      <c r="AV85" s="134">
        <v>0</v>
      </c>
    </row>
    <row r="86" spans="1:48" ht="14.25" customHeight="1">
      <c r="A86" s="203"/>
      <c r="B86" s="203"/>
      <c r="C86" s="203"/>
      <c r="D86" s="257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03"/>
      <c r="W86" s="203"/>
      <c r="AQ86" s="104" t="s">
        <v>844</v>
      </c>
      <c r="AR86" s="100" t="s">
        <v>807</v>
      </c>
      <c r="AS86" s="134">
        <v>-2.0000000233721948E-7</v>
      </c>
      <c r="AT86" s="134">
        <v>0.76680000000000081</v>
      </c>
      <c r="AU86" s="134">
        <v>9.9999999836342113E-8</v>
      </c>
      <c r="AV86" s="134">
        <v>1.0429999999999986</v>
      </c>
    </row>
    <row r="87" spans="1:48" ht="14.25" customHeight="1">
      <c r="A87" s="203"/>
      <c r="B87" s="203"/>
      <c r="C87" s="203"/>
      <c r="D87" s="258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258"/>
      <c r="P87" s="258"/>
      <c r="Q87" s="258"/>
      <c r="R87" s="258"/>
      <c r="S87" s="258"/>
      <c r="T87" s="258"/>
      <c r="U87" s="258"/>
      <c r="V87" s="203"/>
      <c r="W87" s="203"/>
      <c r="AQ87" s="473"/>
      <c r="AR87" s="100" t="s">
        <v>615</v>
      </c>
      <c r="AS87" s="137">
        <v>6.4528341999999981</v>
      </c>
      <c r="AT87" s="137">
        <v>2.9238912000000008</v>
      </c>
      <c r="AU87" s="137">
        <v>2.1419928849999996</v>
      </c>
      <c r="AV87" s="137">
        <v>2.8359499999999986</v>
      </c>
    </row>
    <row r="88" spans="1:48" ht="14.25" customHeight="1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48" ht="14.25" customHeight="1"/>
    <row r="90" spans="1:48" ht="14.25" customHeight="1"/>
  </sheetData>
  <phoneticPr fontId="0" type="noConversion"/>
  <pageMargins left="0.35433070866141736" right="0.35433070866141736" top="0.39370078740157483" bottom="0.39370078740157483" header="0.51181102362204722" footer="0.51181102362204722"/>
  <pageSetup scale="56" orientation="landscape" horizontalDpi="300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AB134"/>
  <sheetViews>
    <sheetView showGridLines="0" showRowColHeaders="0" showZeros="0" showOutlineSymbols="0" topLeftCell="IV65536" zoomScale="75" workbookViewId="0">
      <selection activeCell="Q8" sqref="Q8:R8 D27:G27 I27:S27 U27 G33 C34:G34 J34:R34 T34:V34 X34 X58:Y60 F58:F61 Y63 Y64:Z64 F63:F66 X66:X69 F68:F70 Y66:Y73 X74:Y74 F72:F76 Y78:Y80 F78:F81 H83 V89:V91"/>
    </sheetView>
  </sheetViews>
  <sheetFormatPr defaultColWidth="0" defaultRowHeight="12.75" zeroHeight="1"/>
  <cols>
    <col min="1" max="16384" width="0" style="613" hidden="1"/>
  </cols>
  <sheetData>
    <row r="3" spans="2:24" hidden="1">
      <c r="B3" s="612" t="s">
        <v>260</v>
      </c>
      <c r="C3" s="612" t="str">
        <f>Region</f>
        <v>FIN</v>
      </c>
      <c r="N3" s="612" t="s">
        <v>539</v>
      </c>
      <c r="O3" s="613" t="s">
        <v>403</v>
      </c>
      <c r="P3" s="613" t="s">
        <v>675</v>
      </c>
      <c r="R3" s="612" t="s">
        <v>537</v>
      </c>
      <c r="W3" s="612" t="s">
        <v>1319</v>
      </c>
    </row>
    <row r="4" spans="2:24" hidden="1">
      <c r="B4" s="613" t="s">
        <v>465</v>
      </c>
      <c r="C4" s="614">
        <f>MATCH(C3,B9:B26,0)</f>
        <v>15</v>
      </c>
      <c r="N4" s="615">
        <v>1</v>
      </c>
      <c r="O4" s="616">
        <v>9</v>
      </c>
      <c r="P4" s="617">
        <v>1.6</v>
      </c>
      <c r="R4" s="613" t="s">
        <v>538</v>
      </c>
      <c r="S4" s="618">
        <v>0.65</v>
      </c>
      <c r="W4" s="619" t="b">
        <f>C3="FIN"</f>
        <v>1</v>
      </c>
    </row>
    <row r="5" spans="2:24" hidden="1">
      <c r="B5" s="620" t="s">
        <v>467</v>
      </c>
      <c r="C5" s="621">
        <f ca="1">AuxYear</f>
        <v>2017</v>
      </c>
      <c r="N5" s="622">
        <v>2</v>
      </c>
      <c r="O5" s="623">
        <v>10.5</v>
      </c>
      <c r="P5" s="624">
        <v>1.5</v>
      </c>
    </row>
    <row r="6" spans="2:24" hidden="1">
      <c r="N6" s="625">
        <v>3</v>
      </c>
      <c r="O6" s="626">
        <v>11.3</v>
      </c>
      <c r="P6" s="627">
        <v>0.5</v>
      </c>
      <c r="W6" s="613" t="s">
        <v>501</v>
      </c>
    </row>
    <row r="7" spans="2:24" ht="18" hidden="1">
      <c r="C7" s="628" t="s">
        <v>1318</v>
      </c>
      <c r="D7" s="629" t="s">
        <v>181</v>
      </c>
      <c r="E7" s="629"/>
      <c r="F7" s="629"/>
      <c r="G7" s="629"/>
      <c r="H7" s="629"/>
      <c r="I7" s="629"/>
      <c r="J7" s="629"/>
    </row>
    <row r="8" spans="2:24" ht="15" hidden="1">
      <c r="B8" s="629" t="s">
        <v>466</v>
      </c>
      <c r="C8" s="627"/>
      <c r="D8" s="613" t="s">
        <v>213</v>
      </c>
      <c r="E8" s="613" t="s">
        <v>367</v>
      </c>
      <c r="F8" s="613" t="s">
        <v>365</v>
      </c>
      <c r="G8" s="613" t="s">
        <v>409</v>
      </c>
      <c r="H8" s="613" t="s">
        <v>215</v>
      </c>
      <c r="I8" s="613" t="s">
        <v>217</v>
      </c>
      <c r="J8" s="613" t="s">
        <v>411</v>
      </c>
      <c r="K8" s="613" t="s">
        <v>361</v>
      </c>
      <c r="L8" s="613" t="s">
        <v>363</v>
      </c>
      <c r="M8" s="613" t="s">
        <v>221</v>
      </c>
      <c r="N8" s="613" t="s">
        <v>369</v>
      </c>
      <c r="O8" s="613" t="s">
        <v>404</v>
      </c>
      <c r="P8" s="613" t="s">
        <v>405</v>
      </c>
      <c r="Q8" s="630" t="s">
        <v>359</v>
      </c>
      <c r="R8" s="630" t="s">
        <v>253</v>
      </c>
      <c r="S8" s="630" t="s">
        <v>357</v>
      </c>
      <c r="T8" s="613" t="s">
        <v>540</v>
      </c>
      <c r="U8" s="630" t="s">
        <v>354</v>
      </c>
      <c r="X8" s="613" t="s">
        <v>448</v>
      </c>
    </row>
    <row r="9" spans="2:24" hidden="1">
      <c r="B9" s="631" t="s">
        <v>264</v>
      </c>
      <c r="C9" s="632">
        <v>2.3824151810308098</v>
      </c>
      <c r="D9" s="633">
        <f t="shared" ref="D9:D26" si="0">D$27+$C9</f>
        <v>11.38241518103081</v>
      </c>
      <c r="E9" s="634"/>
      <c r="F9" s="634"/>
      <c r="G9" s="634"/>
      <c r="H9" s="634"/>
      <c r="I9" s="634"/>
      <c r="J9" s="634"/>
      <c r="K9" s="634"/>
      <c r="L9" s="635"/>
      <c r="M9" s="634"/>
      <c r="N9" s="634"/>
      <c r="O9" s="634"/>
      <c r="P9" s="617"/>
      <c r="Q9" s="616">
        <v>14.831250000000001</v>
      </c>
      <c r="R9" s="636">
        <v>7.9860576923076927</v>
      </c>
      <c r="S9" s="634">
        <v>15</v>
      </c>
      <c r="T9" s="634">
        <v>-2</v>
      </c>
      <c r="U9" s="617"/>
      <c r="W9" s="613" t="s">
        <v>264</v>
      </c>
      <c r="X9" s="637">
        <v>0.81499999999999995</v>
      </c>
    </row>
    <row r="10" spans="2:24" hidden="1">
      <c r="B10" s="638" t="s">
        <v>265</v>
      </c>
      <c r="C10" s="632">
        <v>0.44131278723404144</v>
      </c>
      <c r="D10" s="639">
        <f t="shared" si="0"/>
        <v>9.4413127872340414</v>
      </c>
      <c r="E10" s="630"/>
      <c r="F10" s="630"/>
      <c r="G10" s="630"/>
      <c r="H10" s="630"/>
      <c r="I10" s="630"/>
      <c r="J10" s="630"/>
      <c r="K10" s="630"/>
      <c r="L10" s="640"/>
      <c r="M10" s="630"/>
      <c r="N10" s="630"/>
      <c r="O10" s="630"/>
      <c r="P10" s="624"/>
      <c r="Q10" s="623">
        <v>16.118749999999999</v>
      </c>
      <c r="R10" s="641">
        <v>8.679326923076923</v>
      </c>
      <c r="S10" s="630">
        <v>15</v>
      </c>
      <c r="T10" s="630">
        <v>-2</v>
      </c>
      <c r="U10" s="624"/>
      <c r="W10" s="613" t="s">
        <v>265</v>
      </c>
      <c r="X10" s="642">
        <v>0.81499999999999995</v>
      </c>
    </row>
    <row r="11" spans="2:24" hidden="1">
      <c r="B11" s="638" t="s">
        <v>266</v>
      </c>
      <c r="C11" s="632">
        <v>6.3160634925590582</v>
      </c>
      <c r="D11" s="639">
        <f t="shared" si="0"/>
        <v>15.316063492559058</v>
      </c>
      <c r="E11" s="630"/>
      <c r="F11" s="630"/>
      <c r="G11" s="630"/>
      <c r="H11" s="630"/>
      <c r="I11" s="630"/>
      <c r="J11" s="630"/>
      <c r="K11" s="630"/>
      <c r="L11" s="640"/>
      <c r="M11" s="630"/>
      <c r="N11" s="630"/>
      <c r="O11" s="630"/>
      <c r="P11" s="624"/>
      <c r="Q11" s="623">
        <v>15.268750000000001</v>
      </c>
      <c r="R11" s="641">
        <v>8.221634615384616</v>
      </c>
      <c r="S11" s="630">
        <v>16.899999999999999</v>
      </c>
      <c r="T11" s="630">
        <v>-2</v>
      </c>
      <c r="U11" s="624"/>
      <c r="W11" s="613" t="s">
        <v>266</v>
      </c>
      <c r="X11" s="642">
        <v>0.81499999999999995</v>
      </c>
    </row>
    <row r="12" spans="2:24" hidden="1">
      <c r="B12" s="638" t="s">
        <v>267</v>
      </c>
      <c r="C12" s="632">
        <v>1.5</v>
      </c>
      <c r="D12" s="639">
        <f t="shared" si="0"/>
        <v>10.5</v>
      </c>
      <c r="E12" s="630"/>
      <c r="F12" s="630"/>
      <c r="G12" s="630"/>
      <c r="H12" s="630"/>
      <c r="I12" s="630"/>
      <c r="J12" s="630"/>
      <c r="K12" s="630"/>
      <c r="L12" s="640"/>
      <c r="M12" s="630"/>
      <c r="N12" s="630"/>
      <c r="O12" s="630"/>
      <c r="P12" s="624">
        <v>30</v>
      </c>
      <c r="Q12" s="623">
        <v>16.118749999999999</v>
      </c>
      <c r="R12" s="641">
        <v>8.679326923076923</v>
      </c>
      <c r="S12" s="630">
        <v>27.8</v>
      </c>
      <c r="T12" s="630">
        <v>-2</v>
      </c>
      <c r="U12" s="624"/>
      <c r="W12" s="613" t="s">
        <v>267</v>
      </c>
      <c r="X12" s="642">
        <v>0.81499999999999995</v>
      </c>
    </row>
    <row r="13" spans="2:24" hidden="1">
      <c r="B13" s="638" t="s">
        <v>1094</v>
      </c>
      <c r="C13" s="632">
        <v>3.0710785726744181</v>
      </c>
      <c r="D13" s="639">
        <f t="shared" si="0"/>
        <v>12.071078572674418</v>
      </c>
      <c r="E13" s="630"/>
      <c r="F13" s="630"/>
      <c r="G13" s="630"/>
      <c r="H13" s="630"/>
      <c r="I13" s="630"/>
      <c r="J13" s="630"/>
      <c r="K13" s="630"/>
      <c r="L13" s="640"/>
      <c r="M13" s="630"/>
      <c r="N13" s="630"/>
      <c r="O13" s="630"/>
      <c r="P13" s="624"/>
      <c r="Q13" s="623">
        <v>16.118749999999999</v>
      </c>
      <c r="R13" s="641">
        <v>8.679326923076923</v>
      </c>
      <c r="S13" s="630">
        <v>18.899999999999999</v>
      </c>
      <c r="T13" s="630">
        <v>-2</v>
      </c>
      <c r="U13" s="624"/>
      <c r="W13" s="613" t="s">
        <v>1094</v>
      </c>
      <c r="X13" s="642">
        <v>0.81499999999999995</v>
      </c>
    </row>
    <row r="14" spans="2:24" hidden="1">
      <c r="B14" s="638" t="s">
        <v>268</v>
      </c>
      <c r="C14" s="632">
        <v>2.8065256804612435</v>
      </c>
      <c r="D14" s="639">
        <f t="shared" si="0"/>
        <v>11.806525680461244</v>
      </c>
      <c r="E14" s="630"/>
      <c r="F14" s="630"/>
      <c r="G14" s="630"/>
      <c r="H14" s="630"/>
      <c r="I14" s="630"/>
      <c r="J14" s="630"/>
      <c r="K14" s="630"/>
      <c r="L14" s="640"/>
      <c r="M14" s="630"/>
      <c r="N14" s="630"/>
      <c r="O14" s="630"/>
      <c r="P14" s="624"/>
      <c r="Q14" s="623">
        <v>16.118749999999999</v>
      </c>
      <c r="R14" s="641">
        <v>8.679326923076923</v>
      </c>
      <c r="S14" s="630">
        <v>22.6</v>
      </c>
      <c r="T14" s="630">
        <v>-3</v>
      </c>
      <c r="U14" s="624"/>
      <c r="W14" s="613" t="s">
        <v>268</v>
      </c>
      <c r="X14" s="642">
        <v>0.81499999999999995</v>
      </c>
    </row>
    <row r="15" spans="2:24" hidden="1">
      <c r="B15" s="638" t="s">
        <v>269</v>
      </c>
      <c r="C15" s="632">
        <v>0</v>
      </c>
      <c r="D15" s="639">
        <f t="shared" si="0"/>
        <v>9</v>
      </c>
      <c r="E15" s="630"/>
      <c r="F15" s="630"/>
      <c r="G15" s="630"/>
      <c r="H15" s="630"/>
      <c r="I15" s="630"/>
      <c r="J15" s="630"/>
      <c r="K15" s="630"/>
      <c r="L15" s="640"/>
      <c r="M15" s="630"/>
      <c r="N15" s="630"/>
      <c r="O15" s="630"/>
      <c r="P15" s="624"/>
      <c r="Q15" s="623">
        <v>16.118749999999999</v>
      </c>
      <c r="R15" s="641">
        <v>8.679326923076923</v>
      </c>
      <c r="S15" s="630">
        <v>22.3</v>
      </c>
      <c r="T15" s="630">
        <v>-2</v>
      </c>
      <c r="U15" s="624"/>
      <c r="W15" s="613" t="s">
        <v>269</v>
      </c>
      <c r="X15" s="642">
        <v>0.81499999999999995</v>
      </c>
    </row>
    <row r="16" spans="2:24" hidden="1">
      <c r="B16" s="638" t="s">
        <v>1095</v>
      </c>
      <c r="C16" s="632">
        <v>0</v>
      </c>
      <c r="D16" s="639">
        <f t="shared" si="0"/>
        <v>9</v>
      </c>
      <c r="E16" s="630"/>
      <c r="F16" s="630"/>
      <c r="G16" s="630"/>
      <c r="H16" s="630"/>
      <c r="I16" s="630"/>
      <c r="J16" s="630"/>
      <c r="K16" s="630"/>
      <c r="L16" s="640"/>
      <c r="M16" s="630"/>
      <c r="N16" s="630"/>
      <c r="O16" s="630"/>
      <c r="P16" s="624">
        <v>20</v>
      </c>
      <c r="Q16" s="623">
        <v>16.118749999999999</v>
      </c>
      <c r="R16" s="641">
        <v>8.679326923076923</v>
      </c>
      <c r="S16" s="630">
        <v>16.899999999999999</v>
      </c>
      <c r="T16" s="630">
        <v>-1</v>
      </c>
      <c r="U16" s="624"/>
      <c r="W16" s="613" t="s">
        <v>1095</v>
      </c>
      <c r="X16" s="642">
        <v>0.81499999999999995</v>
      </c>
    </row>
    <row r="17" spans="2:24" hidden="1">
      <c r="B17" s="638" t="s">
        <v>1096</v>
      </c>
      <c r="C17" s="632">
        <v>4.8882345549473687</v>
      </c>
      <c r="D17" s="639">
        <f t="shared" si="0"/>
        <v>13.888234554947369</v>
      </c>
      <c r="E17" s="630"/>
      <c r="F17" s="630"/>
      <c r="G17" s="630"/>
      <c r="H17" s="630"/>
      <c r="I17" s="630"/>
      <c r="J17" s="630"/>
      <c r="K17" s="630"/>
      <c r="L17" s="640"/>
      <c r="M17" s="630"/>
      <c r="N17" s="630"/>
      <c r="O17" s="630"/>
      <c r="P17" s="624"/>
      <c r="Q17" s="623">
        <v>15.0375</v>
      </c>
      <c r="R17" s="641">
        <v>8.0971153846153836</v>
      </c>
      <c r="S17" s="630">
        <v>15</v>
      </c>
      <c r="T17" s="630">
        <v>-2</v>
      </c>
      <c r="U17" s="624"/>
      <c r="W17" s="613" t="s">
        <v>1096</v>
      </c>
      <c r="X17" s="642">
        <v>0.81499999999999995</v>
      </c>
    </row>
    <row r="18" spans="2:24" hidden="1">
      <c r="B18" s="638" t="s">
        <v>270</v>
      </c>
      <c r="C18" s="632">
        <v>0</v>
      </c>
      <c r="D18" s="639">
        <f t="shared" si="0"/>
        <v>9</v>
      </c>
      <c r="E18" s="630"/>
      <c r="F18" s="630"/>
      <c r="G18" s="630"/>
      <c r="H18" s="630"/>
      <c r="I18" s="630"/>
      <c r="J18" s="630"/>
      <c r="K18" s="630"/>
      <c r="L18" s="640"/>
      <c r="M18" s="630"/>
      <c r="N18" s="630"/>
      <c r="O18" s="630"/>
      <c r="P18" s="624"/>
      <c r="Q18" s="623">
        <v>14.96875</v>
      </c>
      <c r="R18" s="641">
        <v>8.0600961538461533</v>
      </c>
      <c r="S18" s="630">
        <v>15</v>
      </c>
      <c r="T18" s="630">
        <v>-2</v>
      </c>
      <c r="U18" s="624"/>
      <c r="W18" s="613" t="s">
        <v>270</v>
      </c>
      <c r="X18" s="642">
        <v>0.81499999999999995</v>
      </c>
    </row>
    <row r="19" spans="2:24" hidden="1">
      <c r="B19" s="638" t="s">
        <v>271</v>
      </c>
      <c r="C19" s="632">
        <v>2.9238104477611913</v>
      </c>
      <c r="D19" s="639">
        <f t="shared" si="0"/>
        <v>11.923810447761191</v>
      </c>
      <c r="E19" s="630"/>
      <c r="F19" s="630"/>
      <c r="G19" s="630"/>
      <c r="H19" s="630"/>
      <c r="I19" s="630"/>
      <c r="J19" s="630"/>
      <c r="K19" s="630"/>
      <c r="L19" s="640"/>
      <c r="M19" s="630"/>
      <c r="N19" s="630"/>
      <c r="O19" s="630"/>
      <c r="P19" s="624"/>
      <c r="Q19" s="623">
        <v>16.118749999999999</v>
      </c>
      <c r="R19" s="641">
        <v>8.679326923076923</v>
      </c>
      <c r="S19" s="630">
        <v>16</v>
      </c>
      <c r="T19" s="630">
        <v>-2</v>
      </c>
      <c r="U19" s="624"/>
      <c r="W19" s="613" t="s">
        <v>271</v>
      </c>
      <c r="X19" s="642">
        <v>0.81499999999999995</v>
      </c>
    </row>
    <row r="20" spans="2:24" hidden="1">
      <c r="B20" s="638" t="s">
        <v>563</v>
      </c>
      <c r="C20" s="632">
        <v>4.618240189720682</v>
      </c>
      <c r="D20" s="639">
        <f t="shared" si="0"/>
        <v>13.618240189720682</v>
      </c>
      <c r="E20" s="630"/>
      <c r="F20" s="630">
        <v>5.5</v>
      </c>
      <c r="G20" s="630"/>
      <c r="H20" s="630"/>
      <c r="I20" s="630"/>
      <c r="J20" s="630"/>
      <c r="K20" s="630"/>
      <c r="L20" s="640"/>
      <c r="M20" s="630"/>
      <c r="N20" s="630"/>
      <c r="O20" s="630"/>
      <c r="P20" s="624">
        <v>60</v>
      </c>
      <c r="Q20" s="623">
        <v>15.268750000000001</v>
      </c>
      <c r="R20" s="641">
        <v>8.221634615384616</v>
      </c>
      <c r="S20" s="630">
        <v>16.899999999999999</v>
      </c>
      <c r="T20" s="630">
        <v>-2</v>
      </c>
      <c r="U20" s="624"/>
      <c r="W20" s="613" t="s">
        <v>563</v>
      </c>
      <c r="X20" s="642">
        <v>0.81499999999999995</v>
      </c>
    </row>
    <row r="21" spans="2:24" hidden="1">
      <c r="B21" s="638" t="s">
        <v>705</v>
      </c>
      <c r="C21" s="632">
        <v>1.3674422515096658</v>
      </c>
      <c r="D21" s="639">
        <f t="shared" si="0"/>
        <v>10.367442251509665</v>
      </c>
      <c r="E21" s="630"/>
      <c r="F21" s="630"/>
      <c r="G21" s="630"/>
      <c r="H21" s="630"/>
      <c r="I21" s="630"/>
      <c r="J21" s="630"/>
      <c r="K21" s="630"/>
      <c r="L21" s="640"/>
      <c r="M21" s="630"/>
      <c r="N21" s="630"/>
      <c r="O21" s="630"/>
      <c r="P21" s="624"/>
      <c r="Q21" s="623">
        <v>15.956250000000001</v>
      </c>
      <c r="R21" s="641">
        <v>8.5918269230769226</v>
      </c>
      <c r="S21" s="630">
        <v>14</v>
      </c>
      <c r="T21" s="630">
        <v>-3</v>
      </c>
      <c r="U21" s="624"/>
      <c r="W21" s="613" t="s">
        <v>705</v>
      </c>
      <c r="X21" s="642">
        <v>0.81499999999999995</v>
      </c>
    </row>
    <row r="22" spans="2:24" hidden="1">
      <c r="B22" s="638" t="s">
        <v>1097</v>
      </c>
      <c r="C22" s="632">
        <v>0</v>
      </c>
      <c r="D22" s="639">
        <f t="shared" si="0"/>
        <v>9</v>
      </c>
      <c r="E22" s="630"/>
      <c r="F22" s="630">
        <v>5.9</v>
      </c>
      <c r="G22" s="630"/>
      <c r="H22" s="630"/>
      <c r="I22" s="630"/>
      <c r="J22" s="630"/>
      <c r="K22" s="630"/>
      <c r="L22" s="640"/>
      <c r="M22" s="630"/>
      <c r="N22" s="630">
        <f>N23</f>
        <v>23.3</v>
      </c>
      <c r="O22" s="630"/>
      <c r="P22" s="624"/>
      <c r="Q22" s="623">
        <v>15.956250000000001</v>
      </c>
      <c r="R22" s="641">
        <v>8.5918269230769226</v>
      </c>
      <c r="S22" s="630">
        <v>14</v>
      </c>
      <c r="T22" s="630">
        <v>-2</v>
      </c>
      <c r="U22" s="624"/>
      <c r="W22" s="613" t="s">
        <v>1097</v>
      </c>
      <c r="X22" s="642">
        <v>0.81499999999999995</v>
      </c>
    </row>
    <row r="23" spans="2:24" hidden="1">
      <c r="B23" s="638" t="s">
        <v>86</v>
      </c>
      <c r="C23" s="632">
        <v>-1.8</v>
      </c>
      <c r="D23" s="639">
        <f t="shared" si="0"/>
        <v>7.2</v>
      </c>
      <c r="E23" s="630"/>
      <c r="F23" s="630">
        <v>5.9</v>
      </c>
      <c r="G23" s="630">
        <v>33</v>
      </c>
      <c r="H23" s="630"/>
      <c r="I23" s="630"/>
      <c r="J23" s="630"/>
      <c r="K23" s="630"/>
      <c r="L23" s="640"/>
      <c r="M23" s="630"/>
      <c r="N23" s="630">
        <f>12.5+N29</f>
        <v>23.3</v>
      </c>
      <c r="O23" s="630"/>
      <c r="P23" s="624"/>
      <c r="Q23" s="623">
        <v>15.956250000000001</v>
      </c>
      <c r="R23" s="641">
        <v>8.5918269230769226</v>
      </c>
      <c r="S23" s="630">
        <v>14</v>
      </c>
      <c r="T23" s="630">
        <v>-2</v>
      </c>
      <c r="U23" s="624"/>
      <c r="W23" s="613" t="s">
        <v>86</v>
      </c>
      <c r="X23" s="642">
        <v>0.81499999999999995</v>
      </c>
    </row>
    <row r="24" spans="2:24" hidden="1">
      <c r="B24" s="638" t="s">
        <v>1098</v>
      </c>
      <c r="C24" s="632">
        <v>1</v>
      </c>
      <c r="D24" s="639">
        <f t="shared" si="0"/>
        <v>10</v>
      </c>
      <c r="E24" s="630"/>
      <c r="F24" s="630">
        <v>5.9</v>
      </c>
      <c r="G24" s="630">
        <v>31</v>
      </c>
      <c r="H24" s="630"/>
      <c r="I24" s="630"/>
      <c r="J24" s="630"/>
      <c r="K24" s="630"/>
      <c r="L24" s="640"/>
      <c r="M24" s="630">
        <v>60</v>
      </c>
      <c r="N24" s="630">
        <f>N23</f>
        <v>23.3</v>
      </c>
      <c r="O24" s="630"/>
      <c r="P24" s="624"/>
      <c r="Q24" s="623">
        <v>15.956250000000001</v>
      </c>
      <c r="R24" s="641">
        <v>8.5918269230769226</v>
      </c>
      <c r="S24" s="630">
        <v>14</v>
      </c>
      <c r="T24" s="630">
        <v>-2</v>
      </c>
      <c r="U24" s="624"/>
      <c r="W24" s="613" t="s">
        <v>1098</v>
      </c>
      <c r="X24" s="642">
        <v>0.81499999999999995</v>
      </c>
    </row>
    <row r="25" spans="2:24" hidden="1">
      <c r="B25" s="638" t="s">
        <v>1099</v>
      </c>
      <c r="C25" s="632">
        <v>-1.8</v>
      </c>
      <c r="D25" s="639">
        <f t="shared" si="0"/>
        <v>7.2</v>
      </c>
      <c r="E25" s="630"/>
      <c r="F25" s="630">
        <v>5.9</v>
      </c>
      <c r="G25" s="630">
        <v>33</v>
      </c>
      <c r="H25" s="630"/>
      <c r="I25" s="630"/>
      <c r="J25" s="630"/>
      <c r="K25" s="630"/>
      <c r="L25" s="640"/>
      <c r="M25" s="630">
        <v>65</v>
      </c>
      <c r="N25" s="630">
        <f>N23</f>
        <v>23.3</v>
      </c>
      <c r="O25" s="630"/>
      <c r="P25" s="624"/>
      <c r="Q25" s="623">
        <v>15.956250000000001</v>
      </c>
      <c r="R25" s="641">
        <v>8.5918269230769226</v>
      </c>
      <c r="S25" s="630">
        <v>14</v>
      </c>
      <c r="T25" s="630">
        <v>-2</v>
      </c>
      <c r="U25" s="624"/>
      <c r="W25" s="613" t="s">
        <v>1099</v>
      </c>
      <c r="X25" s="642">
        <v>0.81499999999999995</v>
      </c>
    </row>
    <row r="26" spans="2:24" hidden="1">
      <c r="B26" s="643" t="s">
        <v>1341</v>
      </c>
      <c r="C26" s="644">
        <v>3.0710785726744181</v>
      </c>
      <c r="D26" s="645">
        <f t="shared" si="0"/>
        <v>12.071078572674418</v>
      </c>
      <c r="E26" s="646"/>
      <c r="F26" s="646"/>
      <c r="G26" s="646"/>
      <c r="H26" s="646"/>
      <c r="I26" s="646"/>
      <c r="J26" s="646"/>
      <c r="K26" s="646"/>
      <c r="L26" s="647"/>
      <c r="M26" s="646"/>
      <c r="N26" s="646"/>
      <c r="O26" s="646"/>
      <c r="P26" s="627"/>
      <c r="Q26" s="626">
        <v>16.118749999999999</v>
      </c>
      <c r="R26" s="648">
        <v>8.679326923076923</v>
      </c>
      <c r="S26" s="646">
        <v>18.899999999999999</v>
      </c>
      <c r="T26" s="646">
        <v>-2</v>
      </c>
      <c r="U26" s="627"/>
      <c r="W26" s="613" t="s">
        <v>1341</v>
      </c>
      <c r="X26" s="649">
        <v>0.82</v>
      </c>
    </row>
    <row r="27" spans="2:24" hidden="1">
      <c r="C27" s="650" t="s">
        <v>401</v>
      </c>
      <c r="D27" s="640">
        <v>9</v>
      </c>
      <c r="E27" s="651">
        <v>16.600000000000001</v>
      </c>
      <c r="F27" s="651">
        <v>5</v>
      </c>
      <c r="G27" s="651">
        <v>32.6</v>
      </c>
      <c r="H27" s="651">
        <f>5.1+0.14*3.6</f>
        <v>5.6040000000000001</v>
      </c>
      <c r="I27" s="651">
        <f>3+0.14*3.6</f>
        <v>3.504</v>
      </c>
      <c r="J27" s="651">
        <f>4.4+0.075*3.6</f>
        <v>4.67</v>
      </c>
      <c r="K27" s="651">
        <f>3.8+0.94+0.25</f>
        <v>4.99</v>
      </c>
      <c r="L27" s="651">
        <v>3</v>
      </c>
      <c r="M27" s="651">
        <f>15*3.6 + 18 + 0.4*(2.5+0.14*3.6) + 7.4</f>
        <v>80.601600000000005</v>
      </c>
      <c r="N27" s="651">
        <f>14.3+3*3.6</f>
        <v>25.1</v>
      </c>
      <c r="O27" s="651">
        <f>4+4*3.6</f>
        <v>18.399999999999999</v>
      </c>
      <c r="P27" s="651">
        <f>10.8+0.28*3.6</f>
        <v>11.808000000000002</v>
      </c>
      <c r="Q27" s="613">
        <v>13</v>
      </c>
      <c r="R27" s="613">
        <v>7</v>
      </c>
      <c r="S27" s="613">
        <f>41.6-21</f>
        <v>20.6</v>
      </c>
      <c r="T27" s="613">
        <f>INDEX($O$4:$P$6,-INDEX(T$9:T$26,RegIndex),2)</f>
        <v>1.5</v>
      </c>
      <c r="U27" s="613">
        <v>10</v>
      </c>
      <c r="W27" s="613" t="s">
        <v>502</v>
      </c>
      <c r="X27" s="649">
        <f>INDEX(X$9:X$26,RegIndex)</f>
        <v>0.81499999999999995</v>
      </c>
    </row>
    <row r="28" spans="2:24" hidden="1">
      <c r="C28" s="613" t="s">
        <v>402</v>
      </c>
      <c r="D28" s="652">
        <f t="array" ref="D28:P28">IF(INDEX($D$9:$P$26,RegIndex,0)&gt;0,INDEX($D$9:$P$26,RegIndex,0),D27:P27)</f>
        <v>7.2</v>
      </c>
      <c r="E28" s="653">
        <v>16.600000000000001</v>
      </c>
      <c r="F28" s="653">
        <v>5.9</v>
      </c>
      <c r="G28" s="653">
        <v>33</v>
      </c>
      <c r="H28" s="653">
        <v>5.6040000000000001</v>
      </c>
      <c r="I28" s="653">
        <v>3.504</v>
      </c>
      <c r="J28" s="653">
        <v>4.67</v>
      </c>
      <c r="K28" s="653">
        <v>4.99</v>
      </c>
      <c r="L28" s="653">
        <v>3</v>
      </c>
      <c r="M28" s="653">
        <v>80.601600000000005</v>
      </c>
      <c r="N28" s="653">
        <v>23.3</v>
      </c>
      <c r="O28" s="653">
        <v>18.399999999999999</v>
      </c>
      <c r="P28" s="653">
        <v>11.808000000000002</v>
      </c>
      <c r="Q28" s="652">
        <f t="array" ref="Q28:U28">IF(INDEX($Q$9:$U$26,RegIndex,0)&gt;0,INDEX($Q$9:$U$26,RegIndex,0),Q27:U27)+IF(Q29:U29&gt;0,Q29:U29,0)</f>
        <v>16.956250000000001</v>
      </c>
      <c r="R28" s="653">
        <v>9.5918269230769226</v>
      </c>
      <c r="S28" s="653">
        <v>18.5</v>
      </c>
      <c r="T28" s="653">
        <v>12</v>
      </c>
      <c r="U28" s="654">
        <v>10.5</v>
      </c>
    </row>
    <row r="29" spans="2:24" hidden="1">
      <c r="C29" s="613" t="s">
        <v>781</v>
      </c>
      <c r="D29" s="652">
        <v>1.25</v>
      </c>
      <c r="E29" s="655">
        <v>3.3</v>
      </c>
      <c r="F29" s="653">
        <f>2.4*0+0.85*3.6</f>
        <v>3.06</v>
      </c>
      <c r="G29" s="653">
        <f>3.3*3.6</f>
        <v>11.879999999999999</v>
      </c>
      <c r="H29" s="653">
        <f>0.145*3.6</f>
        <v>0.52200000000000002</v>
      </c>
      <c r="I29" s="653">
        <f>0.145*3.6</f>
        <v>0.52200000000000002</v>
      </c>
      <c r="J29" s="653">
        <f>0.075*3.6</f>
        <v>0.27</v>
      </c>
      <c r="K29" s="656">
        <f>0.15*3.85+0.52</f>
        <v>1.0975000000000001</v>
      </c>
      <c r="L29" s="653">
        <f>L28*0.14</f>
        <v>0.42000000000000004</v>
      </c>
      <c r="M29" s="653">
        <f>15*3.6+1.4*3.6</f>
        <v>59.04</v>
      </c>
      <c r="N29" s="655">
        <f>3*3.6</f>
        <v>10.8</v>
      </c>
      <c r="O29" s="655">
        <f>4*3.6</f>
        <v>14.4</v>
      </c>
      <c r="P29" s="653">
        <f>P28*0.085</f>
        <v>1.0036800000000001</v>
      </c>
      <c r="Q29" s="657">
        <v>1</v>
      </c>
      <c r="R29" s="655">
        <v>1</v>
      </c>
      <c r="S29" s="655">
        <v>4.5</v>
      </c>
      <c r="T29" s="653">
        <f>INDEX($O$4:$P$6,-INDEX(T$9:T$26,RegIndex),1)</f>
        <v>10.5</v>
      </c>
      <c r="U29" s="658">
        <v>0.5</v>
      </c>
      <c r="W29" s="659" t="s">
        <v>414</v>
      </c>
      <c r="X29" s="660">
        <v>0.86</v>
      </c>
    </row>
    <row r="30" spans="2:24" hidden="1">
      <c r="B30" s="613" t="s">
        <v>374</v>
      </c>
    </row>
    <row r="31" spans="2:24" hidden="1">
      <c r="B31" s="613" t="s">
        <v>373</v>
      </c>
      <c r="C31" s="614">
        <f ca="1">IEA_Year</f>
        <v>2010</v>
      </c>
    </row>
    <row r="32" spans="2:24" hidden="1">
      <c r="C32" s="661" t="s">
        <v>272</v>
      </c>
      <c r="D32" s="662"/>
      <c r="E32" s="662"/>
      <c r="F32" s="662"/>
      <c r="G32" s="661" t="s">
        <v>273</v>
      </c>
      <c r="H32" s="662"/>
      <c r="I32" s="662"/>
      <c r="J32" s="662"/>
      <c r="K32" s="663"/>
      <c r="L32" s="661" t="s">
        <v>274</v>
      </c>
      <c r="M32" s="662"/>
      <c r="N32" s="662"/>
      <c r="O32" s="663"/>
      <c r="P32" s="661" t="s">
        <v>276</v>
      </c>
      <c r="Q32" s="662"/>
      <c r="R32" s="662"/>
      <c r="S32" s="662"/>
      <c r="T32" s="663"/>
      <c r="U32" s="661" t="s">
        <v>275</v>
      </c>
      <c r="V32" s="662"/>
      <c r="W32" s="662"/>
      <c r="X32" s="663"/>
    </row>
    <row r="33" spans="2:24" hidden="1">
      <c r="C33" s="623"/>
      <c r="D33" s="630"/>
      <c r="E33" s="630"/>
      <c r="F33" s="630"/>
      <c r="G33" s="664" t="s">
        <v>277</v>
      </c>
      <c r="H33" s="665"/>
      <c r="I33" s="665"/>
      <c r="J33" s="630"/>
      <c r="K33" s="624"/>
      <c r="L33" s="623"/>
      <c r="M33" s="630"/>
      <c r="N33" s="630"/>
      <c r="O33" s="624"/>
      <c r="P33" s="623"/>
      <c r="Q33" s="630"/>
      <c r="R33" s="630"/>
      <c r="S33" s="630"/>
      <c r="T33" s="624"/>
      <c r="U33" s="623"/>
      <c r="V33" s="630"/>
      <c r="W33" s="630"/>
      <c r="X33" s="624"/>
    </row>
    <row r="34" spans="2:24" hidden="1">
      <c r="B34" s="646" t="s">
        <v>573</v>
      </c>
      <c r="C34" s="626" t="s">
        <v>261</v>
      </c>
      <c r="D34" s="646" t="s">
        <v>262</v>
      </c>
      <c r="E34" s="646" t="s">
        <v>263</v>
      </c>
      <c r="F34" s="624" t="s">
        <v>408</v>
      </c>
      <c r="G34" s="626" t="s">
        <v>214</v>
      </c>
      <c r="H34" s="646" t="s">
        <v>216</v>
      </c>
      <c r="I34" s="646" t="s">
        <v>456</v>
      </c>
      <c r="J34" s="646" t="s">
        <v>218</v>
      </c>
      <c r="K34" s="627" t="s">
        <v>219</v>
      </c>
      <c r="L34" s="626" t="s">
        <v>220</v>
      </c>
      <c r="M34" s="646" t="s">
        <v>222</v>
      </c>
      <c r="N34" s="646" t="s">
        <v>407</v>
      </c>
      <c r="O34" s="627" t="s">
        <v>406</v>
      </c>
      <c r="P34" s="626" t="s">
        <v>251</v>
      </c>
      <c r="Q34" s="646" t="s">
        <v>252</v>
      </c>
      <c r="R34" s="646" t="s">
        <v>254</v>
      </c>
      <c r="S34" s="646" t="s">
        <v>539</v>
      </c>
      <c r="T34" s="627" t="s">
        <v>353</v>
      </c>
      <c r="U34" s="626" t="s">
        <v>250</v>
      </c>
      <c r="V34" s="646" t="s">
        <v>249</v>
      </c>
      <c r="W34" s="646" t="s">
        <v>247</v>
      </c>
      <c r="X34" s="627" t="s">
        <v>338</v>
      </c>
    </row>
    <row r="35" spans="2:24" hidden="1">
      <c r="B35" s="666" t="s">
        <v>264</v>
      </c>
      <c r="C35" s="667">
        <v>4.9509999999999996</v>
      </c>
      <c r="D35" s="668">
        <v>6.1520000000000001</v>
      </c>
      <c r="E35" s="668">
        <v>3.8498490000000025</v>
      </c>
      <c r="F35" s="669">
        <v>4.1727860000000003</v>
      </c>
      <c r="G35" s="667">
        <v>18.9559125</v>
      </c>
      <c r="H35" s="668">
        <v>187.8860875</v>
      </c>
      <c r="I35" s="668">
        <v>2.76</v>
      </c>
      <c r="J35" s="668">
        <v>4.4217283299972188</v>
      </c>
      <c r="K35" s="670">
        <v>45.534128725149159</v>
      </c>
      <c r="L35" s="667">
        <v>1.6879999999999999</v>
      </c>
      <c r="M35" s="668">
        <v>1.2314799952625413</v>
      </c>
      <c r="N35" s="668">
        <v>8.7767999999999999E-2</v>
      </c>
      <c r="O35" s="670">
        <v>0</v>
      </c>
      <c r="P35" s="671">
        <v>1.1477469119569876</v>
      </c>
      <c r="Q35" s="672">
        <v>0.47157397261618184</v>
      </c>
      <c r="R35" s="672">
        <v>7.1299457142857143</v>
      </c>
      <c r="S35" s="672">
        <v>0.9</v>
      </c>
      <c r="T35" s="669">
        <v>1.96</v>
      </c>
      <c r="U35" s="667">
        <v>3.4315509999999998</v>
      </c>
      <c r="V35" s="668">
        <v>6.6503995845892755E-2</v>
      </c>
      <c r="W35" s="668">
        <v>0.6447944811401698</v>
      </c>
      <c r="X35" s="670">
        <v>8.8701523013937522E-2</v>
      </c>
    </row>
    <row r="36" spans="2:24" hidden="1">
      <c r="B36" s="666" t="s">
        <v>265</v>
      </c>
      <c r="C36" s="667">
        <v>4.7610000000000001</v>
      </c>
      <c r="D36" s="668">
        <v>0</v>
      </c>
      <c r="E36" s="668">
        <v>1.2243669999999991</v>
      </c>
      <c r="F36" s="670">
        <v>0.28399999999999997</v>
      </c>
      <c r="G36" s="667">
        <v>6.3882000000000003</v>
      </c>
      <c r="H36" s="668">
        <v>4.311799999999999</v>
      </c>
      <c r="I36" s="668">
        <v>3.044</v>
      </c>
      <c r="J36" s="668">
        <v>1.3056839330820738</v>
      </c>
      <c r="K36" s="670">
        <v>2.5081507236915805</v>
      </c>
      <c r="L36" s="667">
        <v>1.786</v>
      </c>
      <c r="M36" s="668">
        <v>0.41351975185790268</v>
      </c>
      <c r="N36" s="668">
        <v>0.459144</v>
      </c>
      <c r="O36" s="670">
        <v>20.486000000000001</v>
      </c>
      <c r="P36" s="667">
        <v>0.35904189616314813</v>
      </c>
      <c r="Q36" s="668">
        <v>0.10286964981570897</v>
      </c>
      <c r="R36" s="668">
        <v>1.7338178571428571</v>
      </c>
      <c r="S36" s="668">
        <v>0.11</v>
      </c>
      <c r="T36" s="670">
        <v>1.4520000000000002</v>
      </c>
      <c r="U36" s="667">
        <v>3.9676079999999998</v>
      </c>
      <c r="V36" s="668">
        <v>0.26064608069742096</v>
      </c>
      <c r="W36" s="668">
        <v>0.43158510746431272</v>
      </c>
      <c r="X36" s="670">
        <v>0.50259501442682852</v>
      </c>
    </row>
    <row r="37" spans="2:24" hidden="1">
      <c r="B37" s="666" t="s">
        <v>266</v>
      </c>
      <c r="C37" s="667">
        <v>7.2709999999999999</v>
      </c>
      <c r="D37" s="668">
        <v>1.6080000000000001</v>
      </c>
      <c r="E37" s="668">
        <v>4.8209999999999997</v>
      </c>
      <c r="F37" s="670">
        <v>4.9355000000000003E-2</v>
      </c>
      <c r="G37" s="667">
        <v>2.8591299999999999</v>
      </c>
      <c r="H37" s="668">
        <v>9.8408699999999989</v>
      </c>
      <c r="I37" s="668">
        <v>1.9</v>
      </c>
      <c r="J37" s="668">
        <v>1.9558065340773994</v>
      </c>
      <c r="K37" s="670">
        <v>3.2791692532333023</v>
      </c>
      <c r="L37" s="667">
        <v>3.2120000000000002</v>
      </c>
      <c r="M37" s="668">
        <v>0.27608400044590781</v>
      </c>
      <c r="N37" s="668">
        <v>0.60839799999999999</v>
      </c>
      <c r="O37" s="670">
        <v>1.57</v>
      </c>
      <c r="P37" s="667">
        <v>8.4680139493041917</v>
      </c>
      <c r="Q37" s="668">
        <v>4.7996634858209504</v>
      </c>
      <c r="R37" s="668">
        <v>4.5565949999999997</v>
      </c>
      <c r="S37" s="668">
        <v>1.21</v>
      </c>
      <c r="T37" s="670">
        <v>1.26</v>
      </c>
      <c r="U37" s="667">
        <v>9.9580000000000002</v>
      </c>
      <c r="V37" s="668">
        <v>0.68632851246682058</v>
      </c>
      <c r="W37" s="668">
        <v>1.0044728532692708</v>
      </c>
      <c r="X37" s="670">
        <v>6.0253062864028539E-3</v>
      </c>
    </row>
    <row r="38" spans="2:24" hidden="1">
      <c r="B38" s="666" t="s">
        <v>267</v>
      </c>
      <c r="C38" s="667">
        <v>754.14</v>
      </c>
      <c r="D38" s="668">
        <v>0</v>
      </c>
      <c r="E38" s="668">
        <v>77.59</v>
      </c>
      <c r="F38" s="670">
        <v>42.84131</v>
      </c>
      <c r="G38" s="667">
        <v>12.563964000000002</v>
      </c>
      <c r="H38" s="668">
        <v>2305.9360360000001</v>
      </c>
      <c r="I38" s="668">
        <v>224.25</v>
      </c>
      <c r="J38" s="668">
        <v>40.53664260440371</v>
      </c>
      <c r="K38" s="670">
        <v>1486.5481676111108</v>
      </c>
      <c r="L38" s="667">
        <v>32.722999999999999</v>
      </c>
      <c r="M38" s="668">
        <v>4.1431098609157688</v>
      </c>
      <c r="N38" s="668">
        <v>6.1440000000000001</v>
      </c>
      <c r="O38" s="670">
        <v>69.016999999999996</v>
      </c>
      <c r="P38" s="667">
        <v>29.123814724292505</v>
      </c>
      <c r="Q38" s="668">
        <v>10</v>
      </c>
      <c r="R38" s="668">
        <v>53.048742857142855</v>
      </c>
      <c r="S38" s="668">
        <v>26</v>
      </c>
      <c r="T38" s="670">
        <v>32.239680000000007</v>
      </c>
      <c r="U38" s="667">
        <v>115.35</v>
      </c>
      <c r="V38" s="668">
        <v>7.4989163415691371E-3</v>
      </c>
      <c r="W38" s="668">
        <v>0.10159688773298656</v>
      </c>
      <c r="X38" s="670">
        <v>0.5981274382314693</v>
      </c>
    </row>
    <row r="39" spans="2:24" hidden="1">
      <c r="B39" s="666" t="s">
        <v>1094</v>
      </c>
      <c r="C39" s="667">
        <v>73.760000000000005</v>
      </c>
      <c r="D39" s="668">
        <v>7.242</v>
      </c>
      <c r="E39" s="668">
        <v>21.138000000000012</v>
      </c>
      <c r="F39" s="670">
        <v>4.8500680000000003</v>
      </c>
      <c r="G39" s="667">
        <v>37.650599999999997</v>
      </c>
      <c r="H39" s="668">
        <v>63.216400000000007</v>
      </c>
      <c r="I39" s="668">
        <v>14.989000000000001</v>
      </c>
      <c r="J39" s="668">
        <v>4.1695241762592605</v>
      </c>
      <c r="K39" s="670">
        <v>111.03192742385076</v>
      </c>
      <c r="L39" s="667">
        <v>3.968</v>
      </c>
      <c r="M39" s="668">
        <v>1.1494746435057883</v>
      </c>
      <c r="N39" s="668">
        <v>0.68716699999999997</v>
      </c>
      <c r="O39" s="670">
        <v>5.9980000000000002</v>
      </c>
      <c r="P39" s="667">
        <v>10.548093215033019</v>
      </c>
      <c r="Q39" s="668">
        <v>3.199263585552544</v>
      </c>
      <c r="R39" s="668">
        <v>21.610062428571428</v>
      </c>
      <c r="S39" s="668">
        <v>2.75</v>
      </c>
      <c r="T39" s="670">
        <v>3.78</v>
      </c>
      <c r="U39" s="667">
        <v>10.333368</v>
      </c>
      <c r="V39" s="668">
        <v>0.17704088071077806</v>
      </c>
      <c r="W39" s="668">
        <v>0.62999512149102099</v>
      </c>
      <c r="X39" s="670">
        <v>0.15351892722682475</v>
      </c>
    </row>
    <row r="40" spans="2:24" hidden="1">
      <c r="B40" s="666" t="s">
        <v>268</v>
      </c>
      <c r="C40" s="667">
        <v>20.795999999999999</v>
      </c>
      <c r="D40" s="668">
        <v>0</v>
      </c>
      <c r="E40" s="668">
        <v>8.3294300000000021</v>
      </c>
      <c r="F40" s="670">
        <v>0.28608899999999998</v>
      </c>
      <c r="G40" s="667">
        <v>16.897198499999998</v>
      </c>
      <c r="H40" s="668">
        <v>35.49050050000001</v>
      </c>
      <c r="I40" s="668">
        <v>8.48</v>
      </c>
      <c r="J40" s="668">
        <v>2.7562825574822671</v>
      </c>
      <c r="K40" s="670">
        <v>50.67047447001277</v>
      </c>
      <c r="L40" s="667">
        <v>0.68</v>
      </c>
      <c r="M40" s="668">
        <v>0.69801684458483615</v>
      </c>
      <c r="N40" s="668">
        <v>0.214</v>
      </c>
      <c r="O40" s="670">
        <v>0.65300000000000002</v>
      </c>
      <c r="P40" s="667">
        <v>1.2924327923019927</v>
      </c>
      <c r="Q40" s="668">
        <v>0.7452536251684031</v>
      </c>
      <c r="R40" s="668">
        <v>6.532538999999999</v>
      </c>
      <c r="S40" s="668">
        <v>0.95</v>
      </c>
      <c r="T40" s="670">
        <v>0.71399999999999997</v>
      </c>
      <c r="U40" s="667">
        <v>10.197934</v>
      </c>
      <c r="V40" s="668">
        <v>3.3276853469896159E-2</v>
      </c>
      <c r="W40" s="668">
        <v>0.30936717697783966</v>
      </c>
      <c r="X40" s="670">
        <v>0.36935596955226413</v>
      </c>
    </row>
    <row r="41" spans="2:24" hidden="1">
      <c r="B41" s="666" t="s">
        <v>269</v>
      </c>
      <c r="C41" s="667">
        <v>43.76400000000001</v>
      </c>
      <c r="D41" s="668">
        <v>29.504999999999999</v>
      </c>
      <c r="E41" s="668">
        <v>28.10199999999999</v>
      </c>
      <c r="F41" s="670">
        <v>3.3803900000000002</v>
      </c>
      <c r="G41" s="667">
        <v>24.9375</v>
      </c>
      <c r="H41" s="668">
        <v>255.0625</v>
      </c>
      <c r="I41" s="668">
        <v>16</v>
      </c>
      <c r="J41" s="668">
        <v>8.6324248131881713</v>
      </c>
      <c r="K41" s="670">
        <v>252.82868924915826</v>
      </c>
      <c r="L41" s="667">
        <v>3.2690000000000001</v>
      </c>
      <c r="M41" s="668">
        <v>0.72082092401680031</v>
      </c>
      <c r="N41" s="668">
        <v>0.81896700000000011</v>
      </c>
      <c r="O41" s="670">
        <v>6.06</v>
      </c>
      <c r="P41" s="667">
        <v>6.9314621708246289</v>
      </c>
      <c r="Q41" s="668">
        <v>1.4</v>
      </c>
      <c r="R41" s="668">
        <v>13.140514285714286</v>
      </c>
      <c r="S41" s="668">
        <v>2.6</v>
      </c>
      <c r="T41" s="670">
        <v>0.56000000000000005</v>
      </c>
      <c r="U41" s="667">
        <v>16.227</v>
      </c>
      <c r="V41" s="668">
        <v>3.1059345535219079E-2</v>
      </c>
      <c r="W41" s="668">
        <v>0.17611388426696248</v>
      </c>
      <c r="X41" s="670">
        <v>0.4928267701978184</v>
      </c>
    </row>
    <row r="42" spans="2:24" hidden="1">
      <c r="B42" s="666" t="s">
        <v>1095</v>
      </c>
      <c r="C42" s="667">
        <v>127.01900000000001</v>
      </c>
      <c r="D42" s="668">
        <v>0</v>
      </c>
      <c r="E42" s="668">
        <v>48.722694999999987</v>
      </c>
      <c r="F42" s="670">
        <v>1.4716479999999998</v>
      </c>
      <c r="G42" s="667">
        <v>2.9683799999999998</v>
      </c>
      <c r="H42" s="668">
        <v>114.83162</v>
      </c>
      <c r="I42" s="668">
        <v>12.4</v>
      </c>
      <c r="J42" s="668">
        <v>8.2830587428303009</v>
      </c>
      <c r="K42" s="670">
        <v>17.899767052941129</v>
      </c>
      <c r="L42" s="667">
        <v>0</v>
      </c>
      <c r="M42" s="668">
        <v>1.8264786265291508</v>
      </c>
      <c r="N42" s="668">
        <v>1.495374</v>
      </c>
      <c r="O42" s="670">
        <v>0.02</v>
      </c>
      <c r="P42" s="667">
        <v>27.668408044552269</v>
      </c>
      <c r="Q42" s="668">
        <v>21.3</v>
      </c>
      <c r="R42" s="668">
        <v>0.87481757142857131</v>
      </c>
      <c r="S42" s="668">
        <v>6</v>
      </c>
      <c r="T42" s="670">
        <v>0.58799999999999997</v>
      </c>
      <c r="U42" s="667">
        <v>37.634999999999998</v>
      </c>
      <c r="V42" s="668">
        <v>2.1395458765482402E-2</v>
      </c>
      <c r="W42" s="668">
        <v>0.23406289117473283</v>
      </c>
      <c r="X42" s="670">
        <v>0.44954165005978469</v>
      </c>
    </row>
    <row r="43" spans="2:24" hidden="1">
      <c r="B43" s="666" t="s">
        <v>1096</v>
      </c>
      <c r="C43" s="667">
        <v>34.709000000000003</v>
      </c>
      <c r="D43" s="668">
        <v>7.7329999999999997</v>
      </c>
      <c r="E43" s="668">
        <v>21.943164000000003</v>
      </c>
      <c r="F43" s="670">
        <v>1.345405</v>
      </c>
      <c r="G43" s="667">
        <v>30.501324</v>
      </c>
      <c r="H43" s="668">
        <v>148.96067599999998</v>
      </c>
      <c r="I43" s="668">
        <v>10.015000000000001</v>
      </c>
      <c r="J43" s="668">
        <v>8.6839718934372669</v>
      </c>
      <c r="K43" s="670">
        <v>61.871495494949407</v>
      </c>
      <c r="L43" s="667">
        <v>1.379</v>
      </c>
      <c r="M43" s="668">
        <v>3.2800970680788413</v>
      </c>
      <c r="N43" s="668">
        <v>0.93834200000000001</v>
      </c>
      <c r="O43" s="670">
        <v>13.012</v>
      </c>
      <c r="P43" s="667">
        <v>4.3735726754482656</v>
      </c>
      <c r="Q43" s="668">
        <v>2.2067352377292058</v>
      </c>
      <c r="R43" s="668">
        <v>8.3770778571428561</v>
      </c>
      <c r="S43" s="668">
        <v>2.2799999999999998</v>
      </c>
      <c r="T43" s="670">
        <v>8.5798199999999998</v>
      </c>
      <c r="U43" s="667">
        <v>22.063074</v>
      </c>
      <c r="V43" s="668">
        <v>3.6328723839841773E-2</v>
      </c>
      <c r="W43" s="668">
        <v>1.2820948557574527</v>
      </c>
      <c r="X43" s="670">
        <v>0.1937691910021242</v>
      </c>
    </row>
    <row r="44" spans="2:24" hidden="1">
      <c r="B44" s="666" t="s">
        <v>270</v>
      </c>
      <c r="C44" s="667">
        <v>13.795999999999999</v>
      </c>
      <c r="D44" s="668">
        <v>33.195</v>
      </c>
      <c r="E44" s="668">
        <v>25.431764999999984</v>
      </c>
      <c r="F44" s="670">
        <v>0.48399999999999999</v>
      </c>
      <c r="G44" s="667">
        <v>17.0268525</v>
      </c>
      <c r="H44" s="668">
        <v>256.17566149999993</v>
      </c>
      <c r="I44" s="668">
        <v>8.4700000000000006</v>
      </c>
      <c r="J44" s="668">
        <v>3.6585808160599465</v>
      </c>
      <c r="K44" s="670">
        <v>72.581826141087987</v>
      </c>
      <c r="L44" s="667">
        <v>5.6360000000000001</v>
      </c>
      <c r="M44" s="668">
        <v>0.21046186170623468</v>
      </c>
      <c r="N44" s="668">
        <v>0.14000000000000001</v>
      </c>
      <c r="O44" s="670">
        <v>2.028</v>
      </c>
      <c r="P44" s="667">
        <v>15.058579502598228</v>
      </c>
      <c r="Q44" s="668">
        <v>3.9</v>
      </c>
      <c r="R44" s="668">
        <v>16.83567557142857</v>
      </c>
      <c r="S44" s="668">
        <v>1.375</v>
      </c>
      <c r="T44" s="670">
        <v>13.888000000000002</v>
      </c>
      <c r="U44" s="667">
        <v>5.9533519999999998</v>
      </c>
      <c r="V44" s="668">
        <v>0</v>
      </c>
      <c r="W44" s="668">
        <v>4.7284286230681469E-2</v>
      </c>
      <c r="X44" s="670">
        <v>0.55000000000000004</v>
      </c>
    </row>
    <row r="45" spans="2:24" hidden="1">
      <c r="B45" s="666" t="s">
        <v>271</v>
      </c>
      <c r="C45" s="667">
        <v>20.628</v>
      </c>
      <c r="D45" s="668">
        <v>0.59199999999999997</v>
      </c>
      <c r="E45" s="668">
        <v>32.32</v>
      </c>
      <c r="F45" s="670">
        <v>1.027717</v>
      </c>
      <c r="G45" s="667">
        <v>14.847987000000002</v>
      </c>
      <c r="H45" s="668">
        <v>306.36001300000004</v>
      </c>
      <c r="I45" s="668">
        <v>3.4460000000000002</v>
      </c>
      <c r="J45" s="668">
        <v>7.0294227473302069</v>
      </c>
      <c r="K45" s="670">
        <v>50.19947393562358</v>
      </c>
      <c r="L45" s="667">
        <v>0.87</v>
      </c>
      <c r="M45" s="668">
        <v>0.48670891663368732</v>
      </c>
      <c r="N45" s="668">
        <v>4.4999999999999998E-2</v>
      </c>
      <c r="O45" s="670">
        <v>2.2000000000000002</v>
      </c>
      <c r="P45" s="667">
        <v>16.3250842289814</v>
      </c>
      <c r="Q45" s="668">
        <v>3.6</v>
      </c>
      <c r="R45" s="668">
        <v>13.080895285714284</v>
      </c>
      <c r="S45" s="668">
        <v>1.44</v>
      </c>
      <c r="T45" s="670">
        <v>2.9370000000000003</v>
      </c>
      <c r="U45" s="667">
        <v>26.385968999999999</v>
      </c>
      <c r="V45" s="668">
        <v>9.510576333013953E-3</v>
      </c>
      <c r="W45" s="668">
        <v>0.40923739536361015</v>
      </c>
      <c r="X45" s="670">
        <v>0.3141447283668074</v>
      </c>
    </row>
    <row r="46" spans="2:24" hidden="1">
      <c r="B46" s="666" t="s">
        <v>563</v>
      </c>
      <c r="C46" s="667">
        <v>25.788</v>
      </c>
      <c r="D46" s="668">
        <v>2</v>
      </c>
      <c r="E46" s="668">
        <v>53.852000000000004</v>
      </c>
      <c r="F46" s="670">
        <v>0.38839999999999997</v>
      </c>
      <c r="G46" s="667">
        <v>5.3761599999999969</v>
      </c>
      <c r="H46" s="668">
        <v>83.123840000000001</v>
      </c>
      <c r="I46" s="668">
        <v>17.7</v>
      </c>
      <c r="J46" s="668">
        <v>23.433187620045313</v>
      </c>
      <c r="K46" s="670">
        <v>30.145299666292551</v>
      </c>
      <c r="L46" s="667">
        <v>0.74099999999999999</v>
      </c>
      <c r="M46" s="668">
        <v>0.86381159420289855</v>
      </c>
      <c r="N46" s="668">
        <v>0.13200000000000001</v>
      </c>
      <c r="O46" s="670">
        <v>1.43</v>
      </c>
      <c r="P46" s="667">
        <v>51.581114870235204</v>
      </c>
      <c r="Q46" s="668">
        <v>33.858233420311464</v>
      </c>
      <c r="R46" s="668">
        <v>14.113885714285713</v>
      </c>
      <c r="S46" s="668">
        <v>15.487200000000001</v>
      </c>
      <c r="T46" s="670">
        <v>4.8</v>
      </c>
      <c r="U46" s="667">
        <v>72.044539</v>
      </c>
      <c r="V46" s="668">
        <v>3.9649685286754263E-2</v>
      </c>
      <c r="W46" s="668">
        <v>0.64859317646575132</v>
      </c>
      <c r="X46" s="670">
        <v>0.11675713824749445</v>
      </c>
    </row>
    <row r="47" spans="2:24" hidden="1">
      <c r="B47" s="666" t="s">
        <v>705</v>
      </c>
      <c r="C47" s="667">
        <v>76.066000000000003</v>
      </c>
      <c r="D47" s="668">
        <v>0.6</v>
      </c>
      <c r="E47" s="668">
        <v>58.38306399999999</v>
      </c>
      <c r="F47" s="670">
        <v>0.81520000000000004</v>
      </c>
      <c r="G47" s="667">
        <v>26.983620000000005</v>
      </c>
      <c r="H47" s="668">
        <v>98.837888000000021</v>
      </c>
      <c r="I47" s="668">
        <v>19.02</v>
      </c>
      <c r="J47" s="668">
        <v>34.556541172691659</v>
      </c>
      <c r="K47" s="670">
        <v>162.46632986418456</v>
      </c>
      <c r="L47" s="667">
        <v>2.5369999999999999</v>
      </c>
      <c r="M47" s="668">
        <v>1.0015096695434562</v>
      </c>
      <c r="N47" s="668">
        <v>1.508</v>
      </c>
      <c r="O47" s="670">
        <v>6.5350000000000001</v>
      </c>
      <c r="P47" s="667">
        <v>38.307124103398571</v>
      </c>
      <c r="Q47" s="668">
        <v>15.758194229906499</v>
      </c>
      <c r="R47" s="668">
        <v>10.804422857142857</v>
      </c>
      <c r="S47" s="668">
        <v>9</v>
      </c>
      <c r="T47" s="670">
        <v>2.3940000000000006</v>
      </c>
      <c r="U47" s="667">
        <v>63.765611999999997</v>
      </c>
      <c r="V47" s="668">
        <v>4.9291785788141779E-2</v>
      </c>
      <c r="W47" s="668">
        <v>0.14943253182681346</v>
      </c>
      <c r="X47" s="670">
        <v>0.51227568238504473</v>
      </c>
    </row>
    <row r="48" spans="2:24" hidden="1">
      <c r="B48" s="666" t="s">
        <v>1097</v>
      </c>
      <c r="C48" s="667">
        <v>0</v>
      </c>
      <c r="D48" s="668">
        <v>0</v>
      </c>
      <c r="E48" s="668">
        <v>0</v>
      </c>
      <c r="F48" s="670">
        <v>0</v>
      </c>
      <c r="G48" s="667">
        <v>0.82062500000000005</v>
      </c>
      <c r="H48" s="668">
        <v>1.5385059999999995</v>
      </c>
      <c r="I48" s="668">
        <v>9.1999999999999998E-2</v>
      </c>
      <c r="J48" s="668">
        <v>0.32485701168842396</v>
      </c>
      <c r="K48" s="670">
        <v>4.7165731371428574</v>
      </c>
      <c r="L48" s="667">
        <v>0</v>
      </c>
      <c r="M48" s="668">
        <v>0</v>
      </c>
      <c r="N48" s="668">
        <v>0</v>
      </c>
      <c r="O48" s="670">
        <v>0</v>
      </c>
      <c r="P48" s="667">
        <v>0</v>
      </c>
      <c r="Q48" s="668">
        <v>0</v>
      </c>
      <c r="R48" s="668">
        <v>0</v>
      </c>
      <c r="S48" s="668">
        <v>0</v>
      </c>
      <c r="T48" s="670">
        <v>0</v>
      </c>
      <c r="U48" s="667">
        <v>0.14699999999999999</v>
      </c>
      <c r="V48" s="668">
        <v>5.2857142857142853E-2</v>
      </c>
      <c r="W48" s="668">
        <v>0</v>
      </c>
      <c r="X48" s="670">
        <v>0.55000000000000004</v>
      </c>
    </row>
    <row r="49" spans="1:28" hidden="1">
      <c r="B49" s="666" t="s">
        <v>86</v>
      </c>
      <c r="C49" s="667">
        <v>2.7</v>
      </c>
      <c r="D49" s="668">
        <v>0</v>
      </c>
      <c r="E49" s="668">
        <v>1.3031999999999995</v>
      </c>
      <c r="F49" s="670">
        <v>0.48</v>
      </c>
      <c r="G49" s="667">
        <v>0</v>
      </c>
      <c r="H49" s="668">
        <v>1.510974</v>
      </c>
      <c r="I49" s="668">
        <v>0.49989999999999996</v>
      </c>
      <c r="J49" s="668">
        <v>0.32485701168842396</v>
      </c>
      <c r="K49" s="670">
        <v>1.6530295542857141</v>
      </c>
      <c r="L49" s="667">
        <v>0</v>
      </c>
      <c r="M49" s="668">
        <v>0.15645044851094367</v>
      </c>
      <c r="N49" s="668">
        <v>0.28499200000000002</v>
      </c>
      <c r="O49" s="670">
        <v>0</v>
      </c>
      <c r="P49" s="667">
        <v>0.43014715401364156</v>
      </c>
      <c r="Q49" s="668">
        <v>0.14319767101260772</v>
      </c>
      <c r="R49" s="668">
        <v>9.4903714285714286E-2</v>
      </c>
      <c r="S49" s="668">
        <v>0.09</v>
      </c>
      <c r="T49" s="670">
        <v>0</v>
      </c>
      <c r="U49" s="667">
        <v>10.276018000000001</v>
      </c>
      <c r="V49" s="668">
        <v>0.25979158942042996</v>
      </c>
      <c r="W49" s="668">
        <v>0.8201987336794323</v>
      </c>
      <c r="X49" s="670">
        <v>4.0009676900137903E-2</v>
      </c>
    </row>
    <row r="50" spans="1:28" hidden="1">
      <c r="B50" s="666" t="s">
        <v>1098</v>
      </c>
      <c r="C50" s="667">
        <v>0</v>
      </c>
      <c r="D50" s="668">
        <v>0</v>
      </c>
      <c r="E50" s="668">
        <v>0.61</v>
      </c>
      <c r="F50" s="670">
        <v>0.95899999999999996</v>
      </c>
      <c r="G50" s="667">
        <v>0</v>
      </c>
      <c r="H50" s="668">
        <v>1.924388</v>
      </c>
      <c r="I50" s="668">
        <v>0.41399999999999998</v>
      </c>
      <c r="J50" s="668">
        <v>0.11911423761908879</v>
      </c>
      <c r="K50" s="670">
        <v>2.4672129028571428</v>
      </c>
      <c r="L50" s="667">
        <v>1.23</v>
      </c>
      <c r="M50" s="668">
        <v>2.4371657892558705E-2</v>
      </c>
      <c r="N50" s="668">
        <v>0.17208600000000002</v>
      </c>
      <c r="O50" s="670">
        <v>0</v>
      </c>
      <c r="P50" s="667">
        <v>0.56718567994914826</v>
      </c>
      <c r="Q50" s="668">
        <v>0.23001273623410753</v>
      </c>
      <c r="R50" s="668">
        <v>0.36501428571428568</v>
      </c>
      <c r="S50" s="668">
        <v>0.25</v>
      </c>
      <c r="T50" s="670">
        <v>0.94499999999999995</v>
      </c>
      <c r="U50" s="667">
        <v>1.097</v>
      </c>
      <c r="V50" s="668">
        <v>0.69053315783215707</v>
      </c>
      <c r="W50" s="668">
        <v>0.27118060698096952</v>
      </c>
      <c r="X50" s="670">
        <v>8.0000000000000127E-2</v>
      </c>
    </row>
    <row r="51" spans="1:28" hidden="1">
      <c r="B51" s="666" t="s">
        <v>1099</v>
      </c>
      <c r="C51" s="667">
        <v>3.0780000000000003</v>
      </c>
      <c r="D51" s="668">
        <v>0.10299999999999999</v>
      </c>
      <c r="E51" s="668">
        <v>1.5323669999999998</v>
      </c>
      <c r="F51" s="670">
        <v>7.909999999999999E-2</v>
      </c>
      <c r="G51" s="667">
        <v>0</v>
      </c>
      <c r="H51" s="668">
        <v>3.0674000000000001</v>
      </c>
      <c r="I51" s="668">
        <v>0.71</v>
      </c>
      <c r="J51" s="668">
        <v>0.40890185203904178</v>
      </c>
      <c r="K51" s="670">
        <v>2.036045531428571</v>
      </c>
      <c r="L51" s="667">
        <v>0.123</v>
      </c>
      <c r="M51" s="668">
        <v>0.1951271151465126</v>
      </c>
      <c r="N51" s="668">
        <v>0</v>
      </c>
      <c r="O51" s="670">
        <v>0</v>
      </c>
      <c r="P51" s="667">
        <v>1.0061899886862045</v>
      </c>
      <c r="Q51" s="668">
        <v>0.35765312862792698</v>
      </c>
      <c r="R51" s="668">
        <v>0</v>
      </c>
      <c r="S51" s="668">
        <v>0.09</v>
      </c>
      <c r="T51" s="670">
        <v>0</v>
      </c>
      <c r="U51" s="667">
        <v>10.261010000000001</v>
      </c>
      <c r="V51" s="668">
        <v>0.30698759239955958</v>
      </c>
      <c r="W51" s="668">
        <v>0.8777885651131998</v>
      </c>
      <c r="X51" s="670">
        <v>2.4364073322216795E-2</v>
      </c>
    </row>
    <row r="52" spans="1:28" hidden="1">
      <c r="B52" s="673" t="s">
        <v>1341</v>
      </c>
      <c r="C52" s="674">
        <v>0</v>
      </c>
      <c r="D52" s="675">
        <v>0</v>
      </c>
      <c r="E52" s="675">
        <v>0</v>
      </c>
      <c r="F52" s="676">
        <v>0</v>
      </c>
      <c r="G52" s="674">
        <v>0</v>
      </c>
      <c r="H52" s="675">
        <v>0</v>
      </c>
      <c r="I52" s="675">
        <v>0</v>
      </c>
      <c r="J52" s="675">
        <v>0</v>
      </c>
      <c r="K52" s="676">
        <v>0</v>
      </c>
      <c r="L52" s="674">
        <v>0</v>
      </c>
      <c r="M52" s="675">
        <v>0</v>
      </c>
      <c r="N52" s="675">
        <v>0</v>
      </c>
      <c r="O52" s="676">
        <v>0</v>
      </c>
      <c r="P52" s="674">
        <v>0</v>
      </c>
      <c r="Q52" s="675">
        <v>0</v>
      </c>
      <c r="R52" s="675">
        <v>0</v>
      </c>
      <c r="S52" s="675">
        <v>0</v>
      </c>
      <c r="T52" s="676">
        <v>0</v>
      </c>
      <c r="U52" s="674">
        <v>0</v>
      </c>
      <c r="V52" s="675">
        <v>0</v>
      </c>
      <c r="W52" s="675">
        <v>0</v>
      </c>
      <c r="X52" s="676">
        <v>0</v>
      </c>
    </row>
    <row r="53" spans="1:28" hidden="1">
      <c r="B53" s="677" t="s">
        <v>278</v>
      </c>
      <c r="C53" s="678">
        <f t="shared" ref="C53:X53" si="1">SUM(C35:C51)</f>
        <v>1213.2270000000001</v>
      </c>
      <c r="D53" s="648">
        <f t="shared" si="1"/>
        <v>88.72999999999999</v>
      </c>
      <c r="E53" s="648">
        <f t="shared" si="1"/>
        <v>389.15290099999999</v>
      </c>
      <c r="F53" s="648">
        <f t="shared" si="1"/>
        <v>62.914467999999992</v>
      </c>
      <c r="G53" s="678">
        <f t="shared" si="1"/>
        <v>218.77745349999998</v>
      </c>
      <c r="H53" s="648">
        <f t="shared" si="1"/>
        <v>3878.0751604999996</v>
      </c>
      <c r="I53" s="648">
        <f t="shared" si="1"/>
        <v>344.18989999999997</v>
      </c>
      <c r="J53" s="648">
        <f t="shared" si="1"/>
        <v>150.60058605391981</v>
      </c>
      <c r="K53" s="679">
        <f t="shared" si="1"/>
        <v>2358.4377607370002</v>
      </c>
      <c r="L53" s="678">
        <f t="shared" si="1"/>
        <v>59.841999999999985</v>
      </c>
      <c r="M53" s="648">
        <f t="shared" si="1"/>
        <v>16.677522978833832</v>
      </c>
      <c r="N53" s="648">
        <f t="shared" si="1"/>
        <v>13.735238000000001</v>
      </c>
      <c r="O53" s="679">
        <f t="shared" si="1"/>
        <v>129.00900000000001</v>
      </c>
      <c r="P53" s="680">
        <f t="shared" si="1"/>
        <v>213.18801190773939</v>
      </c>
      <c r="Q53" s="656">
        <f t="shared" si="1"/>
        <v>102.07265074279559</v>
      </c>
      <c r="R53" s="656">
        <f t="shared" si="1"/>
        <v>172.29891000000001</v>
      </c>
      <c r="S53" s="656">
        <f t="shared" si="1"/>
        <v>70.532200000000003</v>
      </c>
      <c r="T53" s="654">
        <f t="shared" si="1"/>
        <v>76.097499999999997</v>
      </c>
      <c r="U53" s="678">
        <f t="shared" si="1"/>
        <v>419.09403499999996</v>
      </c>
      <c r="V53" s="648">
        <f t="shared" si="1"/>
        <v>2.72870029759012</v>
      </c>
      <c r="W53" s="648">
        <f t="shared" si="1"/>
        <v>8.0377985549352076</v>
      </c>
      <c r="X53" s="679">
        <f t="shared" si="1"/>
        <v>5.0420130892191555</v>
      </c>
    </row>
    <row r="54" spans="1:28" hidden="1">
      <c r="E54" s="681"/>
      <c r="G54" s="681"/>
      <c r="H54" s="681"/>
    </row>
    <row r="55" spans="1:28" hidden="1">
      <c r="E55" s="681"/>
    </row>
    <row r="56" spans="1:28" hidden="1">
      <c r="B56" s="613" t="s">
        <v>351</v>
      </c>
      <c r="F56" s="612" t="s">
        <v>349</v>
      </c>
      <c r="I56" s="612" t="s">
        <v>246</v>
      </c>
      <c r="M56" s="612" t="s">
        <v>352</v>
      </c>
      <c r="Q56" s="612" t="s">
        <v>46</v>
      </c>
      <c r="R56" s="613">
        <v>9</v>
      </c>
      <c r="T56" s="612" t="s">
        <v>691</v>
      </c>
      <c r="AB56" s="614" t="s">
        <v>1317</v>
      </c>
    </row>
    <row r="57" spans="1:28" hidden="1">
      <c r="E57" s="613" t="s">
        <v>449</v>
      </c>
      <c r="F57" s="613" t="s">
        <v>348</v>
      </c>
      <c r="G57" s="613" t="s">
        <v>403</v>
      </c>
      <c r="H57" s="613" t="s">
        <v>284</v>
      </c>
      <c r="I57" s="613" t="s">
        <v>245</v>
      </c>
      <c r="J57" s="613" t="s">
        <v>243</v>
      </c>
      <c r="K57" s="613" t="s">
        <v>244</v>
      </c>
      <c r="M57" s="613" t="s">
        <v>245</v>
      </c>
      <c r="N57" s="613" t="s">
        <v>243</v>
      </c>
      <c r="O57" s="613" t="s">
        <v>244</v>
      </c>
      <c r="R57" s="613" t="s">
        <v>283</v>
      </c>
      <c r="U57" s="613" t="s">
        <v>243</v>
      </c>
      <c r="V57" s="613" t="s">
        <v>244</v>
      </c>
      <c r="X57" s="613" t="s">
        <v>279</v>
      </c>
      <c r="Z57" s="613" t="s">
        <v>280</v>
      </c>
      <c r="AB57" s="614" t="s">
        <v>403</v>
      </c>
    </row>
    <row r="58" spans="1:28" hidden="1">
      <c r="A58" s="613">
        <v>2</v>
      </c>
      <c r="B58" s="613" t="str">
        <f t="shared" ref="B58:B82" si="2">LEFT(C58,3)</f>
        <v>IIS</v>
      </c>
      <c r="C58" s="613" t="s">
        <v>213</v>
      </c>
      <c r="D58" s="613" t="s">
        <v>261</v>
      </c>
      <c r="E58" s="613" t="s">
        <v>961</v>
      </c>
      <c r="F58" s="682">
        <f>INDEX($D$28:$P$28,A58-1)</f>
        <v>7.2</v>
      </c>
      <c r="G58" s="683">
        <f>INDEX($D$29:$P$29,A58-1)*(F58/INDEX($D$27:$P$27,A58-1))^0.2</f>
        <v>1.1954406247375462</v>
      </c>
      <c r="H58" s="684">
        <f>INDEX($C$35:$X$52,RegIndex,$A58-1)</f>
        <v>2.7</v>
      </c>
      <c r="I58" s="685">
        <v>0.65</v>
      </c>
      <c r="J58" s="686">
        <f ca="1">(G58-F58*I58*Calibrati2!C9)/(F58*Calibrati2!C$14)</f>
        <v>0.18448157789159661</v>
      </c>
      <c r="K58" s="685">
        <f t="shared" ref="K58:K83" si="3">1-J58-I58</f>
        <v>0.1655184221084034</v>
      </c>
      <c r="M58" s="687">
        <f t="shared" ref="M58:M83" si="4">$H58*$F58*I58</f>
        <v>12.636000000000001</v>
      </c>
      <c r="N58" s="641">
        <f t="shared" ref="N58:N83" si="5">$H58*$F58*J58</f>
        <v>3.5863218742126381</v>
      </c>
      <c r="O58" s="688">
        <f t="shared" ref="O58:O83" si="6">$H58*$F58*K58</f>
        <v>3.2176781257873621</v>
      </c>
      <c r="Q58" s="623" t="s">
        <v>961</v>
      </c>
      <c r="R58" s="689">
        <f t="shared" ref="R58:R92" si="7">VLOOKUP(Q58,$E$58:$M$93,R$56,FALSE)</f>
        <v>12.636000000000001</v>
      </c>
      <c r="T58" s="613" t="s">
        <v>961</v>
      </c>
      <c r="U58" s="690">
        <f t="shared" ref="U58:V62" si="8">IF(N58,N58/SUMIF($B$58:$B$76,LEFT($T58,3),N$58:N$76),0)</f>
        <v>0.42007132113067591</v>
      </c>
      <c r="V58" s="691">
        <f t="shared" si="8"/>
        <v>0.50824103661779485</v>
      </c>
      <c r="X58" s="613">
        <v>4.2</v>
      </c>
      <c r="Y58" s="613">
        <v>1.74</v>
      </c>
      <c r="AB58" s="692">
        <f ca="1">F58*(I58*Calibrati2!C9+J58*Calibrati2!C$14)</f>
        <v>1.1954406247375462</v>
      </c>
    </row>
    <row r="59" spans="1:28" hidden="1">
      <c r="A59" s="613">
        <f>A58+1</f>
        <v>3</v>
      </c>
      <c r="B59" s="613" t="str">
        <f t="shared" si="2"/>
        <v>IIS</v>
      </c>
      <c r="C59" s="613" t="s">
        <v>367</v>
      </c>
      <c r="D59" s="613" t="s">
        <v>262</v>
      </c>
      <c r="E59" s="613" t="s">
        <v>368</v>
      </c>
      <c r="F59" s="682">
        <f>INDEX($D$28:$P$28,A59-1)</f>
        <v>16.600000000000001</v>
      </c>
      <c r="G59" s="683">
        <f>INDEX($D$29:$P$29,A59-1)*SQRT(F59/INDEX($D$27:$P$27,A59-1))</f>
        <v>3.3</v>
      </c>
      <c r="H59" s="684">
        <f>INDEX($C$35:$X$52,RegIndex,$A59-1)</f>
        <v>0</v>
      </c>
      <c r="I59" s="685">
        <v>0.8</v>
      </c>
      <c r="J59" s="686">
        <f ca="1">(G59-F59*I59*Calibrati2!C10)/(F59*Calibrati2!C$14)</f>
        <v>0.13199464524765725</v>
      </c>
      <c r="K59" s="685">
        <f t="shared" si="3"/>
        <v>6.8005354752342706E-2</v>
      </c>
      <c r="M59" s="687">
        <f t="shared" si="4"/>
        <v>0</v>
      </c>
      <c r="N59" s="641">
        <f t="shared" si="5"/>
        <v>0</v>
      </c>
      <c r="O59" s="688">
        <f t="shared" si="6"/>
        <v>0</v>
      </c>
      <c r="Q59" s="623" t="s">
        <v>368</v>
      </c>
      <c r="R59" s="689">
        <f t="shared" si="7"/>
        <v>0</v>
      </c>
      <c r="T59" s="613" t="s">
        <v>368</v>
      </c>
      <c r="U59" s="690">
        <f t="shared" si="8"/>
        <v>0</v>
      </c>
      <c r="V59" s="691">
        <f t="shared" si="8"/>
        <v>0</v>
      </c>
      <c r="X59" s="613">
        <v>12.4</v>
      </c>
      <c r="Y59" s="613">
        <f>8.36+1.483</f>
        <v>9.843</v>
      </c>
      <c r="AB59" s="692">
        <f ca="1">F59*(I59*Calibrati2!C10+J59*Calibrati2!C$14)</f>
        <v>3.3</v>
      </c>
    </row>
    <row r="60" spans="1:28" hidden="1">
      <c r="A60" s="613">
        <f>A59+1</f>
        <v>4</v>
      </c>
      <c r="B60" s="613" t="str">
        <f t="shared" si="2"/>
        <v>IIS</v>
      </c>
      <c r="C60" s="613" t="s">
        <v>365</v>
      </c>
      <c r="D60" s="613" t="s">
        <v>263</v>
      </c>
      <c r="E60" s="613" t="s">
        <v>366</v>
      </c>
      <c r="F60" s="682">
        <f>INDEX($D$28:$P$28,A60-1)</f>
        <v>5.9</v>
      </c>
      <c r="G60" s="683">
        <f>INDEX($D$29:$P$29,A60-1)*SQRT(F60/INDEX($D$27:$P$27,A60-1))</f>
        <v>3.3240108303072664</v>
      </c>
      <c r="H60" s="684">
        <f>INDEX($C$35:$X$52,RegIndex,$A60-1)</f>
        <v>1.3031999999999995</v>
      </c>
      <c r="I60" s="685">
        <v>0.5</v>
      </c>
      <c r="J60" s="686">
        <f ca="1">(G60-F60*I60*Calibrati2!C11)/(F60*Calibrati2!C$14)</f>
        <v>0.34821296239308214</v>
      </c>
      <c r="K60" s="685">
        <f t="shared" si="3"/>
        <v>0.15178703760691792</v>
      </c>
      <c r="M60" s="687">
        <f t="shared" si="4"/>
        <v>3.8444399999999987</v>
      </c>
      <c r="N60" s="641">
        <f t="shared" si="5"/>
        <v>2.6773676822849204</v>
      </c>
      <c r="O60" s="688">
        <f t="shared" si="6"/>
        <v>1.1670723177150786</v>
      </c>
      <c r="Q60" s="623" t="s">
        <v>366</v>
      </c>
      <c r="R60" s="689">
        <f t="shared" si="7"/>
        <v>3.8444399999999987</v>
      </c>
      <c r="T60" s="613" t="s">
        <v>366</v>
      </c>
      <c r="U60" s="690">
        <f t="shared" si="8"/>
        <v>0.31360413785974584</v>
      </c>
      <c r="V60" s="691">
        <f t="shared" si="8"/>
        <v>0.18434225592974743</v>
      </c>
      <c r="X60" s="613">
        <v>3</v>
      </c>
      <c r="Y60" s="613">
        <v>1.2889999999999999</v>
      </c>
      <c r="AB60" s="692">
        <f ca="1">F60*(I60*Calibrati2!C11+J60*Calibrati2!C$14)</f>
        <v>3.3240108303072664</v>
      </c>
    </row>
    <row r="61" spans="1:28" hidden="1">
      <c r="A61" s="613">
        <f>A60+1</f>
        <v>5</v>
      </c>
      <c r="B61" s="613" t="str">
        <f t="shared" si="2"/>
        <v>IIS</v>
      </c>
      <c r="C61" s="613" t="s">
        <v>409</v>
      </c>
      <c r="D61" s="613" t="s">
        <v>408</v>
      </c>
      <c r="E61" s="613" t="s">
        <v>410</v>
      </c>
      <c r="F61" s="682">
        <f>INDEX($D$28:$P$28,A61-1)</f>
        <v>33</v>
      </c>
      <c r="G61" s="683">
        <f>INDEX($D$29:$P$29,A61-1)/INDEX($D$27:$P$27,A61-1)*F61</f>
        <v>12.025766871165642</v>
      </c>
      <c r="H61" s="684">
        <f>INDEX($C$35:$X$52,RegIndex,$A61-1)</f>
        <v>0.48</v>
      </c>
      <c r="I61" s="685">
        <v>0.85</v>
      </c>
      <c r="J61" s="686">
        <f ca="1">(G61-F61*I61*Calibrati2!C12)/(F61*Calibrati2!C$14)</f>
        <v>2.7130197682344821E-2</v>
      </c>
      <c r="K61" s="685">
        <f t="shared" si="3"/>
        <v>0.12286980231765521</v>
      </c>
      <c r="M61" s="687">
        <f t="shared" si="4"/>
        <v>13.464</v>
      </c>
      <c r="N61" s="641">
        <f t="shared" si="5"/>
        <v>0.42974233128834194</v>
      </c>
      <c r="O61" s="688">
        <f t="shared" si="6"/>
        <v>1.9462576687116584</v>
      </c>
      <c r="Q61" s="623" t="s">
        <v>410</v>
      </c>
      <c r="R61" s="689">
        <f t="shared" si="7"/>
        <v>13.464</v>
      </c>
      <c r="T61" s="613" t="s">
        <v>410</v>
      </c>
      <c r="U61" s="690">
        <f t="shared" si="8"/>
        <v>5.033637112946069E-2</v>
      </c>
      <c r="V61" s="691">
        <f t="shared" si="8"/>
        <v>0.30741670745245775</v>
      </c>
      <c r="AB61" s="692">
        <f ca="1">F61*(I61*Calibrati2!C12+J61*Calibrati2!C$14)</f>
        <v>12.025766871165642</v>
      </c>
    </row>
    <row r="62" spans="1:28" hidden="1">
      <c r="B62" s="613" t="str">
        <f t="shared" si="2"/>
        <v>IIS</v>
      </c>
      <c r="C62" s="613" t="s">
        <v>1285</v>
      </c>
      <c r="D62" s="613" t="s">
        <v>560</v>
      </c>
      <c r="E62" s="613" t="s">
        <v>1286</v>
      </c>
      <c r="F62" s="693">
        <f ca="1">MAX(G62,Calibrati2!T57-SUM(M58:O61))</f>
        <v>1.8439799606582934</v>
      </c>
      <c r="G62" s="694">
        <f ca="1">MAX(0,AuxData!B28-SUMPRODUCT(H58:H61,F58:F61,I58:I61*Calibrati2!C9:C12+J58:J61*Calibrati2!C14))</f>
        <v>1.8439799606582934</v>
      </c>
      <c r="H62" s="684">
        <v>1</v>
      </c>
      <c r="I62" s="695">
        <f ca="1">IF(F62&gt;0,MIN(1-J62,(G62-F62*J62*Calibrati2!C14)/Calibrati2!C13/F62),0)</f>
        <v>0</v>
      </c>
      <c r="J62" s="696">
        <f ca="1">IF(F62&gt;0,(G62/F62)^1.5,1)</f>
        <v>1</v>
      </c>
      <c r="K62" s="685">
        <f t="shared" si="3"/>
        <v>0</v>
      </c>
      <c r="M62" s="687">
        <f t="shared" si="4"/>
        <v>0</v>
      </c>
      <c r="N62" s="641">
        <f t="shared" si="5"/>
        <v>1.8439799606582934</v>
      </c>
      <c r="O62" s="688">
        <f t="shared" si="6"/>
        <v>0</v>
      </c>
      <c r="Q62" s="623" t="s">
        <v>1286</v>
      </c>
      <c r="R62" s="689">
        <f t="shared" si="7"/>
        <v>0</v>
      </c>
      <c r="T62" s="613" t="s">
        <v>1286</v>
      </c>
      <c r="U62" s="690">
        <f t="shared" si="8"/>
        <v>0.2159881698801176</v>
      </c>
      <c r="V62" s="691">
        <f t="shared" si="8"/>
        <v>0</v>
      </c>
      <c r="AB62" s="692"/>
    </row>
    <row r="63" spans="1:28" hidden="1">
      <c r="A63" s="613">
        <f>A61+1</f>
        <v>6</v>
      </c>
      <c r="B63" s="613" t="str">
        <f t="shared" si="2"/>
        <v>INM</v>
      </c>
      <c r="C63" s="613" t="s">
        <v>215</v>
      </c>
      <c r="D63" s="613" t="s">
        <v>214</v>
      </c>
      <c r="E63" s="613" t="s">
        <v>964</v>
      </c>
      <c r="F63" s="682">
        <f ca="1">INDEX($D$28:$P$28,A63-1)</f>
        <v>5.6040000000000001</v>
      </c>
      <c r="G63" s="697">
        <f ca="1">INDEX($D$29:$P$29,A63-1)</f>
        <v>0.52200000000000002</v>
      </c>
      <c r="H63" s="684">
        <f ca="1">INDEX($C$35:$X$52,RegIndex,$A63-1)</f>
        <v>0</v>
      </c>
      <c r="I63" s="685">
        <v>0.87</v>
      </c>
      <c r="J63" s="686">
        <f ca="1">(G63-F63*I63*Calibrati2!C16)/(F63*Calibrati2!C$21)</f>
        <v>9.7028907922912216E-2</v>
      </c>
      <c r="K63" s="685">
        <f t="shared" si="3"/>
        <v>3.2971092077087816E-2</v>
      </c>
      <c r="M63" s="687">
        <f t="shared" si="4"/>
        <v>0</v>
      </c>
      <c r="N63" s="641">
        <f t="shared" si="5"/>
        <v>0</v>
      </c>
      <c r="O63" s="688">
        <f t="shared" si="6"/>
        <v>0</v>
      </c>
      <c r="Q63" s="623" t="s">
        <v>962</v>
      </c>
      <c r="R63" s="689">
        <f t="shared" si="7"/>
        <v>8.5374118484441937</v>
      </c>
      <c r="T63" s="613" t="s">
        <v>964</v>
      </c>
      <c r="U63" s="690">
        <f t="shared" ref="U63:V67" si="9">N63/SUMIF($B$58:$B$76,LEFT($T63,3),N$58:N$76)</f>
        <v>0</v>
      </c>
      <c r="V63" s="691">
        <f t="shared" si="9"/>
        <v>0</v>
      </c>
      <c r="X63" s="613">
        <v>5</v>
      </c>
      <c r="Y63" s="613">
        <v>5.8</v>
      </c>
      <c r="AB63" s="692">
        <f ca="1">F63*(I63*Calibrati2!C16+J63*Calibrati2!C$21)</f>
        <v>0.52200000000000002</v>
      </c>
    </row>
    <row r="64" spans="1:28" hidden="1">
      <c r="A64" s="613">
        <f t="shared" ref="A64:A76" si="10">A63+1</f>
        <v>7</v>
      </c>
      <c r="B64" s="613" t="str">
        <f t="shared" si="2"/>
        <v>INM</v>
      </c>
      <c r="C64" s="613" t="s">
        <v>217</v>
      </c>
      <c r="D64" s="613" t="s">
        <v>216</v>
      </c>
      <c r="E64" s="613" t="s">
        <v>965</v>
      </c>
      <c r="F64" s="682">
        <f ca="1">INDEX($D$28:$P$28,A64-1)</f>
        <v>3.504</v>
      </c>
      <c r="G64" s="697">
        <f ca="1">INDEX($D$29:$P$29,A64-1)</f>
        <v>0.52200000000000002</v>
      </c>
      <c r="H64" s="684">
        <f ca="1">INDEX($C$35:$X$52,RegIndex,$A64-1)</f>
        <v>1.510974</v>
      </c>
      <c r="I64" s="685">
        <v>0.82</v>
      </c>
      <c r="J64" s="686">
        <f ca="1">(G64-F64*I64*Calibrati2!C17)/(F64*Calibrati2!C$21)</f>
        <v>0.15517979452054798</v>
      </c>
      <c r="K64" s="685">
        <f t="shared" si="3"/>
        <v>2.4820205479452073E-2</v>
      </c>
      <c r="M64" s="687">
        <f t="shared" si="4"/>
        <v>4.3414513747200001</v>
      </c>
      <c r="N64" s="641">
        <f t="shared" si="5"/>
        <v>0.82159211250000019</v>
      </c>
      <c r="O64" s="688">
        <f t="shared" si="6"/>
        <v>0.1314094087800001</v>
      </c>
      <c r="Q64" s="623" t="s">
        <v>963</v>
      </c>
      <c r="R64" s="689">
        <f t="shared" si="7"/>
        <v>6.3310081122140991</v>
      </c>
      <c r="T64" s="613" t="s">
        <v>965</v>
      </c>
      <c r="U64" s="690">
        <f t="shared" si="9"/>
        <v>0.40250016166575925</v>
      </c>
      <c r="V64" s="691">
        <f t="shared" si="9"/>
        <v>0.10958215202046657</v>
      </c>
      <c r="X64" s="613">
        <v>3</v>
      </c>
      <c r="Y64" s="613">
        <v>3.7</v>
      </c>
      <c r="Z64" s="613">
        <v>3.2</v>
      </c>
      <c r="AB64" s="692">
        <f ca="1">F64*(I64*Calibrati2!C17+J64*Calibrati2!C$21)</f>
        <v>0.52200000000000002</v>
      </c>
    </row>
    <row r="65" spans="1:28" hidden="1">
      <c r="A65" s="613">
        <f t="shared" si="10"/>
        <v>8</v>
      </c>
      <c r="B65" s="613" t="str">
        <f t="shared" si="2"/>
        <v>INM</v>
      </c>
      <c r="C65" s="613" t="s">
        <v>411</v>
      </c>
      <c r="D65" s="613" t="s">
        <v>413</v>
      </c>
      <c r="E65" s="613" t="s">
        <v>412</v>
      </c>
      <c r="F65" s="682">
        <f ca="1">INDEX($D$28:$P$28,A65-1)</f>
        <v>4.67</v>
      </c>
      <c r="G65" s="697">
        <f ca="1">INDEX($D$29:$P$29,A65-1)</f>
        <v>0.27</v>
      </c>
      <c r="H65" s="684">
        <f ca="1">INDEX($C$35:$X$52,RegIndex,$A65-1)</f>
        <v>0.49989999999999996</v>
      </c>
      <c r="I65" s="685">
        <v>0.9</v>
      </c>
      <c r="J65" s="686">
        <f ca="1">(G65-F65*I65*Calibrati2!C18)/(F65*Calibrati2!C$21)</f>
        <v>6.0224839400428269E-2</v>
      </c>
      <c r="K65" s="685">
        <f t="shared" si="3"/>
        <v>3.9775160599571757E-2</v>
      </c>
      <c r="M65" s="687">
        <f t="shared" si="4"/>
        <v>2.1010797000000001</v>
      </c>
      <c r="N65" s="641">
        <f t="shared" si="5"/>
        <v>0.14059687500000001</v>
      </c>
      <c r="O65" s="688">
        <f t="shared" si="6"/>
        <v>9.2856425000000048E-2</v>
      </c>
      <c r="Q65" s="623" t="s">
        <v>964</v>
      </c>
      <c r="R65" s="689">
        <f t="shared" si="7"/>
        <v>0</v>
      </c>
      <c r="T65" s="613" t="s">
        <v>412</v>
      </c>
      <c r="U65" s="690">
        <f t="shared" si="9"/>
        <v>6.8878783104433142E-2</v>
      </c>
      <c r="V65" s="691">
        <f t="shared" si="9"/>
        <v>7.743286401556132E-2</v>
      </c>
      <c r="AB65" s="692"/>
    </row>
    <row r="66" spans="1:28" hidden="1">
      <c r="A66" s="613">
        <f t="shared" si="10"/>
        <v>9</v>
      </c>
      <c r="B66" s="613" t="str">
        <f t="shared" si="2"/>
        <v>INM</v>
      </c>
      <c r="C66" s="613" t="s">
        <v>361</v>
      </c>
      <c r="D66" s="613" t="s">
        <v>218</v>
      </c>
      <c r="E66" s="613" t="s">
        <v>362</v>
      </c>
      <c r="F66" s="682">
        <f ca="1">INDEX($D$28:$P$28,A66-1)</f>
        <v>4.99</v>
      </c>
      <c r="G66" s="697">
        <f ca="1">INDEX($D$29:$P$29,A66-1)</f>
        <v>1.0975000000000001</v>
      </c>
      <c r="H66" s="684">
        <f ca="1">INDEX($C$35:$X$52,RegIndex,$A66-1)</f>
        <v>0.32485701168842396</v>
      </c>
      <c r="I66" s="685">
        <v>0.8</v>
      </c>
      <c r="J66" s="686">
        <f ca="1">(G66-F66*I66*Calibrati2!C19)/(F66*Calibrati2!C$21)</f>
        <v>7.9104041416165671E-2</v>
      </c>
      <c r="K66" s="685">
        <f t="shared" si="3"/>
        <v>0.12089595858383428</v>
      </c>
      <c r="M66" s="687">
        <f t="shared" si="4"/>
        <v>1.2968291906601888</v>
      </c>
      <c r="N66" s="641">
        <f t="shared" si="5"/>
        <v>0.1282305375095952</v>
      </c>
      <c r="O66" s="688">
        <f t="shared" si="6"/>
        <v>0.19597676015545187</v>
      </c>
      <c r="Q66" s="623" t="s">
        <v>965</v>
      </c>
      <c r="R66" s="689">
        <f t="shared" si="7"/>
        <v>4.3414513747200001</v>
      </c>
      <c r="T66" s="613" t="s">
        <v>362</v>
      </c>
      <c r="U66" s="690">
        <f t="shared" si="9"/>
        <v>6.2820481468654876E-2</v>
      </c>
      <c r="V66" s="691">
        <f t="shared" si="9"/>
        <v>0.16342479068440741</v>
      </c>
      <c r="X66" s="613">
        <v>3.5</v>
      </c>
      <c r="Y66" s="613">
        <v>5.75</v>
      </c>
      <c r="Z66" s="613" t="s">
        <v>281</v>
      </c>
      <c r="AB66" s="692">
        <f ca="1">F66*(I66*Calibrati2!C19+J66*Calibrati2!C$21)</f>
        <v>1.0975000000000001</v>
      </c>
    </row>
    <row r="67" spans="1:28" hidden="1">
      <c r="A67" s="613">
        <f t="shared" si="10"/>
        <v>10</v>
      </c>
      <c r="B67" s="613" t="str">
        <f t="shared" si="2"/>
        <v>INM</v>
      </c>
      <c r="C67" s="613" t="s">
        <v>363</v>
      </c>
      <c r="D67" s="613" t="s">
        <v>219</v>
      </c>
      <c r="E67" s="613" t="s">
        <v>364</v>
      </c>
      <c r="F67" s="693">
        <f ca="1">MAX(G67,Calibrati2!T58-SUM(M63:O66))</f>
        <v>4.4315790898469594</v>
      </c>
      <c r="G67" s="694">
        <f ca="1">MAX(0,AuxData!B32-SUMPRODUCT(H63:H66,F63:F66,I63:I66*Calibrati2!C16:C19+J63:J66*Calibrati2!C21))</f>
        <v>1.5882284904736934</v>
      </c>
      <c r="H67" s="684">
        <v>1</v>
      </c>
      <c r="I67" s="695">
        <f ca="1">IF(F67&gt;0,MIN(1-J67,(G67-F67*J67*Calibrati2!C21)/Calibrati2!C20/F67),0)</f>
        <v>0.60967729443381846</v>
      </c>
      <c r="J67" s="696">
        <f ca="1">IF(F67&gt;0,(G67/F67)^1.5,1)</f>
        <v>0.21455157983195583</v>
      </c>
      <c r="K67" s="685">
        <f t="shared" si="3"/>
        <v>0.17577112573422571</v>
      </c>
      <c r="M67" s="687">
        <f t="shared" si="4"/>
        <v>2.7018331495673777</v>
      </c>
      <c r="N67" s="641">
        <f t="shared" si="5"/>
        <v>0.95080229487692602</v>
      </c>
      <c r="O67" s="688">
        <f t="shared" si="6"/>
        <v>0.77894364540265537</v>
      </c>
      <c r="Q67" s="623" t="s">
        <v>412</v>
      </c>
      <c r="R67" s="689">
        <f t="shared" si="7"/>
        <v>2.1010797000000001</v>
      </c>
      <c r="T67" s="613" t="s">
        <v>364</v>
      </c>
      <c r="U67" s="690">
        <f t="shared" si="9"/>
        <v>0.46580057376115269</v>
      </c>
      <c r="V67" s="691">
        <f t="shared" si="9"/>
        <v>0.64956019327956471</v>
      </c>
      <c r="X67" s="613">
        <v>1.1000000000000001</v>
      </c>
      <c r="Y67" s="613">
        <v>2.2999999999999998</v>
      </c>
      <c r="AB67" s="692">
        <f ca="1">F67*(I67*Calibrati2!C20+J67*Calibrati2!C$21)</f>
        <v>1.5882284904736936</v>
      </c>
    </row>
    <row r="68" spans="1:28" hidden="1">
      <c r="A68" s="613">
        <f t="shared" si="10"/>
        <v>11</v>
      </c>
      <c r="B68" s="613" t="str">
        <f t="shared" si="2"/>
        <v>INF</v>
      </c>
      <c r="C68" s="613" t="s">
        <v>221</v>
      </c>
      <c r="D68" s="613" t="s">
        <v>220</v>
      </c>
      <c r="E68" s="613" t="s">
        <v>259</v>
      </c>
      <c r="F68" s="682">
        <f ca="1">INDEX($D$28:$P$28,A68-1)</f>
        <v>80.601600000000005</v>
      </c>
      <c r="G68" s="697">
        <f ca="1">INDEX($D$29:$P$29,A68-1)</f>
        <v>59.04</v>
      </c>
      <c r="H68" s="684">
        <f ca="1">INDEX($C$35:$X$52,RegIndex,$A68-1)</f>
        <v>0</v>
      </c>
      <c r="I68" s="685">
        <v>0.8</v>
      </c>
      <c r="J68" s="686">
        <f ca="1">MIN(1-I68,(G68-F68*I68*Calibrati2!C23)/(F68*Calibrati2!C$27))</f>
        <v>9.5352229584043297E-2</v>
      </c>
      <c r="K68" s="685">
        <f t="shared" si="3"/>
        <v>0.10464777041595663</v>
      </c>
      <c r="M68" s="687">
        <f t="shared" si="4"/>
        <v>0</v>
      </c>
      <c r="N68" s="641">
        <f t="shared" si="5"/>
        <v>0</v>
      </c>
      <c r="O68" s="688">
        <f t="shared" si="6"/>
        <v>0</v>
      </c>
      <c r="Q68" s="623" t="s">
        <v>362</v>
      </c>
      <c r="R68" s="689">
        <f t="shared" si="7"/>
        <v>1.2968291906601888</v>
      </c>
      <c r="T68" s="613" t="s">
        <v>259</v>
      </c>
      <c r="U68" s="690">
        <f t="shared" ref="U68:V71" si="11">IF(N68,N68/SUMIF($B$58:$B$76,LEFT($T68,3),N$58:N$76),0)</f>
        <v>0</v>
      </c>
      <c r="V68" s="691">
        <f t="shared" si="11"/>
        <v>0</v>
      </c>
      <c r="X68" s="613">
        <v>53</v>
      </c>
      <c r="Y68" s="613">
        <f>15000*3.6/1000</f>
        <v>54</v>
      </c>
      <c r="AB68" s="613">
        <f ca="1">F68*(I68*Calibrati2!C23+J68*Calibrati2!C$27)</f>
        <v>59.04</v>
      </c>
    </row>
    <row r="69" spans="1:28" hidden="1">
      <c r="A69" s="613">
        <f t="shared" si="10"/>
        <v>12</v>
      </c>
      <c r="B69" s="613" t="str">
        <f t="shared" si="2"/>
        <v>INF</v>
      </c>
      <c r="C69" s="613" t="s">
        <v>369</v>
      </c>
      <c r="D69" s="613" t="s">
        <v>222</v>
      </c>
      <c r="E69" s="613" t="s">
        <v>370</v>
      </c>
      <c r="F69" s="682">
        <f ca="1">INDEX($D$28:$P$28,A69-1)</f>
        <v>23.3</v>
      </c>
      <c r="G69" s="697">
        <f ca="1">INDEX($D$29:$P$29,A69-1)</f>
        <v>10.8</v>
      </c>
      <c r="H69" s="684">
        <f ca="1">INDEX($C$35:$X$52,RegIndex,$A69-1)</f>
        <v>0.15645044851094367</v>
      </c>
      <c r="I69" s="685">
        <v>0.67</v>
      </c>
      <c r="J69" s="686">
        <f ca="1">(G69-F69*I69*Calibrati2!C24)/(F69*Calibrati2!C$27)</f>
        <v>9.7958054953320675E-2</v>
      </c>
      <c r="K69" s="685">
        <f t="shared" si="3"/>
        <v>0.2320419450466793</v>
      </c>
      <c r="M69" s="687">
        <f t="shared" si="4"/>
        <v>2.4423479517043418</v>
      </c>
      <c r="N69" s="641">
        <f t="shared" si="5"/>
        <v>0.35708605204206578</v>
      </c>
      <c r="O69" s="688">
        <f t="shared" si="6"/>
        <v>0.84586144655857998</v>
      </c>
      <c r="Q69" s="623" t="s">
        <v>364</v>
      </c>
      <c r="R69" s="689">
        <f t="shared" si="7"/>
        <v>2.7018331495673777</v>
      </c>
      <c r="T69" s="613" t="s">
        <v>370</v>
      </c>
      <c r="U69" s="690">
        <f t="shared" si="11"/>
        <v>0.19169865295080271</v>
      </c>
      <c r="V69" s="691">
        <f t="shared" si="11"/>
        <v>0.32258220744410493</v>
      </c>
      <c r="X69" s="613">
        <v>14</v>
      </c>
      <c r="Y69" s="613">
        <f>14.3+21.6</f>
        <v>35.900000000000006</v>
      </c>
      <c r="AB69" s="613">
        <f ca="1">F69*(I69*Calibrati2!C24+J69*Calibrati2!C$27)</f>
        <v>10.8</v>
      </c>
    </row>
    <row r="70" spans="1:28" hidden="1">
      <c r="A70" s="613">
        <f t="shared" si="10"/>
        <v>13</v>
      </c>
      <c r="B70" s="613" t="str">
        <f t="shared" si="2"/>
        <v>INF</v>
      </c>
      <c r="C70" s="613" t="s">
        <v>404</v>
      </c>
      <c r="D70" s="613" t="s">
        <v>407</v>
      </c>
      <c r="E70" s="613" t="s">
        <v>417</v>
      </c>
      <c r="F70" s="682">
        <f ca="1">INDEX($D$28:$P$28,A70-1)</f>
        <v>18.399999999999999</v>
      </c>
      <c r="G70" s="697">
        <f ca="1">INDEX($D$29:$P$29,A70-1)</f>
        <v>14.4</v>
      </c>
      <c r="H70" s="684">
        <f ca="1">INDEX($C$35:$X$52,RegIndex,$A70-1)</f>
        <v>0.28499200000000002</v>
      </c>
      <c r="I70" s="685">
        <v>0.75</v>
      </c>
      <c r="J70" s="686">
        <f ca="1">(G70-F70*I70*Calibrati2!C25)/(F70*Calibrati2!C$27)</f>
        <v>0.11093679964141644</v>
      </c>
      <c r="K70" s="685">
        <f t="shared" si="3"/>
        <v>0.13906320035858355</v>
      </c>
      <c r="M70" s="687">
        <f t="shared" si="4"/>
        <v>3.9328896000000002</v>
      </c>
      <c r="N70" s="641">
        <f t="shared" si="5"/>
        <v>0.5817362474226806</v>
      </c>
      <c r="O70" s="688">
        <f t="shared" si="6"/>
        <v>0.7292269525773194</v>
      </c>
      <c r="Q70" s="623" t="s">
        <v>966</v>
      </c>
      <c r="R70" s="689">
        <f t="shared" si="7"/>
        <v>2.0412218198865215</v>
      </c>
      <c r="T70" s="613" t="s">
        <v>417</v>
      </c>
      <c r="U70" s="690">
        <f t="shared" si="11"/>
        <v>0.31230022669842505</v>
      </c>
      <c r="V70" s="691">
        <f t="shared" si="11"/>
        <v>0.27810185822653893</v>
      </c>
      <c r="Y70" s="698">
        <f>50*100/175</f>
        <v>28.571428571428573</v>
      </c>
      <c r="Z70" s="613" t="s">
        <v>282</v>
      </c>
      <c r="AB70" s="613">
        <f ca="1">F70*(I70*Calibrati2!C25+J70*Calibrati2!C$27)</f>
        <v>14.4</v>
      </c>
    </row>
    <row r="71" spans="1:28" hidden="1">
      <c r="A71" s="613">
        <f t="shared" si="10"/>
        <v>14</v>
      </c>
      <c r="B71" s="613" t="str">
        <f t="shared" si="2"/>
        <v>INF</v>
      </c>
      <c r="C71" s="613" t="s">
        <v>405</v>
      </c>
      <c r="D71" s="613" t="s">
        <v>406</v>
      </c>
      <c r="E71" s="613" t="s">
        <v>418</v>
      </c>
      <c r="F71" s="693">
        <f ca="1">MAX(G71,Calibrati2!T59-SUM(M68:O70))</f>
        <v>2.3340990574160649</v>
      </c>
      <c r="G71" s="694">
        <f ca="1">MAX(0,AuxData!B29-SUMPRODUCT(H68:H70,F68:F70,I68:I70*Calibrati2!C23:C25+J68:J70*Calibrati2!C27))</f>
        <v>1.0051383157474083</v>
      </c>
      <c r="H71" s="684">
        <v>1</v>
      </c>
      <c r="I71" s="695">
        <f ca="1">IF(F71&gt;0,MIN(1-J71,(G71-F71*J71*Calibrati2!C27)/Calibrati2!C26/F71),0)</f>
        <v>0.1555654510209678</v>
      </c>
      <c r="J71" s="696">
        <f ca="1">IF(F71&gt;0,(G71/F71)^1.1,1)</f>
        <v>0.39583774133389965</v>
      </c>
      <c r="K71" s="685">
        <f t="shared" si="3"/>
        <v>0.4485968076451326</v>
      </c>
      <c r="M71" s="687">
        <f t="shared" si="4"/>
        <v>0.36310517259454594</v>
      </c>
      <c r="N71" s="641">
        <f t="shared" si="5"/>
        <v>0.92392449893715933</v>
      </c>
      <c r="O71" s="688">
        <f t="shared" si="6"/>
        <v>1.0470693858843598</v>
      </c>
      <c r="Q71" s="623" t="s">
        <v>967</v>
      </c>
      <c r="R71" s="689">
        <f t="shared" si="7"/>
        <v>1.1991862393381074</v>
      </c>
      <c r="T71" s="613" t="s">
        <v>418</v>
      </c>
      <c r="U71" s="690">
        <f t="shared" si="11"/>
        <v>0.49600112035077226</v>
      </c>
      <c r="V71" s="691">
        <f t="shared" si="11"/>
        <v>0.39931593432935619</v>
      </c>
      <c r="Y71" s="698">
        <f>50*100/175</f>
        <v>28.571428571428573</v>
      </c>
      <c r="Z71" s="613" t="s">
        <v>282</v>
      </c>
      <c r="AB71" s="613">
        <f ca="1">F71*(I71*Calibrati2!C26+J71*Calibrati2!C$27)</f>
        <v>1.0051383157474083</v>
      </c>
    </row>
    <row r="72" spans="1:28" hidden="1">
      <c r="A72" s="613">
        <f t="shared" si="10"/>
        <v>15</v>
      </c>
      <c r="B72" s="613" t="str">
        <f t="shared" si="2"/>
        <v>ICH</v>
      </c>
      <c r="C72" s="613" t="s">
        <v>359</v>
      </c>
      <c r="D72" s="613" t="s">
        <v>251</v>
      </c>
      <c r="E72" s="613" t="s">
        <v>360</v>
      </c>
      <c r="F72" s="693">
        <f ca="1">INDEX($Q$28:$U$28,$A72-$A$71)</f>
        <v>16.956250000000001</v>
      </c>
      <c r="G72" s="697">
        <f ca="1">INDEX($Q$29:$U$29,$A72-$A$71)</f>
        <v>1</v>
      </c>
      <c r="H72" s="684">
        <f ca="1">INDEX($C$35:$X$52,RegIndex,$A72-1)</f>
        <v>0.43014715401364156</v>
      </c>
      <c r="I72" s="685">
        <v>0.3</v>
      </c>
      <c r="J72" s="686">
        <f ca="1">(G72-F72*I72*Calibrati2!C29)/(F72*Calibrati2!C$35)</f>
        <v>3.0182608428553876E-2</v>
      </c>
      <c r="K72" s="685">
        <f t="shared" si="3"/>
        <v>0.66981739157144604</v>
      </c>
      <c r="M72" s="687">
        <f t="shared" si="4"/>
        <v>2.1881048040731428</v>
      </c>
      <c r="N72" s="641">
        <f t="shared" si="5"/>
        <v>0.22014236833992426</v>
      </c>
      <c r="O72" s="688">
        <f t="shared" si="6"/>
        <v>4.8854355078307421</v>
      </c>
      <c r="Q72" s="623" t="s">
        <v>259</v>
      </c>
      <c r="R72" s="689">
        <f t="shared" si="7"/>
        <v>0</v>
      </c>
      <c r="T72" s="613" t="s">
        <v>360</v>
      </c>
      <c r="U72" s="690">
        <f t="shared" ref="U72:V77" si="12">N72/SUMIF($B$58:$B$77,LEFT($T72,3),N$58:N$77)</f>
        <v>1.9498445357346354E-2</v>
      </c>
      <c r="V72" s="691">
        <f t="shared" si="12"/>
        <v>0.23157226960312613</v>
      </c>
      <c r="Y72" s="699">
        <v>60</v>
      </c>
      <c r="AB72" s="692">
        <f ca="1">F72*(I72*Calibrati2!C29+J72*Calibrati2!C$35)</f>
        <v>1</v>
      </c>
    </row>
    <row r="73" spans="1:28" hidden="1">
      <c r="A73" s="613">
        <f t="shared" si="10"/>
        <v>16</v>
      </c>
      <c r="B73" s="613" t="str">
        <f t="shared" si="2"/>
        <v>ICH</v>
      </c>
      <c r="C73" s="613" t="s">
        <v>253</v>
      </c>
      <c r="D73" s="613" t="s">
        <v>252</v>
      </c>
      <c r="E73" s="613" t="s">
        <v>972</v>
      </c>
      <c r="F73" s="693">
        <f ca="1">INDEX($Q$28:$U$28,$A73-$A$71)</f>
        <v>9.5918269230769226</v>
      </c>
      <c r="G73" s="697">
        <f ca="1">INDEX($Q$29:$U$29,$A73-$A$71)</f>
        <v>1</v>
      </c>
      <c r="H73" s="684">
        <f ca="1">INDEX($C$35:$X$52,RegIndex,$A73-1)</f>
        <v>0.14319767101260772</v>
      </c>
      <c r="I73" s="685">
        <v>0.25</v>
      </c>
      <c r="J73" s="686">
        <f ca="1">(G73-F73*I73*Calibrati2!C30)/(F73*Calibrati2!C$35)</f>
        <v>8.2557735201243057E-2</v>
      </c>
      <c r="K73" s="685">
        <f t="shared" si="3"/>
        <v>0.6674422647987569</v>
      </c>
      <c r="M73" s="687">
        <f t="shared" si="4"/>
        <v>0.34338181903516063</v>
      </c>
      <c r="N73" s="641">
        <f t="shared" si="5"/>
        <v>0.11339530115530382</v>
      </c>
      <c r="O73" s="688">
        <f t="shared" si="6"/>
        <v>0.91675015595017806</v>
      </c>
      <c r="Q73" s="623" t="s">
        <v>370</v>
      </c>
      <c r="R73" s="689">
        <f t="shared" si="7"/>
        <v>2.4423479517043418</v>
      </c>
      <c r="T73" s="613" t="s">
        <v>972</v>
      </c>
      <c r="U73" s="690">
        <f t="shared" si="12"/>
        <v>1.0043646300481542E-2</v>
      </c>
      <c r="V73" s="691">
        <f t="shared" si="12"/>
        <v>4.3454450259781743E-2</v>
      </c>
      <c r="Y73" s="613">
        <v>7.5</v>
      </c>
      <c r="AB73" s="692">
        <f ca="1">F73*(I73*Calibrati2!C30+J73*Calibrati2!C$35)</f>
        <v>1</v>
      </c>
    </row>
    <row r="74" spans="1:28" hidden="1">
      <c r="A74" s="613">
        <f t="shared" si="10"/>
        <v>17</v>
      </c>
      <c r="B74" s="613" t="str">
        <f t="shared" si="2"/>
        <v>ICH</v>
      </c>
      <c r="C74" s="613" t="s">
        <v>357</v>
      </c>
      <c r="D74" s="613" t="s">
        <v>254</v>
      </c>
      <c r="E74" s="613" t="s">
        <v>358</v>
      </c>
      <c r="F74" s="693">
        <f ca="1">INDEX($Q$28:$U$28,$A74-$A$71)</f>
        <v>18.5</v>
      </c>
      <c r="G74" s="697">
        <f ca="1">INDEX($Q$29:$U$29,$A74-$A$71)</f>
        <v>4.5</v>
      </c>
      <c r="H74" s="684">
        <f ca="1">INDEX($C$35:$X$52,RegIndex,$A74-1)</f>
        <v>9.4903714285714286E-2</v>
      </c>
      <c r="I74" s="685">
        <v>0.3</v>
      </c>
      <c r="J74" s="686">
        <f ca="1">(G74-F74*I74*Calibrati2!C31)/(F74*Calibrati2!C$35)</f>
        <v>0.2221283783783784</v>
      </c>
      <c r="K74" s="685">
        <f t="shared" si="3"/>
        <v>0.47787162162162161</v>
      </c>
      <c r="M74" s="687">
        <f t="shared" si="4"/>
        <v>0.52671561428571423</v>
      </c>
      <c r="N74" s="641">
        <f t="shared" si="5"/>
        <v>0.38999495089285718</v>
      </c>
      <c r="O74" s="688">
        <f t="shared" si="6"/>
        <v>0.83900814910714283</v>
      </c>
      <c r="Q74" s="623" t="s">
        <v>417</v>
      </c>
      <c r="R74" s="689">
        <f t="shared" si="7"/>
        <v>3.9328896000000002</v>
      </c>
      <c r="T74" s="613" t="s">
        <v>358</v>
      </c>
      <c r="U74" s="690">
        <f t="shared" si="12"/>
        <v>3.4542624833959604E-2</v>
      </c>
      <c r="V74" s="691">
        <f t="shared" si="12"/>
        <v>3.9769437339380473E-2</v>
      </c>
      <c r="X74" s="613">
        <v>28</v>
      </c>
      <c r="Y74" s="613">
        <v>39.6</v>
      </c>
      <c r="AB74" s="692">
        <f ca="1">F74*(I74*Calibrati2!C31+J74*Calibrati2!C$35)</f>
        <v>4.5</v>
      </c>
    </row>
    <row r="75" spans="1:28" hidden="1">
      <c r="A75" s="613">
        <f t="shared" si="10"/>
        <v>18</v>
      </c>
      <c r="B75" s="613" t="str">
        <f t="shared" si="2"/>
        <v>ICH</v>
      </c>
      <c r="C75" s="613" t="s">
        <v>540</v>
      </c>
      <c r="D75" s="613" t="s">
        <v>539</v>
      </c>
      <c r="E75" s="613" t="s">
        <v>541</v>
      </c>
      <c r="F75" s="693">
        <f ca="1">INDEX($Q$28:$U$28,$A75-$A$71)</f>
        <v>12</v>
      </c>
      <c r="G75" s="697">
        <f ca="1">INDEX($Q$29:$U$29,$A75-$A$71)</f>
        <v>10.5</v>
      </c>
      <c r="H75" s="684">
        <f ca="1">INDEX($C$35:$X$52,RegIndex,$A75-1)</f>
        <v>0.09</v>
      </c>
      <c r="I75" s="685">
        <v>0.8</v>
      </c>
      <c r="J75" s="686">
        <f ca="1">(G75-F75*I75*Calibrati2!C32)/(F75*Calibrati2!C$35)</f>
        <v>7.8124999999999875E-2</v>
      </c>
      <c r="K75" s="685">
        <f t="shared" si="3"/>
        <v>0.12187500000000007</v>
      </c>
      <c r="M75" s="687">
        <f t="shared" si="4"/>
        <v>0.8640000000000001</v>
      </c>
      <c r="N75" s="641">
        <f t="shared" si="5"/>
        <v>8.4374999999999867E-2</v>
      </c>
      <c r="O75" s="688">
        <f t="shared" si="6"/>
        <v>0.13162500000000008</v>
      </c>
      <c r="Q75" s="623" t="s">
        <v>418</v>
      </c>
      <c r="R75" s="689">
        <f t="shared" si="7"/>
        <v>0.36310517259454594</v>
      </c>
      <c r="T75" s="613" t="s">
        <v>541</v>
      </c>
      <c r="U75" s="690">
        <f t="shared" si="12"/>
        <v>7.4732607786146517E-3</v>
      </c>
      <c r="V75" s="691">
        <f t="shared" si="12"/>
        <v>6.239095764882116E-3</v>
      </c>
      <c r="AB75" s="692">
        <f ca="1">F75*(I75*Calibrati2!C32+J75*Calibrati2!C$35)</f>
        <v>10.499999999999998</v>
      </c>
    </row>
    <row r="76" spans="1:28" hidden="1">
      <c r="A76" s="613">
        <f t="shared" si="10"/>
        <v>19</v>
      </c>
      <c r="B76" s="613" t="str">
        <f t="shared" si="2"/>
        <v>ICH</v>
      </c>
      <c r="C76" s="613" t="s">
        <v>354</v>
      </c>
      <c r="D76" s="613" t="s">
        <v>353</v>
      </c>
      <c r="E76" s="613" t="s">
        <v>356</v>
      </c>
      <c r="F76" s="693">
        <f ca="1">INDEX($Q$28:$U$28,A76-A$71)</f>
        <v>10.5</v>
      </c>
      <c r="G76" s="697">
        <f ca="1">INDEX($Q$29:$U$29,$A76-$A$71)</f>
        <v>0.5</v>
      </c>
      <c r="H76" s="684">
        <f ca="1">INDEX($C$35:$X$52,RegIndex,$A76-1)</f>
        <v>0</v>
      </c>
      <c r="I76" s="685">
        <v>0.3</v>
      </c>
      <c r="J76" s="686">
        <f ca="1">(G76-F76*I76*Calibrati2!C33)/(F76*Calibrati2!C$35)</f>
        <v>1.8353174603174604E-2</v>
      </c>
      <c r="K76" s="685">
        <f t="shared" si="3"/>
        <v>0.68164682539682531</v>
      </c>
      <c r="M76" s="687">
        <f t="shared" si="4"/>
        <v>0</v>
      </c>
      <c r="N76" s="641">
        <f t="shared" si="5"/>
        <v>0</v>
      </c>
      <c r="O76" s="688">
        <f t="shared" si="6"/>
        <v>0</v>
      </c>
      <c r="Q76" s="623" t="s">
        <v>968</v>
      </c>
      <c r="R76" s="689">
        <f t="shared" si="7"/>
        <v>1.8627467984019057</v>
      </c>
      <c r="T76" s="613" t="s">
        <v>356</v>
      </c>
      <c r="U76" s="690">
        <f t="shared" si="12"/>
        <v>0</v>
      </c>
      <c r="V76" s="691">
        <f t="shared" si="12"/>
        <v>0</v>
      </c>
      <c r="AB76" s="692">
        <f ca="1">F76*(I76*Calibrati2!C33+J76*Calibrati2!C$35)</f>
        <v>0.5</v>
      </c>
    </row>
    <row r="77" spans="1:28" hidden="1">
      <c r="B77" s="613" t="str">
        <f t="shared" si="2"/>
        <v>ICH</v>
      </c>
      <c r="C77" s="613" t="s">
        <v>535</v>
      </c>
      <c r="D77" s="613" t="s">
        <v>560</v>
      </c>
      <c r="E77" s="613" t="s">
        <v>536</v>
      </c>
      <c r="F77" s="693">
        <f ca="1">MAX(G77,Calibrati2!T60-SUM(M72:O76))</f>
        <v>35.639090693111207</v>
      </c>
      <c r="G77" s="694">
        <f ca="1">MAX(0,AuxData!B30-SUMPRODUCT(H72:H76,F72:F76,I72:I76*Calibrati2!C29:C33+J72:J76*Calibrati2!C35))</f>
        <v>14.396153995003369</v>
      </c>
      <c r="H77" s="684">
        <v>1</v>
      </c>
      <c r="I77" s="695">
        <f ca="1">IF(F77&gt;0,MIN(1-J77,(G77-F77*J77*Calibrati2!C35)/Calibrati2!C34/F77),0)</f>
        <v>0.30395718430450697</v>
      </c>
      <c r="J77" s="696">
        <f ca="1">IF(F77&gt;0,(G77/F77)^1.35,1)</f>
        <v>0.29412492060438777</v>
      </c>
      <c r="K77" s="695">
        <f t="shared" si="3"/>
        <v>0.40191789509110526</v>
      </c>
      <c r="M77" s="687">
        <f t="shared" si="4"/>
        <v>10.832757658251042</v>
      </c>
      <c r="N77" s="641">
        <f t="shared" si="5"/>
        <v>10.482344720523908</v>
      </c>
      <c r="O77" s="688">
        <f t="shared" si="6"/>
        <v>14.323988314336257</v>
      </c>
      <c r="Q77" s="623" t="s">
        <v>969</v>
      </c>
      <c r="R77" s="689">
        <f t="shared" si="7"/>
        <v>2.6221577850202591</v>
      </c>
      <c r="T77" s="613" t="s">
        <v>536</v>
      </c>
      <c r="U77" s="690">
        <f t="shared" si="12"/>
        <v>0.92844202272959775</v>
      </c>
      <c r="V77" s="691">
        <f t="shared" si="12"/>
        <v>0.67896474703282972</v>
      </c>
    </row>
    <row r="78" spans="1:28" hidden="1">
      <c r="A78" s="613">
        <v>20</v>
      </c>
      <c r="B78" s="613" t="str">
        <f t="shared" si="2"/>
        <v>ILP</v>
      </c>
      <c r="C78" s="613" t="s">
        <v>454</v>
      </c>
      <c r="D78" s="613" t="s">
        <v>250</v>
      </c>
      <c r="E78" s="613" t="s">
        <v>341</v>
      </c>
      <c r="F78" s="682">
        <f ca="1">L123</f>
        <v>9.4906480381714129</v>
      </c>
      <c r="G78" s="683">
        <f ca="1">L128</f>
        <v>2.6401706380526733</v>
      </c>
      <c r="H78" s="684">
        <f ca="1">INDEX($C$35:$X$52,RegIndex,$A78-1)</f>
        <v>10.276018000000001</v>
      </c>
      <c r="I78" s="685">
        <f ca="1">0.5/F78</f>
        <v>5.2683441424547471E-2</v>
      </c>
      <c r="J78" s="686">
        <f ca="1">(G78-F78*I78*Calibrati2!C37)/(F78*Calibrati2!C$42)</f>
        <v>0.27818655032131628</v>
      </c>
      <c r="K78" s="685">
        <f t="shared" si="3"/>
        <v>0.66913000825413615</v>
      </c>
      <c r="M78" s="687">
        <f t="shared" si="4"/>
        <v>5.1380090000000003</v>
      </c>
      <c r="N78" s="641">
        <f t="shared" si="5"/>
        <v>27.13044099970076</v>
      </c>
      <c r="O78" s="688">
        <f t="shared" si="6"/>
        <v>65.257620072213371</v>
      </c>
      <c r="Q78" s="623" t="s">
        <v>360</v>
      </c>
      <c r="R78" s="689">
        <f t="shared" si="7"/>
        <v>2.1881048040731428</v>
      </c>
      <c r="T78" s="613" t="s">
        <v>341</v>
      </c>
      <c r="U78" s="690">
        <f t="shared" ref="U78:U83" si="13">N78/SUMIF($B$58:$B$83,LEFT($T78,3),N$58:N$83)</f>
        <v>0.37413413616344687</v>
      </c>
      <c r="V78" s="691">
        <f t="shared" ref="V78:V83" si="14">IF(O78,O78/SUMIF($B$58:$B$83,LEFT($T78,3),O$58:O$83),0)</f>
        <v>0.39455876018628405</v>
      </c>
      <c r="Y78" s="613">
        <f>13+0.9</f>
        <v>13.9</v>
      </c>
      <c r="AB78" s="700">
        <f ca="1">F78*(I78*Calibrati2!C37+J78*Calibrati2!C$42)</f>
        <v>2.6401706380526733</v>
      </c>
    </row>
    <row r="79" spans="1:28" hidden="1">
      <c r="A79" s="613">
        <f>A78+1</f>
        <v>21</v>
      </c>
      <c r="B79" s="613" t="str">
        <f t="shared" si="2"/>
        <v>ILP</v>
      </c>
      <c r="C79" s="613" t="s">
        <v>340</v>
      </c>
      <c r="D79" s="613" t="s">
        <v>249</v>
      </c>
      <c r="E79" s="613" t="s">
        <v>342</v>
      </c>
      <c r="F79" s="682">
        <f ca="1">L124</f>
        <v>6.6081665075441931</v>
      </c>
      <c r="G79" s="683">
        <f ca="1">L129</f>
        <v>9.3122253942265676</v>
      </c>
      <c r="H79" s="684">
        <f ca="1">INDEX($C$35:$X$52,RegIndex,$A79-1)*H$78</f>
        <v>2.669623049132948</v>
      </c>
      <c r="I79" s="685">
        <v>0</v>
      </c>
      <c r="J79" s="686">
        <f ca="1">(G79-F79*I79*Calibrati2!C38)/(F79*Calibrati2!C$42)</f>
        <v>1.4091995689871455</v>
      </c>
      <c r="K79" s="685">
        <f t="shared" si="3"/>
        <v>-0.40919956898714549</v>
      </c>
      <c r="M79" s="687">
        <f t="shared" si="4"/>
        <v>0</v>
      </c>
      <c r="N79" s="641">
        <f t="shared" si="5"/>
        <v>24.860131551148399</v>
      </c>
      <c r="O79" s="688">
        <f t="shared" si="6"/>
        <v>-7.2188179301000455</v>
      </c>
      <c r="Q79" s="623" t="s">
        <v>972</v>
      </c>
      <c r="R79" s="689">
        <f t="shared" si="7"/>
        <v>0.34338181903516063</v>
      </c>
      <c r="T79" s="613" t="s">
        <v>342</v>
      </c>
      <c r="U79" s="690">
        <f t="shared" si="13"/>
        <v>0.34282612077338309</v>
      </c>
      <c r="V79" s="691">
        <f t="shared" si="14"/>
        <v>-4.3646210961401151E-2</v>
      </c>
      <c r="Y79" s="613">
        <f>0+7.3</f>
        <v>7.3</v>
      </c>
      <c r="AB79" s="613">
        <f ca="1">F79*(I79*Calibrati2!C38+J79*Calibrati2!C$42)</f>
        <v>9.3122253942265676</v>
      </c>
    </row>
    <row r="80" spans="1:28" hidden="1">
      <c r="A80" s="613">
        <f>A79+1</f>
        <v>22</v>
      </c>
      <c r="B80" s="613" t="str">
        <f t="shared" si="2"/>
        <v>ILP</v>
      </c>
      <c r="C80" s="613" t="s">
        <v>347</v>
      </c>
      <c r="D80" s="613" t="s">
        <v>247</v>
      </c>
      <c r="E80" s="613" t="s">
        <v>343</v>
      </c>
      <c r="F80" s="682">
        <f ca="1">L125</f>
        <v>16.881827068900289</v>
      </c>
      <c r="G80" s="683">
        <f ca="1">L130</f>
        <v>2.3684590890211825</v>
      </c>
      <c r="H80" s="684">
        <f ca="1">INDEX($C$35:$X$52,RegIndex,$A80-1)*H$78</f>
        <v>8.4283769508670527</v>
      </c>
      <c r="I80" s="685">
        <f ca="1">1.8/F80</f>
        <v>0.10662353029998518</v>
      </c>
      <c r="J80" s="686">
        <f ca="1">(G80-F80*I80*Calibrati2!C39)/(F80*Calibrati2!C$42)</f>
        <v>0.1402963719125141</v>
      </c>
      <c r="K80" s="685">
        <f t="shared" si="3"/>
        <v>0.75308009778750074</v>
      </c>
      <c r="M80" s="687">
        <f t="shared" si="4"/>
        <v>15.171078511560696</v>
      </c>
      <c r="N80" s="641">
        <f t="shared" si="5"/>
        <v>19.962265994977713</v>
      </c>
      <c r="O80" s="688">
        <f t="shared" si="6"/>
        <v>107.15305764950429</v>
      </c>
      <c r="Q80" s="623" t="s">
        <v>358</v>
      </c>
      <c r="R80" s="689">
        <f t="shared" si="7"/>
        <v>0.52671561428571423</v>
      </c>
      <c r="T80" s="613" t="s">
        <v>343</v>
      </c>
      <c r="U80" s="690">
        <f t="shared" si="13"/>
        <v>0.275283588054404</v>
      </c>
      <c r="V80" s="691">
        <f t="shared" si="14"/>
        <v>0.64786575927184076</v>
      </c>
      <c r="Y80" s="613">
        <f>5.1+2.2</f>
        <v>7.3</v>
      </c>
      <c r="AB80" s="700">
        <f ca="1">F80*(I80*Calibrati2!C39+J80*Calibrati2!C$42)</f>
        <v>2.3684590890211825</v>
      </c>
    </row>
    <row r="81" spans="1:28" hidden="1">
      <c r="A81" s="613">
        <f>A80+1</f>
        <v>23</v>
      </c>
      <c r="B81" s="613" t="str">
        <f t="shared" si="2"/>
        <v>ILP</v>
      </c>
      <c r="C81" s="613" t="s">
        <v>339</v>
      </c>
      <c r="D81" s="613" t="s">
        <v>338</v>
      </c>
      <c r="E81" s="613" t="s">
        <v>344</v>
      </c>
      <c r="F81" s="682">
        <f ca="1">L126</f>
        <v>2.7094634146341465</v>
      </c>
      <c r="G81" s="694">
        <f ca="1">L131</f>
        <v>1.3680000000000001</v>
      </c>
      <c r="H81" s="684">
        <f ca="1">INDEX($C$35:$X$52,RegIndex,$A81-1)*H$78</f>
        <v>0.41114016000000131</v>
      </c>
      <c r="I81" s="685">
        <f ca="1">0.85/F81</f>
        <v>0.31371525277257667</v>
      </c>
      <c r="J81" s="686">
        <f ca="1">(G81-F81*I81*Calibrati2!C40)/(F81*Calibrati2!C$42)</f>
        <v>0.50489701857986458</v>
      </c>
      <c r="K81" s="685">
        <f t="shared" si="3"/>
        <v>0.18138772864755875</v>
      </c>
      <c r="M81" s="687">
        <f t="shared" si="4"/>
        <v>0.34946913600000112</v>
      </c>
      <c r="N81" s="641">
        <f t="shared" si="5"/>
        <v>0.56243973888000176</v>
      </c>
      <c r="O81" s="688">
        <f t="shared" si="6"/>
        <v>0.20206034692683</v>
      </c>
      <c r="Q81" s="623" t="s">
        <v>541</v>
      </c>
      <c r="R81" s="689">
        <f t="shared" si="7"/>
        <v>0.8640000000000001</v>
      </c>
      <c r="T81" s="613" t="s">
        <v>344</v>
      </c>
      <c r="U81" s="690">
        <f t="shared" si="13"/>
        <v>7.756155008766169E-3</v>
      </c>
      <c r="V81" s="691">
        <f t="shared" si="14"/>
        <v>1.2216915032763685E-3</v>
      </c>
    </row>
    <row r="82" spans="1:28" hidden="1">
      <c r="B82" s="613" t="str">
        <f t="shared" si="2"/>
        <v>ILP</v>
      </c>
      <c r="C82" s="613" t="s">
        <v>346</v>
      </c>
      <c r="D82" s="613" t="s">
        <v>560</v>
      </c>
      <c r="E82" s="613" t="s">
        <v>345</v>
      </c>
      <c r="F82" s="693">
        <f ca="1">MAX(G82,Calibrati2!U61+Calibrati2!C61-SUM(M78:O81)-F83*H83)</f>
        <v>0</v>
      </c>
      <c r="G82" s="694">
        <f ca="1">MAX(0,AuxData!B31-SUMPRODUCT(H78:H81,F78:F81,I78:I81*Calibrati2!C37:C40+J78:J81*Calibrati2!C42)-G83*H83)</f>
        <v>0</v>
      </c>
      <c r="H82" s="684">
        <v>1</v>
      </c>
      <c r="I82" s="695">
        <f ca="1">IF(F82&gt;0,MIN(1-J82,(G82-F82*J82*Calibrati2!C42)/Calibrati2!C41/F82),0)</f>
        <v>0</v>
      </c>
      <c r="J82" s="696">
        <f ca="1">IF(F82&gt;0,(G82/F82)^1.2,1)</f>
        <v>1</v>
      </c>
      <c r="K82" s="695">
        <f t="shared" si="3"/>
        <v>0</v>
      </c>
      <c r="M82" s="687">
        <f t="shared" si="4"/>
        <v>0</v>
      </c>
      <c r="N82" s="641">
        <f t="shared" si="5"/>
        <v>0</v>
      </c>
      <c r="O82" s="688">
        <f t="shared" si="6"/>
        <v>0</v>
      </c>
      <c r="Q82" s="623" t="s">
        <v>356</v>
      </c>
      <c r="R82" s="689">
        <f t="shared" si="7"/>
        <v>0</v>
      </c>
      <c r="T82" s="613" t="s">
        <v>345</v>
      </c>
      <c r="U82" s="690">
        <f t="shared" si="13"/>
        <v>0</v>
      </c>
      <c r="V82" s="691">
        <f t="shared" si="14"/>
        <v>0</v>
      </c>
      <c r="AB82" s="700">
        <f ca="1">F82*(I82*Calibrati2!C41+J82*Calibrati2!C$42)</f>
        <v>0</v>
      </c>
    </row>
    <row r="83" spans="1:28" hidden="1">
      <c r="B83" s="613" t="s">
        <v>978</v>
      </c>
      <c r="C83" s="613" t="s">
        <v>1392</v>
      </c>
      <c r="D83" s="613" t="s">
        <v>1207</v>
      </c>
      <c r="E83" s="613" t="s">
        <v>1147</v>
      </c>
      <c r="F83" s="701">
        <f>L128*H83</f>
        <v>0</v>
      </c>
      <c r="G83" s="701">
        <f>L133*H83</f>
        <v>0</v>
      </c>
      <c r="H83" s="702">
        <v>0</v>
      </c>
      <c r="I83" s="695">
        <v>0</v>
      </c>
      <c r="J83" s="696" t="b">
        <f>IF(H83,G83/F83)</f>
        <v>0</v>
      </c>
      <c r="K83" s="695">
        <f t="shared" si="3"/>
        <v>1</v>
      </c>
      <c r="M83" s="687">
        <f t="shared" si="4"/>
        <v>0</v>
      </c>
      <c r="N83" s="641">
        <f t="shared" si="5"/>
        <v>0</v>
      </c>
      <c r="O83" s="688">
        <f t="shared" si="6"/>
        <v>0</v>
      </c>
      <c r="Q83" s="623" t="s">
        <v>536</v>
      </c>
      <c r="R83" s="689">
        <f t="shared" si="7"/>
        <v>10.832757658251042</v>
      </c>
      <c r="T83" s="613" t="s">
        <v>1147</v>
      </c>
      <c r="U83" s="690">
        <f t="shared" si="13"/>
        <v>0</v>
      </c>
      <c r="V83" s="691">
        <f t="shared" si="14"/>
        <v>0</v>
      </c>
      <c r="AB83" s="700"/>
    </row>
    <row r="84" spans="1:28" hidden="1">
      <c r="D84" s="613" t="s">
        <v>225</v>
      </c>
      <c r="E84" s="613" t="s">
        <v>962</v>
      </c>
      <c r="F84" s="703"/>
      <c r="M84" s="687">
        <f>SUMIF($B$58:$B$80,LEFT(E84,3),$N$58:$N$80)</f>
        <v>8.5374118484441937</v>
      </c>
      <c r="N84" s="641"/>
      <c r="O84" s="688"/>
      <c r="Q84" s="623" t="s">
        <v>973</v>
      </c>
      <c r="R84" s="689">
        <f t="shared" si="7"/>
        <v>11.290252340911994</v>
      </c>
      <c r="U84" s="704"/>
    </row>
    <row r="85" spans="1:28" hidden="1">
      <c r="D85" s="613" t="s">
        <v>241</v>
      </c>
      <c r="E85" s="613" t="s">
        <v>966</v>
      </c>
      <c r="M85" s="687">
        <f>SUMIF($B$58:$B$80,LEFT(E85,3),$N$58:$N$80)</f>
        <v>2.0412218198865215</v>
      </c>
      <c r="N85" s="641"/>
      <c r="O85" s="688"/>
      <c r="Q85" s="623" t="s">
        <v>974</v>
      </c>
      <c r="R85" s="689">
        <f t="shared" si="7"/>
        <v>21.096807127224317</v>
      </c>
    </row>
    <row r="86" spans="1:28" hidden="1">
      <c r="D86" s="613" t="s">
        <v>237</v>
      </c>
      <c r="E86" s="613" t="s">
        <v>968</v>
      </c>
      <c r="M86" s="687">
        <f>SUMIF($B$58:$B$80,LEFT(E86,3),$N$58:$N$80)</f>
        <v>1.8627467984019057</v>
      </c>
      <c r="N86" s="641"/>
      <c r="O86" s="688"/>
      <c r="Q86" s="623" t="s">
        <v>341</v>
      </c>
      <c r="R86" s="689">
        <f t="shared" si="7"/>
        <v>5.1380090000000003</v>
      </c>
    </row>
    <row r="87" spans="1:28" hidden="1">
      <c r="D87" s="613" t="s">
        <v>230</v>
      </c>
      <c r="E87" s="613" t="s">
        <v>973</v>
      </c>
      <c r="M87" s="687">
        <f>SUMIF($B$58:$B$80,LEFT(E87,3),$N$58:$N$80)</f>
        <v>11.290252340911994</v>
      </c>
      <c r="N87" s="641"/>
      <c r="O87" s="688"/>
      <c r="Q87" s="623" t="s">
        <v>342</v>
      </c>
      <c r="R87" s="689">
        <f t="shared" si="7"/>
        <v>0</v>
      </c>
      <c r="T87" s="612" t="s">
        <v>328</v>
      </c>
    </row>
    <row r="88" spans="1:28" hidden="1">
      <c r="D88" s="613" t="s">
        <v>233</v>
      </c>
      <c r="E88" s="613" t="s">
        <v>970</v>
      </c>
      <c r="M88" s="687">
        <f>SUMIF($B$58:$B$83,LEFT(E88,3),$N$58:$N$83)</f>
        <v>72.515278284706866</v>
      </c>
      <c r="N88" s="641"/>
      <c r="O88" s="688"/>
      <c r="Q88" s="623" t="s">
        <v>343</v>
      </c>
      <c r="R88" s="689">
        <f t="shared" si="7"/>
        <v>15.171078511560696</v>
      </c>
      <c r="V88" s="613" t="s">
        <v>329</v>
      </c>
      <c r="W88" s="613" t="s">
        <v>330</v>
      </c>
    </row>
    <row r="89" spans="1:28" hidden="1">
      <c r="D89" s="613" t="s">
        <v>226</v>
      </c>
      <c r="E89" s="613" t="s">
        <v>963</v>
      </c>
      <c r="M89" s="687">
        <f>SUMIF($B$58:$B$80,LEFT(E89,3),$O$58:$O$80)</f>
        <v>6.3310081122140991</v>
      </c>
      <c r="N89" s="641"/>
      <c r="O89" s="688"/>
      <c r="Q89" s="623" t="s">
        <v>344</v>
      </c>
      <c r="R89" s="689">
        <f t="shared" si="7"/>
        <v>0.34946913600000112</v>
      </c>
      <c r="T89" s="613" t="s">
        <v>359</v>
      </c>
      <c r="U89" s="614">
        <f>A72</f>
        <v>15</v>
      </c>
      <c r="V89" s="705">
        <v>47</v>
      </c>
      <c r="W89" s="700">
        <f>VLOOKUP($C$3,$B$35:$X$52,U89,FALSE)*V89</f>
        <v>20.216916238641154</v>
      </c>
    </row>
    <row r="90" spans="1:28" hidden="1">
      <c r="D90" s="613" t="s">
        <v>242</v>
      </c>
      <c r="E90" s="613" t="s">
        <v>967</v>
      </c>
      <c r="M90" s="687">
        <f>SUMIF($B$58:$B$80,LEFT(E90,3),$O$58:$O$80)</f>
        <v>1.1991862393381074</v>
      </c>
      <c r="N90" s="641"/>
      <c r="O90" s="688"/>
      <c r="Q90" s="623" t="s">
        <v>345</v>
      </c>
      <c r="R90" s="689">
        <f t="shared" si="7"/>
        <v>0</v>
      </c>
      <c r="T90" s="613" t="s">
        <v>253</v>
      </c>
      <c r="U90" s="614">
        <f>A73</f>
        <v>16</v>
      </c>
      <c r="V90" s="705">
        <v>42.5</v>
      </c>
      <c r="W90" s="700">
        <f>VLOOKUP($C$3,$B$35:$X$52,U90,FALSE)*V90</f>
        <v>6.0859010180358277</v>
      </c>
    </row>
    <row r="91" spans="1:28" hidden="1">
      <c r="D91" s="613" t="s">
        <v>238</v>
      </c>
      <c r="E91" s="613" t="s">
        <v>969</v>
      </c>
      <c r="M91" s="687">
        <f>SUMIF($B$58:$B$80,LEFT(E91,3),$O$58:$O$80)</f>
        <v>2.6221577850202591</v>
      </c>
      <c r="N91" s="641"/>
      <c r="O91" s="688"/>
      <c r="Q91" s="623" t="s">
        <v>970</v>
      </c>
      <c r="R91" s="689">
        <f t="shared" si="7"/>
        <v>72.515278284706866</v>
      </c>
      <c r="T91" s="613" t="s">
        <v>357</v>
      </c>
      <c r="U91" s="614">
        <f>A74</f>
        <v>17</v>
      </c>
      <c r="V91" s="705">
        <v>21</v>
      </c>
      <c r="W91" s="700">
        <f>VLOOKUP($C$3,$B$35:$X$52,U91,FALSE)*V91</f>
        <v>1.9929779999999999</v>
      </c>
    </row>
    <row r="92" spans="1:28" hidden="1">
      <c r="D92" s="613" t="s">
        <v>229</v>
      </c>
      <c r="E92" s="613" t="s">
        <v>974</v>
      </c>
      <c r="M92" s="687">
        <f>SUMIF($B$58:$B$80,LEFT(E92,3),$O$58:$O$80)</f>
        <v>21.096807127224317</v>
      </c>
      <c r="N92" s="641"/>
      <c r="O92" s="688"/>
      <c r="Q92" s="623" t="s">
        <v>971</v>
      </c>
      <c r="R92" s="689">
        <f t="shared" si="7"/>
        <v>165.39392013854444</v>
      </c>
      <c r="T92" s="613" t="s">
        <v>354</v>
      </c>
      <c r="U92" s="614">
        <f>A76</f>
        <v>19</v>
      </c>
      <c r="V92" s="705">
        <v>20</v>
      </c>
      <c r="W92" s="700">
        <f>VLOOKUP($C$3,$B$35:$X$52,U92,FALSE)*V92</f>
        <v>0</v>
      </c>
    </row>
    <row r="93" spans="1:28" hidden="1">
      <c r="D93" s="613" t="s">
        <v>234</v>
      </c>
      <c r="E93" s="613" t="s">
        <v>971</v>
      </c>
      <c r="M93" s="687">
        <f>SUMIF($B$58:$B$83,LEFT(E93,3),$O$58:$O$83)</f>
        <v>165.39392013854444</v>
      </c>
      <c r="N93" s="641"/>
      <c r="O93" s="688"/>
      <c r="T93" s="613" t="s">
        <v>535</v>
      </c>
      <c r="U93" s="614">
        <f>A77</f>
        <v>0</v>
      </c>
      <c r="V93" s="706">
        <f ca="1">MAX(0,AuxData!$S$37-SUM(W89:W92))</f>
        <v>15.682254943323024</v>
      </c>
      <c r="W93" s="700">
        <f>V93</f>
        <v>15.682254943323024</v>
      </c>
    </row>
    <row r="94" spans="1:28" hidden="1">
      <c r="Q94" s="704"/>
      <c r="R94" s="704"/>
    </row>
    <row r="95" spans="1:28" hidden="1"/>
    <row r="96" spans="1:28" hidden="1"/>
    <row r="97" spans="1:21" hidden="1"/>
    <row r="98" spans="1:21" ht="18" hidden="1">
      <c r="A98" s="707" t="s">
        <v>1128</v>
      </c>
      <c r="B98" s="708"/>
      <c r="C98" s="708"/>
      <c r="D98" s="708"/>
      <c r="E98" s="708"/>
      <c r="F98" s="708"/>
      <c r="G98" s="708"/>
      <c r="H98" s="708"/>
      <c r="I98" s="708"/>
      <c r="J98" s="708"/>
      <c r="K98" s="708"/>
      <c r="L98" s="708"/>
      <c r="M98" s="708"/>
      <c r="N98" s="708"/>
      <c r="O98" s="708"/>
      <c r="P98" s="708"/>
    </row>
    <row r="99" spans="1:21" hidden="1">
      <c r="H99" s="681"/>
      <c r="I99" s="681"/>
    </row>
    <row r="100" spans="1:21" hidden="1">
      <c r="B100" s="709">
        <f ca="1">BaseYear</f>
        <v>2010</v>
      </c>
      <c r="C100" s="613" t="s">
        <v>446</v>
      </c>
      <c r="L100" s="710">
        <f>MATCH(Region,$G$101:$K$101,0)</f>
        <v>3</v>
      </c>
      <c r="P100" s="614" t="s">
        <v>50</v>
      </c>
    </row>
    <row r="101" spans="1:21" hidden="1">
      <c r="C101" s="613" t="s">
        <v>447</v>
      </c>
      <c r="G101" s="613" t="s">
        <v>1341</v>
      </c>
      <c r="H101" s="613" t="s">
        <v>1097</v>
      </c>
      <c r="I101" s="613" t="s">
        <v>86</v>
      </c>
      <c r="J101" s="613" t="s">
        <v>1098</v>
      </c>
      <c r="K101" s="613" t="s">
        <v>1099</v>
      </c>
      <c r="L101" s="613" t="s">
        <v>1194</v>
      </c>
      <c r="N101" s="613" t="s">
        <v>983</v>
      </c>
      <c r="O101" s="613" t="s">
        <v>450</v>
      </c>
      <c r="P101" s="711">
        <v>0.81</v>
      </c>
      <c r="S101" s="612" t="s">
        <v>1215</v>
      </c>
    </row>
    <row r="102" spans="1:21" hidden="1">
      <c r="B102" s="631" t="s">
        <v>264</v>
      </c>
      <c r="C102" s="712">
        <v>2.2870539999999999</v>
      </c>
      <c r="E102" s="613" t="s">
        <v>446</v>
      </c>
      <c r="F102" s="613" t="s">
        <v>284</v>
      </c>
      <c r="G102" s="681">
        <v>0</v>
      </c>
      <c r="H102" s="713">
        <v>3.4000000000000002E-2</v>
      </c>
      <c r="I102" s="636">
        <v>5.1226500000000001</v>
      </c>
      <c r="J102" s="636">
        <v>0.48499999999999999</v>
      </c>
      <c r="K102" s="714">
        <v>2.57701</v>
      </c>
      <c r="L102" s="638">
        <f t="shared" ref="L102:L126" si="15">INDEX($G102:$K102,$L$100)</f>
        <v>5.1226500000000001</v>
      </c>
      <c r="N102" s="613" t="s">
        <v>451</v>
      </c>
      <c r="O102" s="613" t="s">
        <v>913</v>
      </c>
      <c r="P102" s="715">
        <v>0.9</v>
      </c>
      <c r="S102" s="613" t="s">
        <v>1182</v>
      </c>
      <c r="T102" s="681">
        <f>L102</f>
        <v>5.1226500000000001</v>
      </c>
      <c r="U102" s="681">
        <f>T102*L121</f>
        <v>3.4731567000000005</v>
      </c>
    </row>
    <row r="103" spans="1:21" hidden="1">
      <c r="B103" s="638" t="s">
        <v>265</v>
      </c>
      <c r="C103" s="716">
        <v>2.6005050000000001</v>
      </c>
      <c r="E103" s="613" t="s">
        <v>1131</v>
      </c>
      <c r="F103" s="613" t="s">
        <v>1132</v>
      </c>
      <c r="G103" s="651">
        <v>0</v>
      </c>
      <c r="H103" s="645">
        <v>0</v>
      </c>
      <c r="I103" s="647">
        <f>3.165-0.415</f>
        <v>2.75</v>
      </c>
      <c r="J103" s="647">
        <v>0</v>
      </c>
      <c r="K103" s="717">
        <v>2.35</v>
      </c>
      <c r="L103" s="638">
        <f t="shared" si="15"/>
        <v>2.75</v>
      </c>
      <c r="N103" s="613" t="s">
        <v>451</v>
      </c>
      <c r="O103" s="613" t="s">
        <v>906</v>
      </c>
      <c r="P103" s="715">
        <v>0.9</v>
      </c>
      <c r="S103" s="613" t="s">
        <v>1183</v>
      </c>
      <c r="T103" s="681">
        <f>H78-T102</f>
        <v>5.1533680000000004</v>
      </c>
      <c r="U103" s="681">
        <f>T103*L122</f>
        <v>4.9626933840000005</v>
      </c>
    </row>
    <row r="104" spans="1:21" hidden="1">
      <c r="B104" s="638" t="s">
        <v>266</v>
      </c>
      <c r="C104" s="716">
        <v>3.3400129999999999</v>
      </c>
      <c r="E104" s="613" t="s">
        <v>1388</v>
      </c>
      <c r="F104" s="613" t="s">
        <v>1389</v>
      </c>
      <c r="I104" s="613">
        <v>0.41499999999999998</v>
      </c>
      <c r="K104" s="613">
        <v>0.5</v>
      </c>
      <c r="L104" s="638">
        <f t="shared" si="15"/>
        <v>0.41499999999999998</v>
      </c>
      <c r="N104" s="613" t="s">
        <v>451</v>
      </c>
      <c r="O104" s="613" t="s">
        <v>655</v>
      </c>
      <c r="P104" s="649">
        <v>0.8</v>
      </c>
    </row>
    <row r="105" spans="1:21" hidden="1">
      <c r="B105" s="638" t="s">
        <v>267</v>
      </c>
      <c r="C105" s="716">
        <v>18.723914000000001</v>
      </c>
      <c r="E105" s="613" t="s">
        <v>1133</v>
      </c>
      <c r="F105" s="613" t="s">
        <v>1134</v>
      </c>
      <c r="G105" s="681">
        <v>0.1</v>
      </c>
      <c r="H105" s="681">
        <v>0.73542700000000005</v>
      </c>
      <c r="I105" s="681">
        <v>13.102</v>
      </c>
      <c r="J105" s="681">
        <v>3.1030000000000002</v>
      </c>
      <c r="K105" s="681">
        <v>19.041</v>
      </c>
      <c r="L105" s="689">
        <f t="shared" si="15"/>
        <v>13.102</v>
      </c>
      <c r="N105" s="613" t="s">
        <v>1391</v>
      </c>
      <c r="P105" s="718">
        <f>SUM(L103:L104)</f>
        <v>3.165</v>
      </c>
      <c r="S105" s="612" t="s">
        <v>1188</v>
      </c>
    </row>
    <row r="106" spans="1:21" hidden="1">
      <c r="B106" s="638" t="s">
        <v>1094</v>
      </c>
      <c r="C106" s="716">
        <v>1.9302619999999999</v>
      </c>
      <c r="E106" s="613" t="s">
        <v>1129</v>
      </c>
      <c r="F106" s="613" t="s">
        <v>1130</v>
      </c>
      <c r="G106" s="651">
        <v>15</v>
      </c>
      <c r="H106" s="651">
        <v>16.104803544529247</v>
      </c>
      <c r="I106" s="651">
        <v>18.38</v>
      </c>
      <c r="J106" s="651">
        <v>16.104803544529247</v>
      </c>
      <c r="K106" s="651">
        <v>16.441081081081084</v>
      </c>
      <c r="L106" s="689">
        <f t="shared" si="15"/>
        <v>18.38</v>
      </c>
      <c r="N106" s="613" t="s">
        <v>1143</v>
      </c>
      <c r="P106" s="719">
        <f>INDEX($G108:$K108,L$100)</f>
        <v>5.056</v>
      </c>
      <c r="S106" s="613" t="s">
        <v>1174</v>
      </c>
      <c r="T106" s="700">
        <f>L113*H$79</f>
        <v>0.86436001116599182</v>
      </c>
      <c r="U106" s="700">
        <f>IF(U$102,T106/U$102,0)</f>
        <v>0.2488687052807009</v>
      </c>
    </row>
    <row r="107" spans="1:21" hidden="1">
      <c r="B107" s="638" t="s">
        <v>268</v>
      </c>
      <c r="C107" s="716">
        <v>4.0889009999999999</v>
      </c>
      <c r="E107" s="613" t="s">
        <v>1135</v>
      </c>
      <c r="F107" s="613" t="s">
        <v>1187</v>
      </c>
      <c r="G107" s="681">
        <f>I107</f>
        <v>0.77</v>
      </c>
      <c r="H107" s="681">
        <v>0.8</v>
      </c>
      <c r="I107" s="681">
        <v>0.77</v>
      </c>
      <c r="J107" s="681">
        <v>0.8</v>
      </c>
      <c r="K107" s="681">
        <v>0.61381314545513455</v>
      </c>
      <c r="L107" s="689">
        <f t="shared" si="15"/>
        <v>0.77</v>
      </c>
      <c r="N107" s="613" t="s">
        <v>1144</v>
      </c>
      <c r="P107" s="719">
        <v>2.8</v>
      </c>
      <c r="S107" s="613" t="s">
        <v>1177</v>
      </c>
      <c r="T107" s="700">
        <f>L112*H$79</f>
        <v>0.72839110107455218</v>
      </c>
      <c r="U107" s="700">
        <f>IF(U$102,T107/U$102,0)</f>
        <v>0.20972019519722565</v>
      </c>
    </row>
    <row r="108" spans="1:21" hidden="1">
      <c r="B108" s="638" t="s">
        <v>269</v>
      </c>
      <c r="C108" s="716">
        <v>2.9841229999999999</v>
      </c>
      <c r="E108" s="613" t="s">
        <v>1136</v>
      </c>
      <c r="F108" s="613" t="s">
        <v>1186</v>
      </c>
      <c r="G108" s="613">
        <v>5.0999999999999996</v>
      </c>
      <c r="H108" s="651">
        <v>5.2</v>
      </c>
      <c r="I108" s="651">
        <v>5.056</v>
      </c>
      <c r="J108" s="651">
        <v>5.2</v>
      </c>
      <c r="K108" s="651">
        <v>5.3949999999999996</v>
      </c>
      <c r="L108" s="638">
        <f t="shared" si="15"/>
        <v>5.056</v>
      </c>
      <c r="N108" s="613" t="s">
        <v>1145</v>
      </c>
      <c r="P108" s="719">
        <f>2.3</f>
        <v>2.2999999999999998</v>
      </c>
      <c r="S108" s="613" t="s">
        <v>1178</v>
      </c>
      <c r="T108" s="700">
        <f>L116*(H$80-P$105)*(L118)</f>
        <v>0.84822021541921833</v>
      </c>
      <c r="U108" s="700">
        <f>IF(U$102,T108/U$102,0)</f>
        <v>0.24422169475371444</v>
      </c>
    </row>
    <row r="109" spans="1:21" hidden="1">
      <c r="B109" s="638" t="s">
        <v>1095</v>
      </c>
      <c r="C109" s="716">
        <v>15.977</v>
      </c>
      <c r="E109" s="613" t="s">
        <v>1133</v>
      </c>
      <c r="F109" s="613" t="s">
        <v>502</v>
      </c>
      <c r="G109" s="613">
        <v>0.4</v>
      </c>
      <c r="H109" s="652">
        <v>3</v>
      </c>
      <c r="I109" s="653">
        <v>62.2</v>
      </c>
      <c r="J109" s="653">
        <v>13</v>
      </c>
      <c r="K109" s="654">
        <v>75</v>
      </c>
      <c r="L109" s="638">
        <f t="shared" si="15"/>
        <v>62.2</v>
      </c>
      <c r="N109" s="613" t="s">
        <v>1137</v>
      </c>
      <c r="P109" s="719">
        <v>0.73167969326058102</v>
      </c>
      <c r="S109" s="613" t="s">
        <v>1179</v>
      </c>
      <c r="T109" s="700">
        <f>L117*(H$80-P$105)*(L119)</f>
        <v>1.9849961714885378</v>
      </c>
      <c r="U109" s="700">
        <f>IF(U$102,T109/U$102,0)</f>
        <v>0.57152508307170169</v>
      </c>
    </row>
    <row r="110" spans="1:21" hidden="1">
      <c r="B110" s="638" t="s">
        <v>1096</v>
      </c>
      <c r="C110" s="716">
        <v>7.5017509999999996</v>
      </c>
      <c r="E110" s="613" t="s">
        <v>1133</v>
      </c>
      <c r="F110" s="613" t="s">
        <v>1214</v>
      </c>
      <c r="G110" s="613">
        <v>0.5</v>
      </c>
      <c r="H110" s="720">
        <v>3.1</v>
      </c>
      <c r="I110" s="721">
        <v>80</v>
      </c>
      <c r="J110" s="721">
        <v>25</v>
      </c>
      <c r="K110" s="722">
        <v>90</v>
      </c>
      <c r="L110" s="638">
        <f t="shared" si="15"/>
        <v>80</v>
      </c>
      <c r="N110" s="613" t="s">
        <v>1228</v>
      </c>
      <c r="P110" s="723">
        <v>1.968</v>
      </c>
      <c r="S110" s="613" t="s">
        <v>1181</v>
      </c>
      <c r="T110" s="700">
        <f>L115*(H80-P$105)</f>
        <v>0.4200060383029407</v>
      </c>
      <c r="U110" s="700">
        <f t="shared" ref="U110:U115" si="16">IF(U$103,T110/U$103,0)</f>
        <v>8.4632679435135666E-2</v>
      </c>
    </row>
    <row r="111" spans="1:21" hidden="1">
      <c r="B111" s="638" t="s">
        <v>270</v>
      </c>
      <c r="C111" s="716">
        <v>3.1178680000000001</v>
      </c>
      <c r="E111" s="613" t="s">
        <v>1133</v>
      </c>
      <c r="F111" s="613" t="s">
        <v>1295</v>
      </c>
      <c r="G111" s="613">
        <v>0</v>
      </c>
      <c r="H111" s="613">
        <v>0</v>
      </c>
      <c r="I111" s="613">
        <v>8</v>
      </c>
      <c r="J111" s="613">
        <v>0</v>
      </c>
      <c r="K111" s="613">
        <v>4</v>
      </c>
      <c r="L111" s="638">
        <f t="shared" si="15"/>
        <v>8</v>
      </c>
      <c r="N111" s="613" t="s">
        <v>1346</v>
      </c>
      <c r="P111" s="723">
        <v>1.3321025641025641</v>
      </c>
      <c r="S111" s="613" t="s">
        <v>1175</v>
      </c>
      <c r="T111" s="700">
        <f>L114*H$79</f>
        <v>0.48767825567317646</v>
      </c>
      <c r="U111" s="700">
        <f t="shared" si="16"/>
        <v>9.8268866911157216E-2</v>
      </c>
    </row>
    <row r="112" spans="1:21" hidden="1">
      <c r="B112" s="638" t="s">
        <v>271</v>
      </c>
      <c r="C112" s="716">
        <v>6.479851</v>
      </c>
      <c r="E112" s="613" t="s">
        <v>1188</v>
      </c>
      <c r="F112" s="613" t="s">
        <v>1177</v>
      </c>
      <c r="G112" s="681">
        <v>0.35558999638957894</v>
      </c>
      <c r="H112" s="713">
        <v>1</v>
      </c>
      <c r="I112" s="636">
        <v>0.27284417600122318</v>
      </c>
      <c r="J112" s="636">
        <v>4.6451465380170684E-2</v>
      </c>
      <c r="K112" s="714">
        <v>4.3260426807429947E-2</v>
      </c>
      <c r="L112" s="689">
        <f t="shared" si="15"/>
        <v>0.27284417600122318</v>
      </c>
      <c r="N112" s="613" t="s">
        <v>1142</v>
      </c>
      <c r="P112" s="637">
        <v>1.4</v>
      </c>
      <c r="S112" s="613" t="s">
        <v>1176</v>
      </c>
      <c r="T112" s="700">
        <f>(1-SUM(L112:L114))*H79</f>
        <v>0.58919368121922766</v>
      </c>
      <c r="U112" s="700">
        <f t="shared" si="16"/>
        <v>0.11872457869728983</v>
      </c>
    </row>
    <row r="113" spans="2:21" hidden="1">
      <c r="B113" s="638" t="s">
        <v>563</v>
      </c>
      <c r="C113" s="716">
        <v>37.200888999999997</v>
      </c>
      <c r="F113" s="724" t="s">
        <v>1174</v>
      </c>
      <c r="G113" s="681">
        <v>0.31418599945406628</v>
      </c>
      <c r="H113" s="687">
        <v>0</v>
      </c>
      <c r="I113" s="641">
        <v>0.32377605199607579</v>
      </c>
      <c r="J113" s="641">
        <v>0.38855336003498869</v>
      </c>
      <c r="K113" s="688">
        <v>0.24778502909318473</v>
      </c>
      <c r="L113" s="689">
        <f t="shared" si="15"/>
        <v>0.32377605199607579</v>
      </c>
      <c r="N113" s="613" t="s">
        <v>182</v>
      </c>
      <c r="P113" s="637">
        <f>0.25+0.1</f>
        <v>0.35</v>
      </c>
      <c r="Q113" s="613" t="s">
        <v>183</v>
      </c>
      <c r="S113" s="613" t="s">
        <v>1178</v>
      </c>
      <c r="T113" s="700">
        <f>L116*(H$80-P$105)*(1-L118)</f>
        <v>0.77498983539795108</v>
      </c>
      <c r="U113" s="700">
        <f t="shared" si="16"/>
        <v>0.15616315081978699</v>
      </c>
    </row>
    <row r="114" spans="2:21" hidden="1">
      <c r="B114" s="638" t="s">
        <v>705</v>
      </c>
      <c r="C114" s="716">
        <v>35.601367000000003</v>
      </c>
      <c r="F114" s="724" t="s">
        <v>1175</v>
      </c>
      <c r="G114" s="681">
        <v>0.1238136495505601</v>
      </c>
      <c r="H114" s="687">
        <v>0</v>
      </c>
      <c r="I114" s="641">
        <v>0.18267682241939243</v>
      </c>
      <c r="J114" s="641">
        <v>0.48422017686068564</v>
      </c>
      <c r="K114" s="688">
        <v>0.56522539050692788</v>
      </c>
      <c r="L114" s="689">
        <f t="shared" si="15"/>
        <v>0.18267682241939243</v>
      </c>
      <c r="N114" s="613" t="s">
        <v>180</v>
      </c>
      <c r="P114" s="637">
        <f>1.11+0.53</f>
        <v>1.6400000000000001</v>
      </c>
      <c r="Q114" s="613" t="s">
        <v>183</v>
      </c>
      <c r="S114" s="613" t="s">
        <v>1179</v>
      </c>
      <c r="T114" s="700">
        <f>L117*(H$80-P$105)*(1-L119)</f>
        <v>0.78778504773240254</v>
      </c>
      <c r="U114" s="700">
        <f t="shared" si="16"/>
        <v>0.15874143066590923</v>
      </c>
    </row>
    <row r="115" spans="2:21" hidden="1">
      <c r="B115" s="638" t="s">
        <v>1097</v>
      </c>
      <c r="C115" s="716">
        <v>0.73101700000000003</v>
      </c>
      <c r="F115" s="724" t="s">
        <v>1181</v>
      </c>
      <c r="G115" s="681">
        <v>8.226691042047532E-2</v>
      </c>
      <c r="H115" s="687">
        <v>1</v>
      </c>
      <c r="I115" s="641">
        <v>7.9797826038994185E-2</v>
      </c>
      <c r="J115" s="641">
        <v>2.1277953911951826E-3</v>
      </c>
      <c r="K115" s="688">
        <v>4.8362155373812395E-2</v>
      </c>
      <c r="L115" s="689">
        <f t="shared" si="15"/>
        <v>7.9797826038994185E-2</v>
      </c>
      <c r="N115" s="613" t="s">
        <v>1139</v>
      </c>
      <c r="P115" s="725">
        <v>7</v>
      </c>
      <c r="Q115" s="613" t="s">
        <v>1141</v>
      </c>
      <c r="S115" s="613" t="s">
        <v>1180</v>
      </c>
      <c r="T115" s="700">
        <f>(1-SUM(L115:L117))*(H$80-P$105)</f>
        <v>0.44737964252600204</v>
      </c>
      <c r="U115" s="700">
        <f t="shared" si="16"/>
        <v>9.0148556017661474E-2</v>
      </c>
    </row>
    <row r="116" spans="2:21" hidden="1">
      <c r="B116" s="638" t="s">
        <v>86</v>
      </c>
      <c r="C116" s="716">
        <v>0.74436800000000003</v>
      </c>
      <c r="F116" s="613" t="s">
        <v>1178</v>
      </c>
      <c r="G116" s="681">
        <v>0.39213893967093238</v>
      </c>
      <c r="H116" s="687">
        <v>0</v>
      </c>
      <c r="I116" s="641">
        <v>0.30839707396403993</v>
      </c>
      <c r="J116" s="641">
        <v>0.5257930928905501</v>
      </c>
      <c r="K116" s="688">
        <v>0.18956623244262913</v>
      </c>
      <c r="L116" s="689">
        <f t="shared" si="15"/>
        <v>0.30839707396403993</v>
      </c>
    </row>
    <row r="117" spans="2:21" hidden="1">
      <c r="B117" s="638" t="s">
        <v>1098</v>
      </c>
      <c r="C117" s="716">
        <v>0.56794599999999995</v>
      </c>
      <c r="F117" s="613" t="s">
        <v>1179</v>
      </c>
      <c r="G117" s="681">
        <v>0.42943327239488116</v>
      </c>
      <c r="H117" s="687">
        <v>0</v>
      </c>
      <c r="I117" s="641">
        <v>0.52680650561502562</v>
      </c>
      <c r="J117" s="641">
        <v>0.22980190224907973</v>
      </c>
      <c r="K117" s="688">
        <v>0.41672741243842876</v>
      </c>
      <c r="L117" s="689">
        <f t="shared" si="15"/>
        <v>0.52680650561502562</v>
      </c>
      <c r="N117" s="613" t="s">
        <v>1140</v>
      </c>
      <c r="P117" s="719">
        <f>SQRT($I$106*L106)</f>
        <v>18.38</v>
      </c>
      <c r="Q117" s="613" t="s">
        <v>183</v>
      </c>
      <c r="S117" s="612" t="s">
        <v>1209</v>
      </c>
    </row>
    <row r="118" spans="2:21" hidden="1">
      <c r="B118" s="638" t="s">
        <v>1099</v>
      </c>
      <c r="C118" s="716">
        <v>0.70685699999999996</v>
      </c>
      <c r="E118" s="613" t="s">
        <v>1195</v>
      </c>
      <c r="F118" s="613" t="s">
        <v>1178</v>
      </c>
      <c r="G118" s="681">
        <v>0.60230754275499221</v>
      </c>
      <c r="H118" s="687">
        <v>0</v>
      </c>
      <c r="I118" s="641">
        <v>0.52255727161879051</v>
      </c>
      <c r="J118" s="641">
        <v>0.33899804240859482</v>
      </c>
      <c r="K118" s="688">
        <v>0.20971968847403119</v>
      </c>
      <c r="L118" s="689">
        <f t="shared" si="15"/>
        <v>0.52255727161879051</v>
      </c>
      <c r="N118" s="613" t="s">
        <v>1146</v>
      </c>
      <c r="P118" s="719">
        <f>INDEX($G107:$K107,L$100)</f>
        <v>0.77</v>
      </c>
      <c r="S118" s="724" t="s">
        <v>1181</v>
      </c>
      <c r="T118" s="700">
        <f>T110</f>
        <v>0.4200060383029407</v>
      </c>
      <c r="U118" s="692">
        <f>IF(T118&gt;0,T118/T$122,0)</f>
        <v>5.2413113831802936E-2</v>
      </c>
    </row>
    <row r="119" spans="2:21" hidden="1">
      <c r="B119" s="643" t="s">
        <v>1341</v>
      </c>
      <c r="C119" s="716">
        <f>C116*0.3</f>
        <v>0.22331039999999999</v>
      </c>
      <c r="F119" s="613" t="s">
        <v>1179</v>
      </c>
      <c r="G119" s="681">
        <v>0.78951126890674816</v>
      </c>
      <c r="H119" s="687">
        <v>0</v>
      </c>
      <c r="I119" s="641">
        <v>0.71588633020468018</v>
      </c>
      <c r="J119" s="641">
        <v>0.52376089342608956</v>
      </c>
      <c r="K119" s="688">
        <v>0.38925811970784829</v>
      </c>
      <c r="L119" s="689">
        <f t="shared" si="15"/>
        <v>0.71588633020468018</v>
      </c>
      <c r="N119" s="613" t="s">
        <v>350</v>
      </c>
      <c r="P119" s="725">
        <f>INDEX($C$102:$C$119,RegIndex)</f>
        <v>0.74436800000000003</v>
      </c>
      <c r="Q119" s="613" t="s">
        <v>976</v>
      </c>
      <c r="S119" s="613" t="s">
        <v>1178</v>
      </c>
      <c r="T119" s="700">
        <f>T108+T113+L120*L$103</f>
        <v>2.6193595088890462</v>
      </c>
      <c r="U119" s="692">
        <f>IF(T119&gt;0,T119/T$122,0)</f>
        <v>0.32687336748904966</v>
      </c>
    </row>
    <row r="120" spans="2:21" hidden="1">
      <c r="E120" s="613" t="s">
        <v>1206</v>
      </c>
      <c r="F120" s="613" t="s">
        <v>1178</v>
      </c>
      <c r="H120" s="678">
        <v>0</v>
      </c>
      <c r="I120" s="648">
        <v>0.36223616657159158</v>
      </c>
      <c r="J120" s="648">
        <v>0.63175012767787542</v>
      </c>
      <c r="K120" s="679">
        <v>0.20067785407808131</v>
      </c>
      <c r="L120" s="689">
        <f t="shared" si="15"/>
        <v>0.36223616657159158</v>
      </c>
      <c r="N120" s="613" t="s">
        <v>1138</v>
      </c>
      <c r="P120" s="725">
        <f>INDEX($G102:$K102,L$100)</f>
        <v>5.1226500000000001</v>
      </c>
      <c r="S120" s="613" t="s">
        <v>1179</v>
      </c>
      <c r="T120" s="700">
        <f>T109+T114+(1-L120)*L$103</f>
        <v>4.526631761149063</v>
      </c>
      <c r="U120" s="692">
        <f>IF(T120&gt;0,T120/T$122,0)</f>
        <v>0.56488441625840136</v>
      </c>
    </row>
    <row r="121" spans="2:21" hidden="1">
      <c r="E121" s="613" t="s">
        <v>1189</v>
      </c>
      <c r="F121" s="613" t="s">
        <v>1182</v>
      </c>
      <c r="G121" s="681">
        <v>0.69849146767329739</v>
      </c>
      <c r="H121" s="713">
        <v>0.69722335752296005</v>
      </c>
      <c r="I121" s="636">
        <v>0.67800000000000005</v>
      </c>
      <c r="J121" s="636">
        <v>0.80077161770790239</v>
      </c>
      <c r="K121" s="714">
        <v>0.67551955719557188</v>
      </c>
      <c r="L121" s="689">
        <f t="shared" si="15"/>
        <v>0.67800000000000005</v>
      </c>
      <c r="N121" s="613" t="s">
        <v>452</v>
      </c>
      <c r="P121" s="726">
        <v>0.04</v>
      </c>
      <c r="S121" s="613" t="s">
        <v>1180</v>
      </c>
      <c r="T121" s="700">
        <f>T115</f>
        <v>0.44737964252600204</v>
      </c>
      <c r="U121" s="692">
        <f>IF(T121&gt;0,T121/T$122,0)</f>
        <v>5.5829102420746013E-2</v>
      </c>
    </row>
    <row r="122" spans="2:21" hidden="1">
      <c r="F122" s="613" t="s">
        <v>1183</v>
      </c>
      <c r="G122" s="681">
        <v>0.99784495381899641</v>
      </c>
      <c r="H122" s="678">
        <v>0.99603336788994312</v>
      </c>
      <c r="I122" s="648">
        <v>0.96299999999999997</v>
      </c>
      <c r="J122" s="648">
        <v>1.1439594538684321</v>
      </c>
      <c r="K122" s="679">
        <v>0.96502793885081706</v>
      </c>
      <c r="L122" s="689">
        <f t="shared" si="15"/>
        <v>0.96299999999999997</v>
      </c>
      <c r="N122" s="613" t="s">
        <v>182</v>
      </c>
      <c r="P122" s="727">
        <v>0</v>
      </c>
      <c r="T122" s="700">
        <f>SUM(T118:T121)</f>
        <v>8.0133769508670518</v>
      </c>
      <c r="U122" s="700">
        <f>SUM(U118:U121)</f>
        <v>1</v>
      </c>
    </row>
    <row r="123" spans="2:21" hidden="1">
      <c r="E123" s="613" t="s">
        <v>1193</v>
      </c>
      <c r="F123" s="613" t="s">
        <v>250</v>
      </c>
      <c r="G123" s="681">
        <v>9.4906480381714129</v>
      </c>
      <c r="H123" s="681">
        <v>9.4730392665628784</v>
      </c>
      <c r="I123" s="681">
        <v>9.4906480381714129</v>
      </c>
      <c r="J123" s="681">
        <v>9.4782969619169872</v>
      </c>
      <c r="K123" s="681">
        <v>9.4678507379213919</v>
      </c>
      <c r="L123" s="689">
        <f t="shared" si="15"/>
        <v>9.4906480381714129</v>
      </c>
      <c r="N123" s="613" t="s">
        <v>180</v>
      </c>
      <c r="P123" s="727">
        <f>MAX(0,P117-INDEX($G106:$K106,L$100))</f>
        <v>0</v>
      </c>
    </row>
    <row r="124" spans="2:21" hidden="1">
      <c r="F124" s="613" t="s">
        <v>1190</v>
      </c>
      <c r="G124" s="681">
        <v>6.2934919119468509</v>
      </c>
      <c r="H124" s="681">
        <v>7.3880975609756092</v>
      </c>
      <c r="I124" s="681">
        <f>6.29349191194685*1.05</f>
        <v>6.6081665075441931</v>
      </c>
      <c r="J124" s="681">
        <v>5.282953378607445</v>
      </c>
      <c r="K124" s="681">
        <v>5.1013825247513971</v>
      </c>
      <c r="L124" s="689">
        <f t="shared" si="15"/>
        <v>6.6081665075441931</v>
      </c>
    </row>
    <row r="125" spans="2:21" hidden="1">
      <c r="F125" s="613" t="s">
        <v>1136</v>
      </c>
      <c r="G125" s="681">
        <v>16.881827068900289</v>
      </c>
      <c r="H125" s="681">
        <v>10</v>
      </c>
      <c r="I125" s="681">
        <v>16.881827068900289</v>
      </c>
      <c r="J125" s="681">
        <v>17.239439904687796</v>
      </c>
      <c r="K125" s="681">
        <v>17.379380975498581</v>
      </c>
      <c r="L125" s="689">
        <f t="shared" si="15"/>
        <v>16.881827068900289</v>
      </c>
      <c r="N125" s="613" t="s">
        <v>1127</v>
      </c>
      <c r="U125" s="700"/>
    </row>
    <row r="126" spans="2:21" hidden="1">
      <c r="F126" s="613" t="s">
        <v>1191</v>
      </c>
      <c r="G126" s="681">
        <v>2.7094634146341465</v>
      </c>
      <c r="H126" s="681">
        <v>2.7094634146341465</v>
      </c>
      <c r="I126" s="681">
        <v>2.7094634146341465</v>
      </c>
      <c r="J126" s="681">
        <v>2.7094634146341465</v>
      </c>
      <c r="K126" s="681">
        <v>2.7094634146341465</v>
      </c>
      <c r="L126" s="689">
        <f t="shared" si="15"/>
        <v>2.7094634146341465</v>
      </c>
      <c r="N126" s="613" t="s">
        <v>1165</v>
      </c>
      <c r="P126" s="727">
        <f>P117*H80</f>
        <v>154.91356835693642</v>
      </c>
      <c r="S126" s="613" t="s">
        <v>1384</v>
      </c>
      <c r="T126" s="651">
        <f>71*P109</f>
        <v>51.949258221501253</v>
      </c>
    </row>
    <row r="127" spans="2:21" hidden="1">
      <c r="F127" s="613" t="s">
        <v>1207</v>
      </c>
      <c r="G127" s="613">
        <v>0</v>
      </c>
      <c r="H127" s="681">
        <v>0</v>
      </c>
      <c r="I127" s="681">
        <v>4.492390243902439</v>
      </c>
      <c r="J127" s="681">
        <v>4.492390243902439</v>
      </c>
      <c r="K127" s="681">
        <v>4.492390243902439</v>
      </c>
      <c r="L127" s="689">
        <f>(INDEX($G127:$K127,$L$100)-L132)*X$27</f>
        <v>3.3332768487804878</v>
      </c>
      <c r="N127" s="613" t="s">
        <v>1166</v>
      </c>
      <c r="P127" s="727">
        <f ca="1">MIN(1,$P$126/AuxData!$BJ$62)*SUM(AuxData!AY19:AY20)*Q127</f>
        <v>44.266590270473671</v>
      </c>
      <c r="Q127" s="613">
        <v>0.77</v>
      </c>
      <c r="S127" s="613" t="s">
        <v>1385</v>
      </c>
      <c r="T127" s="651">
        <f>H80*P114+H79*P113</f>
        <v>14.756906266618499</v>
      </c>
    </row>
    <row r="128" spans="2:21" hidden="1">
      <c r="E128" s="613" t="s">
        <v>1192</v>
      </c>
      <c r="F128" s="613" t="s">
        <v>250</v>
      </c>
      <c r="G128" s="681">
        <v>2.6401706380526733</v>
      </c>
      <c r="H128" s="681">
        <v>2.6214184397163125</v>
      </c>
      <c r="I128" s="681">
        <v>2.6401706380526733</v>
      </c>
      <c r="J128" s="681">
        <v>2.6270175438596493</v>
      </c>
      <c r="K128" s="681">
        <v>2.6158929936305735</v>
      </c>
      <c r="L128" s="689">
        <f>INDEX($G128:$K128,$L$100)</f>
        <v>2.6401706380526733</v>
      </c>
      <c r="N128" s="613" t="s">
        <v>1169</v>
      </c>
      <c r="P128" s="727">
        <f ca="1">Calibrati2!Q224-P129</f>
        <v>36.484981602505258</v>
      </c>
      <c r="S128" s="613" t="s">
        <v>1386</v>
      </c>
      <c r="T128" s="651">
        <f>I105*P112</f>
        <v>18.3428</v>
      </c>
    </row>
    <row r="129" spans="5:20" hidden="1">
      <c r="E129" s="724"/>
      <c r="F129" s="613" t="s">
        <v>1190</v>
      </c>
      <c r="G129" s="681">
        <v>8.4656594492968811</v>
      </c>
      <c r="H129" s="681">
        <v>7.6319999999999997</v>
      </c>
      <c r="I129" s="681">
        <f>8.46565944929688*1.1</f>
        <v>9.3122253942265676</v>
      </c>
      <c r="J129" s="681">
        <v>9.1770154354902722</v>
      </c>
      <c r="K129" s="681">
        <v>8.4771799941015953</v>
      </c>
      <c r="L129" s="689">
        <f>INDEX($G129:$K129,$L$100)</f>
        <v>9.3122253942265676</v>
      </c>
      <c r="N129" s="613" t="s">
        <v>1170</v>
      </c>
      <c r="P129" s="727">
        <f ca="1">MIN(Calibrati2!Q224,P126-P127)</f>
        <v>110.64697808646275</v>
      </c>
      <c r="T129" s="651">
        <f>SUM(T126:T128)</f>
        <v>85.048964488119751</v>
      </c>
    </row>
    <row r="130" spans="5:20" hidden="1">
      <c r="E130" s="724"/>
      <c r="F130" s="613" t="s">
        <v>1136</v>
      </c>
      <c r="G130" s="681">
        <v>2.3684590890211825</v>
      </c>
      <c r="H130" s="681">
        <v>1</v>
      </c>
      <c r="I130" s="681">
        <v>2.3684590890211825</v>
      </c>
      <c r="J130" s="681">
        <v>2.3481942325581397</v>
      </c>
      <c r="K130" s="681">
        <v>2.356484405408529</v>
      </c>
      <c r="L130" s="689">
        <f>INDEX($G130:$K130,$L$100)</f>
        <v>2.3684590890211825</v>
      </c>
    </row>
    <row r="131" spans="5:20" hidden="1">
      <c r="E131" s="724"/>
      <c r="F131" s="613" t="s">
        <v>1191</v>
      </c>
      <c r="G131" s="681">
        <v>1.3680000000000001</v>
      </c>
      <c r="H131" s="681">
        <v>1.3680000000000001</v>
      </c>
      <c r="I131" s="681">
        <v>1.3680000000000001</v>
      </c>
      <c r="J131" s="681">
        <v>1.3680000000000001</v>
      </c>
      <c r="K131" s="681">
        <v>1.3680000000000001</v>
      </c>
      <c r="L131" s="689">
        <f>INDEX($G131:$K131,$L$100)</f>
        <v>1.3680000000000001</v>
      </c>
    </row>
    <row r="132" spans="5:20" hidden="1">
      <c r="F132" s="613" t="s">
        <v>1207</v>
      </c>
      <c r="G132" s="613">
        <v>0</v>
      </c>
      <c r="H132" s="681">
        <v>0</v>
      </c>
      <c r="I132" s="681">
        <v>0.46799999999999997</v>
      </c>
      <c r="J132" s="681">
        <v>0.46800000000000003</v>
      </c>
      <c r="K132" s="681">
        <v>0.46800000000000003</v>
      </c>
      <c r="L132" s="689">
        <f>INDEX($G132:$K132,$L$100)*$X$29</f>
        <v>0.40247999999999995</v>
      </c>
    </row>
    <row r="133" spans="5:20" hidden="1">
      <c r="E133" s="613" t="s">
        <v>1283</v>
      </c>
      <c r="F133" s="613" t="s">
        <v>284</v>
      </c>
      <c r="G133" s="613">
        <v>0</v>
      </c>
      <c r="H133" s="613">
        <v>0</v>
      </c>
      <c r="I133" s="613">
        <v>1.1200000000000001</v>
      </c>
      <c r="J133" s="613">
        <v>0</v>
      </c>
      <c r="K133" s="613">
        <v>0.6</v>
      </c>
      <c r="L133" s="689">
        <f>INDEX($G133:$K133,$L$100)</f>
        <v>1.1200000000000001</v>
      </c>
    </row>
    <row r="134" spans="5:20" hidden="1">
      <c r="E134" s="613" t="s">
        <v>1325</v>
      </c>
      <c r="F134" s="613" t="s">
        <v>1326</v>
      </c>
      <c r="G134" s="613">
        <v>0</v>
      </c>
      <c r="H134" s="613">
        <v>30</v>
      </c>
      <c r="I134" s="613">
        <v>50</v>
      </c>
      <c r="J134" s="613">
        <v>50</v>
      </c>
      <c r="K134" s="724">
        <v>135.14400923870599</v>
      </c>
      <c r="L134" s="689">
        <f>INDEX($G134:$K134,$L$100)</f>
        <v>50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2:AM271"/>
  <sheetViews>
    <sheetView showGridLines="0" showRowColHeaders="0" showZeros="0" showOutlineSymbols="0" topLeftCell="IV65536" zoomScale="75" workbookViewId="0">
      <selection activeCell="B16" sqref="B16:B17 B19:B20 B23:B24 S56 B60"/>
    </sheetView>
  </sheetViews>
  <sheetFormatPr defaultColWidth="0" defaultRowHeight="12.75" zeroHeight="1"/>
  <cols>
    <col min="1" max="1" width="0" style="613" hidden="1" customWidth="1"/>
    <col min="2" max="2" width="12.85546875" style="613" hidden="1" customWidth="1"/>
    <col min="3" max="16384" width="0" style="613" hidden="1"/>
  </cols>
  <sheetData>
    <row r="2" spans="1:20" hidden="1">
      <c r="B2" s="613" t="s">
        <v>291</v>
      </c>
    </row>
    <row r="3" spans="1:20" hidden="1">
      <c r="C3" s="613" t="s">
        <v>905</v>
      </c>
      <c r="D3" s="613" t="s">
        <v>906</v>
      </c>
      <c r="E3" s="613" t="s">
        <v>907</v>
      </c>
      <c r="F3" s="613" t="s">
        <v>908</v>
      </c>
      <c r="G3" s="613" t="s">
        <v>909</v>
      </c>
      <c r="H3" s="613" t="s">
        <v>910</v>
      </c>
      <c r="I3" s="613" t="s">
        <v>911</v>
      </c>
      <c r="J3" s="613" t="s">
        <v>912</v>
      </c>
      <c r="K3" s="613" t="s">
        <v>1150</v>
      </c>
      <c r="L3" s="613" t="s">
        <v>913</v>
      </c>
      <c r="M3" s="613" t="s">
        <v>826</v>
      </c>
      <c r="N3" s="613" t="s">
        <v>914</v>
      </c>
      <c r="O3" s="613" t="s">
        <v>915</v>
      </c>
      <c r="P3" s="613" t="s">
        <v>916</v>
      </c>
      <c r="Q3" s="613" t="s">
        <v>917</v>
      </c>
      <c r="R3" s="613" t="s">
        <v>950</v>
      </c>
      <c r="S3" s="613" t="s">
        <v>946</v>
      </c>
      <c r="T3" s="613" t="s">
        <v>888</v>
      </c>
    </row>
    <row r="4" spans="1:20" hidden="1">
      <c r="C4" s="613">
        <v>2</v>
      </c>
      <c r="D4" s="613">
        <v>3</v>
      </c>
      <c r="E4" s="613">
        <v>4</v>
      </c>
      <c r="F4" s="613">
        <v>5</v>
      </c>
      <c r="G4" s="613">
        <v>6</v>
      </c>
      <c r="H4" s="613">
        <v>7</v>
      </c>
      <c r="I4" s="613">
        <v>8</v>
      </c>
      <c r="J4" s="613">
        <v>9</v>
      </c>
      <c r="K4" s="613">
        <v>10</v>
      </c>
      <c r="L4" s="613">
        <v>11</v>
      </c>
      <c r="M4" s="613">
        <v>12</v>
      </c>
      <c r="N4" s="613">
        <v>13</v>
      </c>
      <c r="O4" s="613">
        <v>14</v>
      </c>
      <c r="P4" s="613">
        <v>15</v>
      </c>
      <c r="Q4" s="613">
        <v>16</v>
      </c>
      <c r="R4" s="613">
        <v>17</v>
      </c>
      <c r="S4" s="613">
        <v>18</v>
      </c>
      <c r="T4" s="613">
        <v>19</v>
      </c>
    </row>
    <row r="5" spans="1:20" hidden="1"/>
    <row r="6" spans="1:20" ht="18" hidden="1">
      <c r="B6" s="728" t="s">
        <v>212</v>
      </c>
      <c r="C6" s="729"/>
      <c r="D6" s="708"/>
      <c r="E6" s="729"/>
      <c r="F6" s="708"/>
      <c r="G6" s="708"/>
    </row>
    <row r="7" spans="1:20" hidden="1"/>
    <row r="8" spans="1:20" hidden="1">
      <c r="C8" s="613" t="s">
        <v>905</v>
      </c>
      <c r="D8" s="613" t="s">
        <v>906</v>
      </c>
      <c r="E8" s="613" t="s">
        <v>907</v>
      </c>
      <c r="F8" s="613" t="s">
        <v>908</v>
      </c>
      <c r="G8" s="613" t="s">
        <v>909</v>
      </c>
      <c r="H8" s="613" t="s">
        <v>910</v>
      </c>
      <c r="I8" s="613" t="s">
        <v>911</v>
      </c>
      <c r="J8" s="613" t="s">
        <v>912</v>
      </c>
      <c r="K8" s="613" t="s">
        <v>1150</v>
      </c>
      <c r="L8" s="613" t="s">
        <v>913</v>
      </c>
      <c r="M8" s="613" t="s">
        <v>826</v>
      </c>
      <c r="N8" s="613" t="s">
        <v>914</v>
      </c>
      <c r="O8" s="613" t="s">
        <v>915</v>
      </c>
      <c r="P8" s="613" t="s">
        <v>916</v>
      </c>
      <c r="Q8" s="613" t="s">
        <v>917</v>
      </c>
      <c r="R8" s="613" t="s">
        <v>950</v>
      </c>
      <c r="S8" s="613" t="s">
        <v>946</v>
      </c>
      <c r="T8" s="613" t="s">
        <v>888</v>
      </c>
    </row>
    <row r="9" spans="1:20" hidden="1">
      <c r="A9" s="613" t="s">
        <v>568</v>
      </c>
      <c r="B9" s="613" t="s">
        <v>213</v>
      </c>
      <c r="C9" s="730"/>
      <c r="D9" s="731">
        <v>0.1</v>
      </c>
      <c r="E9" s="730"/>
      <c r="F9" s="730"/>
      <c r="G9" s="731">
        <v>0.05</v>
      </c>
      <c r="H9" s="731">
        <v>0.35</v>
      </c>
      <c r="I9" s="731">
        <v>0.05</v>
      </c>
      <c r="J9" s="731">
        <v>0.35</v>
      </c>
      <c r="K9" s="731">
        <v>0</v>
      </c>
      <c r="L9" s="731">
        <v>0.05</v>
      </c>
      <c r="M9" s="730"/>
      <c r="N9" s="730"/>
      <c r="O9" s="730"/>
      <c r="P9" s="730">
        <v>0.05</v>
      </c>
      <c r="Q9" s="730"/>
      <c r="R9" s="730"/>
      <c r="S9" s="730"/>
      <c r="T9" s="732">
        <f t="shared" ref="T9:T43" si="0">SUM(C9:S9)</f>
        <v>1</v>
      </c>
    </row>
    <row r="10" spans="1:20" hidden="1">
      <c r="A10" s="613" t="s">
        <v>568</v>
      </c>
      <c r="B10" s="613" t="s">
        <v>367</v>
      </c>
      <c r="C10" s="731">
        <v>0.1</v>
      </c>
      <c r="D10" s="731">
        <v>0.82499999999999996</v>
      </c>
      <c r="E10" s="730"/>
      <c r="F10" s="730"/>
      <c r="G10" s="731">
        <v>0.05</v>
      </c>
      <c r="H10" s="730"/>
      <c r="I10" s="730"/>
      <c r="J10" s="730"/>
      <c r="K10" s="730"/>
      <c r="L10" s="730"/>
      <c r="M10" s="731">
        <v>2.5000000000000001E-2</v>
      </c>
      <c r="N10" s="730"/>
      <c r="O10" s="730"/>
      <c r="P10" s="730"/>
      <c r="Q10" s="730"/>
      <c r="R10" s="730"/>
      <c r="S10" s="730"/>
      <c r="T10" s="732">
        <f t="shared" si="0"/>
        <v>1</v>
      </c>
    </row>
    <row r="11" spans="1:20" hidden="1">
      <c r="A11" s="613" t="s">
        <v>568</v>
      </c>
      <c r="B11" s="613" t="s">
        <v>365</v>
      </c>
      <c r="C11" s="731">
        <v>0.5</v>
      </c>
      <c r="D11" s="731">
        <v>0.3</v>
      </c>
      <c r="E11" s="730"/>
      <c r="F11" s="730"/>
      <c r="G11" s="731">
        <v>0.15</v>
      </c>
      <c r="H11" s="730"/>
      <c r="I11" s="730"/>
      <c r="J11" s="730"/>
      <c r="K11" s="730"/>
      <c r="L11" s="730"/>
      <c r="M11" s="731">
        <v>0.05</v>
      </c>
      <c r="N11" s="730"/>
      <c r="O11" s="730"/>
      <c r="P11" s="730"/>
      <c r="Q11" s="730"/>
      <c r="R11" s="730"/>
      <c r="S11" s="730"/>
      <c r="T11" s="732">
        <f t="shared" si="0"/>
        <v>1</v>
      </c>
    </row>
    <row r="12" spans="1:20" hidden="1">
      <c r="A12" s="613" t="s">
        <v>568</v>
      </c>
      <c r="B12" s="613" t="s">
        <v>409</v>
      </c>
      <c r="C12" s="731">
        <v>0.4</v>
      </c>
      <c r="D12" s="730"/>
      <c r="E12" s="730"/>
      <c r="F12" s="730"/>
      <c r="G12" s="731">
        <v>0.2</v>
      </c>
      <c r="H12" s="731">
        <v>0.4</v>
      </c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2">
        <f t="shared" si="0"/>
        <v>1</v>
      </c>
    </row>
    <row r="13" spans="1:20" hidden="1">
      <c r="A13" s="613" t="s">
        <v>568</v>
      </c>
      <c r="B13" s="613" t="s">
        <v>560</v>
      </c>
      <c r="C13" s="731">
        <v>0.5</v>
      </c>
      <c r="D13" s="730"/>
      <c r="E13" s="731">
        <v>0.1</v>
      </c>
      <c r="F13" s="730"/>
      <c r="G13" s="731"/>
      <c r="H13" s="731">
        <v>0.4</v>
      </c>
      <c r="I13" s="730"/>
      <c r="J13" s="730"/>
      <c r="K13" s="730"/>
      <c r="L13" s="731">
        <v>0</v>
      </c>
      <c r="M13" s="731">
        <v>0</v>
      </c>
      <c r="N13" s="730"/>
      <c r="O13" s="730"/>
      <c r="P13" s="730"/>
      <c r="Q13" s="730"/>
      <c r="R13" s="730"/>
      <c r="S13" s="730"/>
      <c r="T13" s="732">
        <f t="shared" si="0"/>
        <v>1</v>
      </c>
    </row>
    <row r="14" spans="1:20" hidden="1">
      <c r="A14" s="613" t="s">
        <v>568</v>
      </c>
      <c r="B14" s="613" t="s">
        <v>224</v>
      </c>
      <c r="C14" s="686">
        <v>0.9</v>
      </c>
      <c r="D14" s="733"/>
      <c r="E14" s="686">
        <v>2.5000000000000001E-2</v>
      </c>
      <c r="F14" s="734"/>
      <c r="G14" s="734"/>
      <c r="H14" s="734"/>
      <c r="I14" s="734"/>
      <c r="J14" s="734"/>
      <c r="K14" s="734"/>
      <c r="L14" s="734"/>
      <c r="M14" s="686">
        <v>0.05</v>
      </c>
      <c r="N14" s="734"/>
      <c r="O14" s="686">
        <v>2.5000000000000001E-2</v>
      </c>
      <c r="P14" s="734"/>
      <c r="Q14" s="734"/>
      <c r="R14" s="734"/>
      <c r="S14" s="734"/>
      <c r="T14" s="732">
        <f t="shared" si="0"/>
        <v>1</v>
      </c>
    </row>
    <row r="15" spans="1:20" hidden="1">
      <c r="A15" s="613" t="s">
        <v>568</v>
      </c>
      <c r="B15" s="613" t="s">
        <v>223</v>
      </c>
      <c r="C15" s="734"/>
      <c r="D15" s="686">
        <v>0.1</v>
      </c>
      <c r="E15" s="686">
        <v>0.05</v>
      </c>
      <c r="F15" s="686">
        <v>0.01</v>
      </c>
      <c r="G15" s="686">
        <v>0.15</v>
      </c>
      <c r="H15" s="686">
        <v>0.05</v>
      </c>
      <c r="I15" s="686">
        <v>0.1</v>
      </c>
      <c r="J15" s="686">
        <v>0.25</v>
      </c>
      <c r="K15" s="686">
        <v>0.01</v>
      </c>
      <c r="L15" s="686">
        <v>0.1</v>
      </c>
      <c r="M15" s="686">
        <v>0.04</v>
      </c>
      <c r="N15" s="686">
        <v>0.01</v>
      </c>
      <c r="O15" s="686">
        <v>0</v>
      </c>
      <c r="P15" s="686">
        <v>0.01</v>
      </c>
      <c r="Q15" s="686">
        <v>0.01</v>
      </c>
      <c r="R15" s="686">
        <v>0.01</v>
      </c>
      <c r="S15" s="686">
        <v>0.1</v>
      </c>
      <c r="T15" s="732">
        <f t="shared" si="0"/>
        <v>1.0000000000000002</v>
      </c>
    </row>
    <row r="16" spans="1:20" hidden="1">
      <c r="A16" s="613" t="s">
        <v>879</v>
      </c>
      <c r="B16" s="613" t="s">
        <v>214</v>
      </c>
      <c r="C16" s="731">
        <v>0</v>
      </c>
      <c r="D16" s="731">
        <v>0.25</v>
      </c>
      <c r="E16" s="730"/>
      <c r="F16" s="730"/>
      <c r="G16" s="731">
        <v>0.25</v>
      </c>
      <c r="H16" s="730"/>
      <c r="I16" s="730"/>
      <c r="J16" s="730"/>
      <c r="K16" s="730"/>
      <c r="L16" s="731">
        <v>0.2</v>
      </c>
      <c r="M16" s="730"/>
      <c r="N16" s="730"/>
      <c r="O16" s="730"/>
      <c r="P16" s="731">
        <v>0.3</v>
      </c>
      <c r="Q16" s="730"/>
      <c r="R16" s="730"/>
      <c r="S16" s="730"/>
      <c r="T16" s="732">
        <f t="shared" si="0"/>
        <v>1</v>
      </c>
    </row>
    <row r="17" spans="1:20" hidden="1">
      <c r="A17" s="613" t="s">
        <v>879</v>
      </c>
      <c r="B17" s="613" t="s">
        <v>216</v>
      </c>
      <c r="C17" s="731">
        <v>0</v>
      </c>
      <c r="D17" s="731">
        <v>0.25</v>
      </c>
      <c r="E17" s="730"/>
      <c r="F17" s="730"/>
      <c r="G17" s="731">
        <v>0.25</v>
      </c>
      <c r="H17" s="730"/>
      <c r="I17" s="730"/>
      <c r="J17" s="730"/>
      <c r="K17" s="730"/>
      <c r="L17" s="731">
        <v>0.15</v>
      </c>
      <c r="M17" s="730"/>
      <c r="N17" s="730"/>
      <c r="O17" s="730"/>
      <c r="P17" s="731">
        <v>0.25</v>
      </c>
      <c r="Q17" s="731">
        <v>0.1</v>
      </c>
      <c r="R17" s="730"/>
      <c r="S17" s="730"/>
      <c r="T17" s="732">
        <f t="shared" si="0"/>
        <v>1</v>
      </c>
    </row>
    <row r="18" spans="1:20" hidden="1">
      <c r="A18" s="613" t="s">
        <v>879</v>
      </c>
      <c r="B18" s="613" t="s">
        <v>456</v>
      </c>
      <c r="C18" s="731">
        <v>0</v>
      </c>
      <c r="D18" s="731">
        <v>0.45</v>
      </c>
      <c r="E18" s="730"/>
      <c r="F18" s="730"/>
      <c r="G18" s="731">
        <v>0.35</v>
      </c>
      <c r="H18" s="730"/>
      <c r="I18" s="730"/>
      <c r="J18" s="730"/>
      <c r="K18" s="730"/>
      <c r="L18" s="731">
        <v>0.2</v>
      </c>
      <c r="M18" s="730"/>
      <c r="N18" s="730"/>
      <c r="O18" s="730"/>
      <c r="P18" s="730"/>
      <c r="Q18" s="730"/>
      <c r="R18" s="730"/>
      <c r="S18" s="730"/>
      <c r="T18" s="732">
        <f t="shared" si="0"/>
        <v>1</v>
      </c>
    </row>
    <row r="19" spans="1:20" hidden="1">
      <c r="A19" s="613" t="s">
        <v>879</v>
      </c>
      <c r="B19" s="613" t="s">
        <v>218</v>
      </c>
      <c r="C19" s="731">
        <v>0.18</v>
      </c>
      <c r="D19" s="686">
        <v>0.55000000000000004</v>
      </c>
      <c r="E19" s="730"/>
      <c r="F19" s="730"/>
      <c r="G19" s="686">
        <v>0.1</v>
      </c>
      <c r="H19" s="730"/>
      <c r="I19" s="730"/>
      <c r="J19" s="730"/>
      <c r="K19" s="730"/>
      <c r="L19" s="686">
        <v>0.17</v>
      </c>
      <c r="M19" s="730"/>
      <c r="N19" s="730"/>
      <c r="O19" s="730"/>
      <c r="P19" s="730"/>
      <c r="Q19" s="730"/>
      <c r="R19" s="730"/>
      <c r="S19" s="730"/>
      <c r="T19" s="732">
        <f t="shared" si="0"/>
        <v>1</v>
      </c>
    </row>
    <row r="20" spans="1:20" hidden="1">
      <c r="A20" s="613" t="s">
        <v>879</v>
      </c>
      <c r="B20" s="613" t="s">
        <v>219</v>
      </c>
      <c r="C20" s="731">
        <v>0.25</v>
      </c>
      <c r="D20" s="686">
        <v>0.4</v>
      </c>
      <c r="E20" s="730"/>
      <c r="F20" s="730"/>
      <c r="G20" s="731">
        <v>0.1</v>
      </c>
      <c r="H20" s="730"/>
      <c r="I20" s="730"/>
      <c r="J20" s="730"/>
      <c r="K20" s="730"/>
      <c r="L20" s="731">
        <v>0.25</v>
      </c>
      <c r="M20" s="730"/>
      <c r="N20" s="730"/>
      <c r="O20" s="730"/>
      <c r="P20" s="730"/>
      <c r="Q20" s="730"/>
      <c r="R20" s="730"/>
      <c r="S20" s="730"/>
      <c r="T20" s="732">
        <f t="shared" si="0"/>
        <v>1</v>
      </c>
    </row>
    <row r="21" spans="1:20" hidden="1">
      <c r="A21" s="613" t="s">
        <v>879</v>
      </c>
      <c r="B21" s="613" t="s">
        <v>239</v>
      </c>
      <c r="C21" s="686">
        <v>0.96</v>
      </c>
      <c r="D21" s="733"/>
      <c r="E21" s="686">
        <v>0.02</v>
      </c>
      <c r="F21" s="734"/>
      <c r="G21" s="734"/>
      <c r="H21" s="734"/>
      <c r="I21" s="734"/>
      <c r="J21" s="734"/>
      <c r="K21" s="734"/>
      <c r="L21" s="734"/>
      <c r="M21" s="686">
        <v>0.01</v>
      </c>
      <c r="N21" s="734"/>
      <c r="O21" s="686">
        <v>0.01</v>
      </c>
      <c r="P21" s="734"/>
      <c r="Q21" s="734"/>
      <c r="R21" s="734"/>
      <c r="S21" s="734"/>
      <c r="T21" s="732">
        <f t="shared" si="0"/>
        <v>1</v>
      </c>
    </row>
    <row r="22" spans="1:20" hidden="1">
      <c r="A22" s="613" t="s">
        <v>879</v>
      </c>
      <c r="B22" s="613" t="s">
        <v>240</v>
      </c>
      <c r="C22" s="734"/>
      <c r="D22" s="686">
        <v>0.15</v>
      </c>
      <c r="E22" s="686">
        <v>0.05</v>
      </c>
      <c r="F22" s="686">
        <v>0.01</v>
      </c>
      <c r="G22" s="686">
        <v>0.15</v>
      </c>
      <c r="H22" s="686">
        <v>0.05</v>
      </c>
      <c r="I22" s="686">
        <v>0.1</v>
      </c>
      <c r="J22" s="686">
        <v>0.05</v>
      </c>
      <c r="K22" s="686">
        <v>0.05</v>
      </c>
      <c r="L22" s="686">
        <v>0.15</v>
      </c>
      <c r="M22" s="686">
        <v>0.05</v>
      </c>
      <c r="N22" s="686">
        <v>0.01</v>
      </c>
      <c r="O22" s="686">
        <v>0</v>
      </c>
      <c r="P22" s="686">
        <v>0.01</v>
      </c>
      <c r="Q22" s="686">
        <v>0.06</v>
      </c>
      <c r="R22" s="686">
        <v>0.01</v>
      </c>
      <c r="S22" s="686">
        <v>0.1</v>
      </c>
      <c r="T22" s="732">
        <f t="shared" si="0"/>
        <v>1.0000000000000002</v>
      </c>
    </row>
    <row r="23" spans="1:20" hidden="1">
      <c r="A23" s="613" t="s">
        <v>880</v>
      </c>
      <c r="B23" s="613" t="s">
        <v>220</v>
      </c>
      <c r="C23" s="731">
        <v>0.8</v>
      </c>
      <c r="D23" s="686">
        <v>0.06</v>
      </c>
      <c r="E23" s="730"/>
      <c r="F23" s="730"/>
      <c r="G23" s="686">
        <v>0.05</v>
      </c>
      <c r="H23" s="686">
        <v>0.05</v>
      </c>
      <c r="I23" s="730"/>
      <c r="J23" s="730"/>
      <c r="K23" s="730"/>
      <c r="L23" s="686">
        <v>0.04</v>
      </c>
      <c r="M23" s="734"/>
      <c r="N23" s="730"/>
      <c r="O23" s="730"/>
      <c r="P23" s="730"/>
      <c r="Q23" s="730"/>
      <c r="R23" s="730"/>
      <c r="S23" s="730"/>
      <c r="T23" s="732">
        <f t="shared" si="0"/>
        <v>1.0000000000000002</v>
      </c>
    </row>
    <row r="24" spans="1:20" hidden="1">
      <c r="A24" s="613" t="s">
        <v>880</v>
      </c>
      <c r="B24" s="613" t="s">
        <v>222</v>
      </c>
      <c r="C24" s="731">
        <v>0.55000000000000004</v>
      </c>
      <c r="D24" s="686">
        <v>0.1</v>
      </c>
      <c r="E24" s="730"/>
      <c r="F24" s="730"/>
      <c r="G24" s="686">
        <v>0.05</v>
      </c>
      <c r="H24" s="686">
        <v>0.1</v>
      </c>
      <c r="I24" s="730"/>
      <c r="J24" s="730"/>
      <c r="K24" s="730"/>
      <c r="L24" s="686">
        <v>0.2</v>
      </c>
      <c r="M24" s="734"/>
      <c r="N24" s="730"/>
      <c r="O24" s="730"/>
      <c r="P24" s="730"/>
      <c r="Q24" s="730"/>
      <c r="R24" s="730"/>
      <c r="S24" s="730"/>
      <c r="T24" s="732">
        <f t="shared" si="0"/>
        <v>1</v>
      </c>
    </row>
    <row r="25" spans="1:20" hidden="1">
      <c r="A25" s="613" t="s">
        <v>880</v>
      </c>
      <c r="B25" s="613" t="s">
        <v>407</v>
      </c>
      <c r="C25" s="731">
        <v>0.9</v>
      </c>
      <c r="D25" s="686">
        <v>0.05</v>
      </c>
      <c r="E25" s="730"/>
      <c r="F25" s="730"/>
      <c r="G25" s="730"/>
      <c r="H25" s="730"/>
      <c r="I25" s="730"/>
      <c r="J25" s="730"/>
      <c r="K25" s="730"/>
      <c r="L25" s="686">
        <v>0.05</v>
      </c>
      <c r="M25" s="734"/>
      <c r="N25" s="730"/>
      <c r="O25" s="730"/>
      <c r="P25" s="730"/>
      <c r="Q25" s="730"/>
      <c r="R25" s="730"/>
      <c r="S25" s="730"/>
      <c r="T25" s="732">
        <f t="shared" si="0"/>
        <v>1</v>
      </c>
    </row>
    <row r="26" spans="1:20" hidden="1">
      <c r="A26" s="613" t="s">
        <v>880</v>
      </c>
      <c r="B26" s="613" t="s">
        <v>406</v>
      </c>
      <c r="C26" s="731">
        <v>0.3</v>
      </c>
      <c r="D26" s="686">
        <v>0.35</v>
      </c>
      <c r="E26" s="686">
        <v>0.05</v>
      </c>
      <c r="F26" s="730"/>
      <c r="G26" s="686"/>
      <c r="H26" s="686">
        <v>0.05</v>
      </c>
      <c r="I26" s="730"/>
      <c r="J26" s="730"/>
      <c r="K26" s="730"/>
      <c r="L26" s="686">
        <v>0.25</v>
      </c>
      <c r="M26" s="734"/>
      <c r="N26" s="730"/>
      <c r="O26" s="730"/>
      <c r="P26" s="730"/>
      <c r="Q26" s="730"/>
      <c r="R26" s="730"/>
      <c r="S26" s="730"/>
      <c r="T26" s="732">
        <f t="shared" si="0"/>
        <v>1</v>
      </c>
    </row>
    <row r="27" spans="1:20" hidden="1">
      <c r="A27" s="613" t="s">
        <v>880</v>
      </c>
      <c r="B27" s="613" t="s">
        <v>235</v>
      </c>
      <c r="C27" s="686">
        <v>0.97</v>
      </c>
      <c r="D27" s="733"/>
      <c r="E27" s="686">
        <v>0.03</v>
      </c>
      <c r="F27" s="734"/>
      <c r="G27" s="734"/>
      <c r="H27" s="734"/>
      <c r="I27" s="734"/>
      <c r="J27" s="734"/>
      <c r="K27" s="734"/>
      <c r="L27" s="734"/>
      <c r="M27" s="686">
        <v>0</v>
      </c>
      <c r="N27" s="734"/>
      <c r="O27" s="686">
        <v>0</v>
      </c>
      <c r="P27" s="734"/>
      <c r="Q27" s="734"/>
      <c r="R27" s="734"/>
      <c r="S27" s="734"/>
      <c r="T27" s="732">
        <f t="shared" si="0"/>
        <v>1</v>
      </c>
    </row>
    <row r="28" spans="1:20" hidden="1">
      <c r="A28" s="613" t="s">
        <v>880</v>
      </c>
      <c r="B28" s="613" t="s">
        <v>236</v>
      </c>
      <c r="C28" s="734"/>
      <c r="D28" s="686">
        <v>0.3</v>
      </c>
      <c r="E28" s="686">
        <v>0.05</v>
      </c>
      <c r="F28" s="686">
        <v>0.01</v>
      </c>
      <c r="G28" s="686">
        <v>0.1</v>
      </c>
      <c r="H28" s="686">
        <v>0.05</v>
      </c>
      <c r="I28" s="686">
        <v>0.1</v>
      </c>
      <c r="J28" s="686">
        <v>0.05</v>
      </c>
      <c r="K28" s="686">
        <v>0.01</v>
      </c>
      <c r="L28" s="686">
        <v>0.12</v>
      </c>
      <c r="M28" s="686">
        <v>0.05</v>
      </c>
      <c r="N28" s="686">
        <v>0.01</v>
      </c>
      <c r="O28" s="686">
        <v>0</v>
      </c>
      <c r="P28" s="686">
        <v>0.01</v>
      </c>
      <c r="Q28" s="686">
        <v>0.03</v>
      </c>
      <c r="R28" s="686">
        <v>0.01</v>
      </c>
      <c r="S28" s="686">
        <v>0.1</v>
      </c>
      <c r="T28" s="732">
        <f t="shared" si="0"/>
        <v>1.0000000000000002</v>
      </c>
    </row>
    <row r="29" spans="1:20" hidden="1">
      <c r="A29" s="613" t="s">
        <v>787</v>
      </c>
      <c r="B29" s="613" t="s">
        <v>251</v>
      </c>
      <c r="C29" s="731">
        <v>0.1</v>
      </c>
      <c r="D29" s="731">
        <v>0.2</v>
      </c>
      <c r="E29" s="731">
        <v>0.05</v>
      </c>
      <c r="F29" s="730"/>
      <c r="G29" s="730"/>
      <c r="H29" s="730"/>
      <c r="I29" s="730"/>
      <c r="J29" s="730"/>
      <c r="K29" s="730"/>
      <c r="L29" s="731">
        <v>0.05</v>
      </c>
      <c r="M29" s="731">
        <v>0.05</v>
      </c>
      <c r="N29" s="731">
        <v>0.05</v>
      </c>
      <c r="O29" s="731">
        <v>0.5</v>
      </c>
      <c r="P29" s="730"/>
      <c r="Q29" s="730"/>
      <c r="R29" s="730"/>
      <c r="S29" s="730"/>
      <c r="T29" s="732">
        <f t="shared" si="0"/>
        <v>1</v>
      </c>
    </row>
    <row r="30" spans="1:20" hidden="1">
      <c r="A30" s="613" t="s">
        <v>787</v>
      </c>
      <c r="B30" s="613" t="s">
        <v>252</v>
      </c>
      <c r="C30" s="731">
        <v>0.1</v>
      </c>
      <c r="D30" s="731">
        <v>0.15</v>
      </c>
      <c r="E30" s="731">
        <v>0.05</v>
      </c>
      <c r="F30" s="730"/>
      <c r="G30" s="730"/>
      <c r="H30" s="730"/>
      <c r="I30" s="730"/>
      <c r="J30" s="730"/>
      <c r="K30" s="730"/>
      <c r="L30" s="731">
        <v>0.05</v>
      </c>
      <c r="M30" s="731">
        <v>0.05</v>
      </c>
      <c r="N30" s="731">
        <v>0.1</v>
      </c>
      <c r="O30" s="731">
        <v>0.5</v>
      </c>
      <c r="P30" s="730"/>
      <c r="Q30" s="730"/>
      <c r="R30" s="730"/>
      <c r="S30" s="730"/>
      <c r="T30" s="732">
        <f t="shared" si="0"/>
        <v>1</v>
      </c>
    </row>
    <row r="31" spans="1:20" hidden="1">
      <c r="A31" s="613" t="s">
        <v>787</v>
      </c>
      <c r="B31" s="613" t="s">
        <v>254</v>
      </c>
      <c r="C31" s="731">
        <v>0.1</v>
      </c>
      <c r="D31" s="731">
        <v>0.75</v>
      </c>
      <c r="E31" s="730"/>
      <c r="F31" s="730"/>
      <c r="G31" s="731">
        <v>0.05</v>
      </c>
      <c r="H31" s="730"/>
      <c r="I31" s="730"/>
      <c r="J31" s="730"/>
      <c r="K31" s="730"/>
      <c r="L31" s="730"/>
      <c r="M31" s="730"/>
      <c r="N31" s="730"/>
      <c r="O31" s="731">
        <v>0.1</v>
      </c>
      <c r="P31" s="730"/>
      <c r="Q31" s="730"/>
      <c r="R31" s="730"/>
      <c r="S31" s="730"/>
      <c r="T31" s="732">
        <f t="shared" si="0"/>
        <v>1</v>
      </c>
    </row>
    <row r="32" spans="1:20" hidden="1">
      <c r="A32" s="613" t="s">
        <v>787</v>
      </c>
      <c r="B32" s="613" t="s">
        <v>539</v>
      </c>
      <c r="C32" s="731">
        <v>1</v>
      </c>
      <c r="D32" s="731">
        <v>0</v>
      </c>
      <c r="E32" s="730"/>
      <c r="F32" s="730"/>
      <c r="G32" s="731"/>
      <c r="H32" s="730"/>
      <c r="I32" s="730"/>
      <c r="J32" s="730"/>
      <c r="K32" s="730"/>
      <c r="L32" s="730"/>
      <c r="M32" s="730"/>
      <c r="N32" s="730"/>
      <c r="O32" s="731"/>
      <c r="P32" s="730"/>
      <c r="Q32" s="730"/>
      <c r="R32" s="730"/>
      <c r="S32" s="730"/>
      <c r="T32" s="732">
        <f t="shared" si="0"/>
        <v>1</v>
      </c>
    </row>
    <row r="33" spans="1:21" hidden="1">
      <c r="A33" s="613" t="s">
        <v>787</v>
      </c>
      <c r="B33" s="613" t="s">
        <v>353</v>
      </c>
      <c r="C33" s="731">
        <v>0.1</v>
      </c>
      <c r="D33" s="731">
        <v>0.85</v>
      </c>
      <c r="E33" s="735"/>
      <c r="F33" s="735"/>
      <c r="G33" s="731">
        <v>0.05</v>
      </c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2">
        <f t="shared" si="0"/>
        <v>1</v>
      </c>
    </row>
    <row r="34" spans="1:21" hidden="1">
      <c r="A34" s="613" t="s">
        <v>787</v>
      </c>
      <c r="B34" s="613" t="s">
        <v>560</v>
      </c>
      <c r="C34" s="731">
        <v>0.4</v>
      </c>
      <c r="D34" s="731">
        <v>0.25</v>
      </c>
      <c r="E34" s="731">
        <v>0.05</v>
      </c>
      <c r="F34" s="735"/>
      <c r="G34" s="731">
        <v>0.02</v>
      </c>
      <c r="H34" s="735">
        <v>0.01</v>
      </c>
      <c r="I34" s="735"/>
      <c r="J34" s="735"/>
      <c r="K34" s="735"/>
      <c r="L34" s="731">
        <v>0.14000000000000001</v>
      </c>
      <c r="M34" s="731">
        <v>0.05</v>
      </c>
      <c r="N34" s="731">
        <v>7.0000000000000007E-2</v>
      </c>
      <c r="O34" s="735">
        <v>0.01</v>
      </c>
      <c r="P34" s="735"/>
      <c r="Q34" s="735"/>
      <c r="R34" s="735"/>
      <c r="S34" s="735"/>
      <c r="T34" s="732">
        <f t="shared" si="0"/>
        <v>1.0000000000000002</v>
      </c>
    </row>
    <row r="35" spans="1:21" hidden="1">
      <c r="A35" s="613" t="s">
        <v>787</v>
      </c>
      <c r="B35" s="613" t="s">
        <v>227</v>
      </c>
      <c r="C35" s="686">
        <v>0.96</v>
      </c>
      <c r="D35" s="733"/>
      <c r="E35" s="686">
        <v>0.02</v>
      </c>
      <c r="F35" s="734"/>
      <c r="G35" s="734"/>
      <c r="H35" s="734"/>
      <c r="I35" s="734"/>
      <c r="J35" s="734"/>
      <c r="K35" s="734"/>
      <c r="L35" s="734"/>
      <c r="M35" s="686">
        <v>0.01</v>
      </c>
      <c r="N35" s="734"/>
      <c r="O35" s="686">
        <v>0.01</v>
      </c>
      <c r="P35" s="734"/>
      <c r="Q35" s="734"/>
      <c r="R35" s="734"/>
      <c r="S35" s="734"/>
      <c r="T35" s="732">
        <f t="shared" si="0"/>
        <v>1</v>
      </c>
    </row>
    <row r="36" spans="1:21" hidden="1">
      <c r="A36" s="613" t="s">
        <v>787</v>
      </c>
      <c r="B36" s="613" t="s">
        <v>228</v>
      </c>
      <c r="C36" s="734"/>
      <c r="D36" s="686">
        <v>0.4</v>
      </c>
      <c r="E36" s="734"/>
      <c r="F36" s="686">
        <v>0.03</v>
      </c>
      <c r="G36" s="686">
        <v>0.05</v>
      </c>
      <c r="H36" s="686">
        <v>0.03</v>
      </c>
      <c r="I36" s="686">
        <v>0.03</v>
      </c>
      <c r="J36" s="686">
        <v>0.01</v>
      </c>
      <c r="K36" s="686">
        <v>0.03</v>
      </c>
      <c r="L36" s="686">
        <v>0.1</v>
      </c>
      <c r="M36" s="686">
        <v>0.03</v>
      </c>
      <c r="N36" s="686">
        <v>0.02</v>
      </c>
      <c r="O36" s="734"/>
      <c r="P36" s="686">
        <v>0.05</v>
      </c>
      <c r="Q36" s="686">
        <v>0.01</v>
      </c>
      <c r="R36" s="686">
        <v>0.01</v>
      </c>
      <c r="S36" s="686">
        <v>0.2</v>
      </c>
      <c r="T36" s="732">
        <f t="shared" si="0"/>
        <v>1.0000000000000002</v>
      </c>
    </row>
    <row r="37" spans="1:21" hidden="1">
      <c r="A37" s="613" t="s">
        <v>978</v>
      </c>
      <c r="B37" s="613" t="s">
        <v>250</v>
      </c>
      <c r="C37" s="730">
        <v>0</v>
      </c>
      <c r="D37" s="730">
        <v>0.4</v>
      </c>
      <c r="E37" s="730">
        <v>0.25</v>
      </c>
      <c r="F37" s="730"/>
      <c r="G37" s="730"/>
      <c r="H37" s="730"/>
      <c r="I37" s="730"/>
      <c r="J37" s="730"/>
      <c r="K37" s="730"/>
      <c r="L37" s="730"/>
      <c r="M37" s="730">
        <v>0.35</v>
      </c>
      <c r="N37" s="730"/>
      <c r="O37" s="730"/>
      <c r="P37" s="730"/>
      <c r="Q37" s="730"/>
      <c r="S37" s="730"/>
      <c r="T37" s="732">
        <f t="shared" si="0"/>
        <v>1</v>
      </c>
    </row>
    <row r="38" spans="1:21" s="736" customFormat="1" hidden="1">
      <c r="A38" s="613" t="s">
        <v>978</v>
      </c>
      <c r="B38" s="613" t="s">
        <v>249</v>
      </c>
      <c r="C38" s="730">
        <v>1</v>
      </c>
      <c r="D38" s="730">
        <v>0</v>
      </c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2">
        <f t="shared" si="0"/>
        <v>1</v>
      </c>
    </row>
    <row r="39" spans="1:21" s="736" customFormat="1" hidden="1">
      <c r="A39" s="613" t="s">
        <v>978</v>
      </c>
      <c r="B39" s="613" t="s">
        <v>247</v>
      </c>
      <c r="C39" s="730">
        <v>0</v>
      </c>
      <c r="D39" s="730">
        <v>0.4</v>
      </c>
      <c r="E39" s="730"/>
      <c r="F39" s="730"/>
      <c r="G39" s="730">
        <v>0.05</v>
      </c>
      <c r="H39" s="730"/>
      <c r="I39" s="730"/>
      <c r="J39" s="730"/>
      <c r="K39" s="730"/>
      <c r="L39" s="730">
        <v>0.5</v>
      </c>
      <c r="M39" s="730"/>
      <c r="N39" s="730"/>
      <c r="O39" s="730"/>
      <c r="P39" s="730"/>
      <c r="Q39" s="730">
        <v>0.05</v>
      </c>
      <c r="R39" s="730"/>
      <c r="S39" s="730"/>
      <c r="T39" s="732">
        <f t="shared" si="0"/>
        <v>1</v>
      </c>
    </row>
    <row r="40" spans="1:21" s="736" customFormat="1" hidden="1">
      <c r="A40" s="613" t="s">
        <v>978</v>
      </c>
      <c r="B40" s="613" t="s">
        <v>338</v>
      </c>
      <c r="C40" s="730">
        <v>0</v>
      </c>
      <c r="D40" s="730">
        <v>0.5</v>
      </c>
      <c r="E40" s="730">
        <v>0.2</v>
      </c>
      <c r="F40" s="730"/>
      <c r="G40" s="730"/>
      <c r="H40" s="730"/>
      <c r="I40" s="730"/>
      <c r="J40" s="730"/>
      <c r="K40" s="730"/>
      <c r="L40" s="730"/>
      <c r="M40" s="730">
        <v>0.3</v>
      </c>
      <c r="N40" s="730"/>
      <c r="O40" s="730"/>
      <c r="P40" s="730"/>
      <c r="Q40" s="730"/>
      <c r="R40" s="730"/>
      <c r="S40" s="730"/>
      <c r="T40" s="732">
        <f t="shared" si="0"/>
        <v>1</v>
      </c>
    </row>
    <row r="41" spans="1:21" s="736" customFormat="1" hidden="1">
      <c r="A41" s="613" t="s">
        <v>978</v>
      </c>
      <c r="B41" s="613" t="s">
        <v>560</v>
      </c>
      <c r="C41" s="730">
        <v>0.12</v>
      </c>
      <c r="D41" s="730">
        <v>0.34</v>
      </c>
      <c r="E41" s="730">
        <v>0.05</v>
      </c>
      <c r="F41" s="730"/>
      <c r="G41" s="730">
        <v>0.03</v>
      </c>
      <c r="H41" s="730">
        <v>0.01</v>
      </c>
      <c r="I41" s="730"/>
      <c r="J41" s="730"/>
      <c r="K41" s="730"/>
      <c r="L41" s="730">
        <v>0.22</v>
      </c>
      <c r="M41" s="730">
        <v>0.2</v>
      </c>
      <c r="N41" s="730"/>
      <c r="O41" s="730"/>
      <c r="P41" s="730"/>
      <c r="Q41" s="730">
        <v>0.01</v>
      </c>
      <c r="R41" s="730"/>
      <c r="S41" s="730"/>
      <c r="T41" s="732">
        <f t="shared" si="0"/>
        <v>0.98</v>
      </c>
    </row>
    <row r="42" spans="1:21" hidden="1">
      <c r="A42" s="613" t="s">
        <v>978</v>
      </c>
      <c r="B42" s="613" t="s">
        <v>231</v>
      </c>
      <c r="C42" s="686">
        <v>1</v>
      </c>
      <c r="D42" s="733"/>
      <c r="E42" s="686">
        <v>0</v>
      </c>
      <c r="F42" s="734"/>
      <c r="G42" s="734"/>
      <c r="H42" s="734"/>
      <c r="I42" s="734"/>
      <c r="J42" s="734"/>
      <c r="K42" s="734"/>
      <c r="L42" s="734"/>
      <c r="M42" s="686">
        <v>0</v>
      </c>
      <c r="N42" s="734"/>
      <c r="O42" s="686">
        <v>0</v>
      </c>
      <c r="P42" s="734"/>
      <c r="Q42" s="734"/>
      <c r="R42" s="734"/>
      <c r="S42" s="734"/>
      <c r="T42" s="732">
        <f t="shared" si="0"/>
        <v>1</v>
      </c>
    </row>
    <row r="43" spans="1:21" hidden="1">
      <c r="A43" s="613" t="s">
        <v>978</v>
      </c>
      <c r="B43" s="613" t="s">
        <v>232</v>
      </c>
      <c r="C43" s="734"/>
      <c r="D43" s="686">
        <v>0.19</v>
      </c>
      <c r="E43" s="686">
        <v>0.01</v>
      </c>
      <c r="F43" s="686">
        <v>0.01</v>
      </c>
      <c r="G43" s="686">
        <v>5.8000000000000003E-2</v>
      </c>
      <c r="H43" s="686">
        <v>0.01</v>
      </c>
      <c r="I43" s="686">
        <v>2E-3</v>
      </c>
      <c r="J43" s="686">
        <v>0</v>
      </c>
      <c r="K43" s="686">
        <v>0.03</v>
      </c>
      <c r="L43" s="686">
        <v>0.08</v>
      </c>
      <c r="M43" s="686">
        <v>0.01</v>
      </c>
      <c r="N43" s="686">
        <v>0</v>
      </c>
      <c r="O43" s="686">
        <v>0.01</v>
      </c>
      <c r="P43" s="686">
        <v>0</v>
      </c>
      <c r="Q43" s="686">
        <v>0.46</v>
      </c>
      <c r="R43" s="686">
        <v>0.01</v>
      </c>
      <c r="S43" s="686">
        <v>0.12</v>
      </c>
      <c r="T43" s="732">
        <f t="shared" si="0"/>
        <v>1</v>
      </c>
    </row>
    <row r="44" spans="1:21" hidden="1"/>
    <row r="45" spans="1:21" hidden="1"/>
    <row r="46" spans="1:21" hidden="1"/>
    <row r="47" spans="1:21" hidden="1">
      <c r="B47" s="612" t="s">
        <v>81</v>
      </c>
      <c r="U47" s="710">
        <f ca="1">Driver2!$X$27</f>
        <v>0.81499999999999995</v>
      </c>
    </row>
    <row r="48" spans="1:21" hidden="1">
      <c r="C48" s="613" t="s">
        <v>905</v>
      </c>
      <c r="D48" s="613" t="s">
        <v>906</v>
      </c>
      <c r="E48" s="613" t="s">
        <v>907</v>
      </c>
      <c r="F48" s="613" t="s">
        <v>908</v>
      </c>
      <c r="G48" s="613" t="s">
        <v>909</v>
      </c>
      <c r="H48" s="613" t="s">
        <v>910</v>
      </c>
      <c r="I48" s="613" t="s">
        <v>911</v>
      </c>
      <c r="J48" s="613" t="s">
        <v>912</v>
      </c>
      <c r="K48" s="613" t="s">
        <v>1150</v>
      </c>
      <c r="L48" s="613" t="s">
        <v>913</v>
      </c>
      <c r="M48" s="613" t="s">
        <v>826</v>
      </c>
      <c r="N48" s="613" t="s">
        <v>914</v>
      </c>
      <c r="O48" s="613" t="s">
        <v>915</v>
      </c>
      <c r="P48" s="613" t="s">
        <v>916</v>
      </c>
      <c r="Q48" s="613" t="s">
        <v>917</v>
      </c>
      <c r="R48" s="613" t="s">
        <v>950</v>
      </c>
      <c r="S48" s="613" t="s">
        <v>946</v>
      </c>
      <c r="T48" s="613" t="s">
        <v>888</v>
      </c>
      <c r="U48" s="613" t="s">
        <v>378</v>
      </c>
    </row>
    <row r="49" spans="1:21" hidden="1">
      <c r="B49" s="613" t="s">
        <v>568</v>
      </c>
      <c r="C49" s="613">
        <f t="array" aca="1" ref="C49" ca="1">SUM(IF($A$9:$A$43=$B49,Driver2!$R$58:$R$92*C$9:C$43))</f>
        <v>14.991490663599773</v>
      </c>
      <c r="D49" s="613">
        <f t="array" aca="1" ref="D49" ca="1">SUM(IF($A$9:$A$43=$B49,Driver2!$R$58:$R$92*D$9:D$43))</f>
        <v>3.0500328112214099</v>
      </c>
      <c r="E49" s="613">
        <f t="array" aca="1" ref="E49" ca="1">SUM(IF($A$9:$A$43=$B49,Driver2!$R$58:$R$92*E$9:E$43))</f>
        <v>0.52998570182180982</v>
      </c>
      <c r="F49" s="613">
        <f t="array" aca="1" ref="F49" ca="1">SUM(IF($A$9:$A$43=$B49,Driver2!$R$58:$R$92*F$9:F$43))</f>
        <v>6.3310081122140996E-2</v>
      </c>
      <c r="G49" s="613">
        <f t="array" aca="1" ref="G49" ca="1">SUM(IF($A$9:$A$43=$B49,Driver2!$R$58:$R$92*G$9:G$43))</f>
        <v>4.8509172168321149</v>
      </c>
      <c r="H49" s="613">
        <f t="array" aca="1" ref="H49" ca="1">SUM(IF($A$9:$A$43=$B49,Driver2!$R$58:$R$92*H$9:H$43))</f>
        <v>10.124750405610705</v>
      </c>
      <c r="I49" s="613">
        <f t="array" aca="1" ref="I49" ca="1">SUM(IF($A$9:$A$43=$B49,Driver2!$R$58:$R$92*I$9:I$43))</f>
        <v>1.26490081122141</v>
      </c>
      <c r="J49" s="613">
        <f t="array" aca="1" ref="J49" ca="1">SUM(IF($A$9:$A$43=$B49,Driver2!$R$58:$R$92*J$9:J$43))</f>
        <v>6.0053520280535251</v>
      </c>
      <c r="K49" s="613">
        <f t="array" aca="1" ref="K49" ca="1">SUM(IF($A$9:$A$43=$B49,Driver2!$R$58:$R$92*K$9:K$43))</f>
        <v>6.3310081122140996E-2</v>
      </c>
      <c r="L49" s="613">
        <f t="array" aca="1" ref="L49" ca="1">SUM(IF($A$9:$A$43=$B49,Driver2!$R$58:$R$92*L$9:L$43))</f>
        <v>1.26490081122141</v>
      </c>
      <c r="M49" s="613">
        <f t="array" aca="1" ref="M49" ca="1">SUM(IF($A$9:$A$43=$B49,Driver2!$R$58:$R$92*M$9:M$43))</f>
        <v>0.87233291691077364</v>
      </c>
      <c r="N49" s="613">
        <f t="array" aca="1" ref="N49" ca="1">SUM(IF($A$9:$A$43=$B49,Driver2!$R$58:$R$92*N$9:N$43))</f>
        <v>6.3310081122140996E-2</v>
      </c>
      <c r="O49" s="613">
        <f t="array" aca="1" ref="O49" ca="1">SUM(IF($A$9:$A$43=$B49,Driver2!$R$58:$R$92*O$9:O$43))</f>
        <v>0.21343529621110485</v>
      </c>
      <c r="P49" s="613">
        <f t="array" aca="1" ref="P49" ca="1">SUM(IF($A$9:$A$43=$B49,Driver2!$R$58:$R$92*P$9:P$43))</f>
        <v>0.69511008112214112</v>
      </c>
      <c r="Q49" s="613">
        <f t="array" aca="1" ref="Q49" ca="1">SUM(IF($A$9:$A$43=$B49,Driver2!$R$58:$R$92*Q$9:Q$43))</f>
        <v>6.3310081122140996E-2</v>
      </c>
      <c r="R49" s="613">
        <f t="array" aca="1" ref="R49" ca="1">SUM(IF($A$9:$A$43=$B49,Driver2!$R$58:$R$92*R$9:R$43))</f>
        <v>6.3310081122140996E-2</v>
      </c>
      <c r="S49" s="613">
        <f t="array" aca="1" ref="S49" ca="1">SUM(IF($A$9:$A$43=$B49,Driver2!$R$58:$R$92*S$9:S$43))</f>
        <v>0.63310081122140993</v>
      </c>
      <c r="T49" s="651">
        <f>SUM(C49:S49)</f>
        <v>44.81285996065828</v>
      </c>
      <c r="U49" s="613">
        <f>SUM(D49:S49)</f>
        <v>29.821369297058517</v>
      </c>
    </row>
    <row r="50" spans="1:21" hidden="1">
      <c r="B50" s="613" t="s">
        <v>879</v>
      </c>
      <c r="C50" s="613">
        <f t="array" aca="1" ref="C50" ca="1">SUM(IF($A$9:$A$43=$B50,Driver2!$R$58:$R$92*C$9:C$43))</f>
        <v>2.8684604888017389</v>
      </c>
      <c r="D50" s="613">
        <f t="array" aca="1" ref="D50" ca="1">SUM(IF($A$9:$A$43=$B50,Driver2!$R$58:$R$92*D$9:D$43))</f>
        <v>4.0047159592707713</v>
      </c>
      <c r="E50" s="613">
        <f t="array" aca="1" ref="E50" ca="1">SUM(IF($A$9:$A$43=$B50,Driver2!$R$58:$R$92*E$9:E$43))</f>
        <v>0.1007837483646358</v>
      </c>
      <c r="F50" s="613">
        <f t="array" aca="1" ref="F50" ca="1">SUM(IF($A$9:$A$43=$B50,Driver2!$R$58:$R$92*F$9:F$43))</f>
        <v>1.1991862393381075E-2</v>
      </c>
      <c r="G50" s="613">
        <f t="array" aca="1" ref="G50" ca="1">SUM(IF($A$9:$A$43=$B50,Driver2!$R$58:$R$92*G$9:G$43))</f>
        <v>2.400484908603473</v>
      </c>
      <c r="H50" s="613">
        <f t="array" aca="1" ref="H50" ca="1">SUM(IF($A$9:$A$43=$B50,Driver2!$R$58:$R$92*H$9:H$43))</f>
        <v>5.9959311966905376E-2</v>
      </c>
      <c r="I50" s="613">
        <f t="array" aca="1" ref="I50" ca="1">SUM(IF($A$9:$A$43=$B50,Driver2!$R$58:$R$92*I$9:I$43))</f>
        <v>0.11991862393381075</v>
      </c>
      <c r="J50" s="613">
        <f t="array" aca="1" ref="J50" ca="1">SUM(IF($A$9:$A$43=$B50,Driver2!$R$58:$R$92*J$9:J$43))</f>
        <v>5.9959311966905376E-2</v>
      </c>
      <c r="K50" s="613">
        <f t="array" aca="1" ref="K50" ca="1">SUM(IF($A$9:$A$43=$B50,Driver2!$R$58:$R$92*K$9:K$43))</f>
        <v>5.9959311966905376E-2</v>
      </c>
      <c r="L50" s="613">
        <f t="array" aca="1" ref="L50" ca="1">SUM(IF($A$9:$A$43=$B50,Driver2!$R$58:$R$92*L$9:L$43))</f>
        <v>2.1472308319127924</v>
      </c>
      <c r="M50" s="613">
        <f t="array" aca="1" ref="M50" ca="1">SUM(IF($A$9:$A$43=$B50,Driver2!$R$58:$R$92*M$9:M$43))</f>
        <v>8.0371530165770588E-2</v>
      </c>
      <c r="N50" s="613">
        <f t="array" aca="1" ref="N50" ca="1">SUM(IF($A$9:$A$43=$B50,Driver2!$R$58:$R$92*N$9:N$43))</f>
        <v>1.1991862393381075E-2</v>
      </c>
      <c r="O50" s="613">
        <f t="array" aca="1" ref="O50" ca="1">SUM(IF($A$9:$A$43=$B50,Driver2!$R$58:$R$92*O$9:O$43))</f>
        <v>2.0412218198865215E-2</v>
      </c>
      <c r="P50" s="613">
        <f t="array" aca="1" ref="P50" ca="1">SUM(IF($A$9:$A$43=$B50,Driver2!$R$58:$R$92*P$9:P$43))</f>
        <v>1.097354706073381</v>
      </c>
      <c r="Q50" s="613">
        <f t="array" aca="1" ref="Q50" ca="1">SUM(IF($A$9:$A$43=$B50,Driver2!$R$58:$R$92*Q$9:Q$43))</f>
        <v>0.50609631183228643</v>
      </c>
      <c r="R50" s="613">
        <f t="array" aca="1" ref="R50" ca="1">SUM(IF($A$9:$A$43=$B50,Driver2!$R$58:$R$92*R$9:R$43))</f>
        <v>1.1991862393381075E-2</v>
      </c>
      <c r="S50" s="613">
        <f t="array" aca="1" ref="S50" ca="1">SUM(IF($A$9:$A$43=$B50,Driver2!$R$58:$R$92*S$9:S$43))</f>
        <v>0.11991862393381075</v>
      </c>
      <c r="T50" s="651">
        <f>SUM(C50:S50)</f>
        <v>13.681601474172194</v>
      </c>
      <c r="U50" s="613">
        <f>SUM(D50:S50)</f>
        <v>10.813140985370458</v>
      </c>
    </row>
    <row r="51" spans="1:21" hidden="1">
      <c r="B51" s="613" t="s">
        <v>880</v>
      </c>
      <c r="C51" s="613">
        <f t="array" aca="1" ref="C51" ca="1">SUM(IF($A$9:$A$43=$B51,Driver2!$R$58:$R$92*C$9:C$43))</f>
        <v>6.7986879596656005</v>
      </c>
      <c r="D51" s="613">
        <f t="array" aca="1" ref="D51" ca="1">SUM(IF($A$9:$A$43=$B51,Driver2!$R$58:$R$92*D$9:D$43))</f>
        <v>1.354613421084603</v>
      </c>
      <c r="E51" s="613">
        <f t="array" aca="1" ref="E51" ca="1">SUM(IF($A$9:$A$43=$B51,Driver2!$R$58:$R$92*E$9:E$43))</f>
        <v>0.20514555183279742</v>
      </c>
      <c r="F51" s="613">
        <f t="array" aca="1" ref="F51" ca="1">SUM(IF($A$9:$A$43=$B51,Driver2!$R$58:$R$92*F$9:F$43))</f>
        <v>2.6221577850202592E-2</v>
      </c>
      <c r="G51" s="613">
        <f t="array" aca="1" ref="G51" ca="1">SUM(IF($A$9:$A$43=$B51,Driver2!$R$58:$R$92*G$9:G$43))</f>
        <v>0.38433317608724304</v>
      </c>
      <c r="H51" s="613">
        <f t="array" aca="1" ref="H51" ca="1">SUM(IF($A$9:$A$43=$B51,Driver2!$R$58:$R$92*H$9:H$43))</f>
        <v>0.39349794305117447</v>
      </c>
      <c r="I51" s="613">
        <f t="array" aca="1" ref="I51" ca="1">SUM(IF($A$9:$A$43=$B51,Driver2!$R$58:$R$92*I$9:I$43))</f>
        <v>0.26221577850202593</v>
      </c>
      <c r="J51" s="613">
        <f t="array" aca="1" ref="J51" ca="1">SUM(IF($A$9:$A$43=$B51,Driver2!$R$58:$R$92*J$9:J$43))</f>
        <v>0.13110788925101297</v>
      </c>
      <c r="K51" s="613">
        <f t="array" aca="1" ref="K51" ca="1">SUM(IF($A$9:$A$43=$B51,Driver2!$R$58:$R$92*K$9:K$43))</f>
        <v>2.6221577850202592E-2</v>
      </c>
      <c r="L51" s="613">
        <f t="array" aca="1" ref="L51" ca="1">SUM(IF($A$9:$A$43=$B51,Driver2!$R$58:$R$92*L$9:L$43))</f>
        <v>1.090549297691936</v>
      </c>
      <c r="M51" s="613">
        <f t="array" aca="1" ref="M51" ca="1">SUM(IF($A$9:$A$43=$B51,Driver2!$R$58:$R$92*M$9:M$43))</f>
        <v>0.13110788925101297</v>
      </c>
      <c r="N51" s="613">
        <f t="array" aca="1" ref="N51" ca="1">SUM(IF($A$9:$A$43=$B51,Driver2!$R$58:$R$92*N$9:N$43))</f>
        <v>2.6221577850202592E-2</v>
      </c>
      <c r="O51" s="613">
        <f t="array" aca="1" ref="O51" ca="1">SUM(IF($A$9:$A$43=$B51,Driver2!$R$58:$R$92*O$9:O$43))</f>
        <v>0</v>
      </c>
      <c r="P51" s="613">
        <f t="array" aca="1" ref="P51" ca="1">SUM(IF($A$9:$A$43=$B51,Driver2!$R$58:$R$92*P$9:P$43))</f>
        <v>2.6221577850202592E-2</v>
      </c>
      <c r="Q51" s="613">
        <f t="array" aca="1" ref="Q51" ca="1">SUM(IF($A$9:$A$43=$B51,Driver2!$R$58:$R$92*Q$9:Q$43))</f>
        <v>7.8664733550607768E-2</v>
      </c>
      <c r="R51" s="613">
        <f t="array" aca="1" ref="R51" ca="1">SUM(IF($A$9:$A$43=$B51,Driver2!$R$58:$R$92*R$9:R$43))</f>
        <v>2.6221577850202592E-2</v>
      </c>
      <c r="S51" s="613">
        <f t="array" aca="1" ref="S51" ca="1">SUM(IF($A$9:$A$43=$B51,Driver2!$R$58:$R$92*S$9:S$43))</f>
        <v>0.26221577850202593</v>
      </c>
      <c r="T51" s="651">
        <f>SUM(C51:S51)</f>
        <v>11.223247307721056</v>
      </c>
      <c r="U51" s="613">
        <f>SUM(D51:S51)</f>
        <v>4.4245593480554533</v>
      </c>
    </row>
    <row r="52" spans="1:21" hidden="1">
      <c r="B52" s="613" t="s">
        <v>787</v>
      </c>
      <c r="C52" s="613">
        <f t="array" aca="1" ref="C52" ca="1">SUM(IF($A$9:$A$43=$B52,Driver2!$R$58:$R$92*C$9:C$43))</f>
        <v>16.341565534315333</v>
      </c>
      <c r="D52" s="613">
        <f t="array" aca="1" ref="D52" ca="1">SUM(IF($A$9:$A$43=$B52,Driver2!$R$58:$R$92*D$9:D$43))</f>
        <v>12.031077209836676</v>
      </c>
      <c r="E52" s="613">
        <f t="array" aca="1" ref="E52" ca="1">SUM(IF($A$9:$A$43=$B52,Driver2!$R$58:$R$92*E$9:E$43))</f>
        <v>0.89401726088620714</v>
      </c>
      <c r="F52" s="613">
        <f t="array" aca="1" ref="F52" ca="1">SUM(IF($A$9:$A$43=$B52,Driver2!$R$58:$R$92*F$9:F$43))</f>
        <v>0.63290421381672946</v>
      </c>
      <c r="G52" s="613">
        <f t="array" aca="1" ref="G52" ca="1">SUM(IF($A$9:$A$43=$B52,Driver2!$R$58:$R$92*G$9:G$43))</f>
        <v>1.2978312902405225</v>
      </c>
      <c r="H52" s="613">
        <f t="array" aca="1" ref="H52" ca="1">SUM(IF($A$9:$A$43=$B52,Driver2!$R$58:$R$92*H$9:H$43))</f>
        <v>0.74123179039923992</v>
      </c>
      <c r="I52" s="613">
        <f t="array" aca="1" ref="I52" ca="1">SUM(IF($A$9:$A$43=$B52,Driver2!$R$58:$R$92*I$9:I$43))</f>
        <v>0.63290421381672946</v>
      </c>
      <c r="J52" s="613">
        <f t="array" aca="1" ref="J52" ca="1">SUM(IF($A$9:$A$43=$B52,Driver2!$R$58:$R$92*J$9:J$43))</f>
        <v>0.21096807127224318</v>
      </c>
      <c r="K52" s="613">
        <f t="array" aca="1" ref="K52" ca="1">SUM(IF($A$9:$A$43=$B52,Driver2!$R$58:$R$92*K$9:K$43))</f>
        <v>0.63290421381672946</v>
      </c>
      <c r="L52" s="613">
        <f t="array" aca="1" ref="L52" ca="1">SUM(IF($A$9:$A$43=$B52,Driver2!$R$58:$R$92*L$9:L$43))</f>
        <v>3.7528411160329931</v>
      </c>
      <c r="M52" s="613">
        <f t="array" aca="1" ref="M52" ca="1">SUM(IF($A$9:$A$43=$B52,Driver2!$R$58:$R$92*M$9:M$43))</f>
        <v>1.4140189512938166</v>
      </c>
      <c r="N52" s="613">
        <f t="array" aca="1" ref="N52" ca="1">SUM(IF($A$9:$A$43=$B52,Driver2!$R$58:$R$92*N$9:N$43))</f>
        <v>1.3239726007292325</v>
      </c>
      <c r="O52" s="613">
        <f t="array" aca="1" ref="O52" ca="1">SUM(IF($A$9:$A$43=$B52,Driver2!$R$58:$R$92*O$9:O$43))</f>
        <v>1.5396449729743533</v>
      </c>
      <c r="P52" s="613">
        <f t="array" aca="1" ref="P52" ca="1">SUM(IF($A$9:$A$43=$B52,Driver2!$R$58:$R$92*P$9:P$43))</f>
        <v>1.0548403563612159</v>
      </c>
      <c r="Q52" s="613">
        <f t="array" aca="1" ref="Q52" ca="1">SUM(IF($A$9:$A$43=$B52,Driver2!$R$58:$R$92*Q$9:Q$43))</f>
        <v>0.21096807127224318</v>
      </c>
      <c r="R52" s="613">
        <f t="array" aca="1" ref="R52" ca="1">SUM(IF($A$9:$A$43=$B52,Driver2!$R$58:$R$92*R$9:R$43))</f>
        <v>0.21096807127224318</v>
      </c>
      <c r="S52" s="613">
        <f t="array" aca="1" ref="S52" ca="1">SUM(IF($A$9:$A$43=$B52,Driver2!$R$58:$R$92*S$9:S$43))</f>
        <v>4.2193614254448635</v>
      </c>
      <c r="T52" s="651">
        <f>SUM(C52:S52)</f>
        <v>47.142019363781372</v>
      </c>
      <c r="U52" s="613">
        <f>SUM(D52:S52)</f>
        <v>30.800453829466036</v>
      </c>
    </row>
    <row r="53" spans="1:21" hidden="1">
      <c r="B53" s="613" t="s">
        <v>978</v>
      </c>
      <c r="C53" s="613">
        <f t="array" aca="1" ref="C53" ca="1">SUM(IF($A$9:$A$43=$B53,Driver2!$R$58:$R$92*C$9:C$43))</f>
        <v>72.515278284706866</v>
      </c>
      <c r="D53" s="613">
        <f t="array" aca="1" ref="D53" ca="1">SUM(IF($A$9:$A$43=$B53,Driver2!$R$58:$R$92*D$9:D$43))</f>
        <v>39.723214398947718</v>
      </c>
      <c r="E53" s="613">
        <f t="array" aca="1" ref="E53" ca="1">SUM(IF($A$9:$A$43=$B53,Driver2!$R$58:$R$92*E$9:E$43))</f>
        <v>3.0083352785854451</v>
      </c>
      <c r="F53" s="613">
        <f t="array" aca="1" ref="F53" ca="1">SUM(IF($A$9:$A$43=$B53,Driver2!$R$58:$R$92*F$9:F$43))</f>
        <v>1.6539392013854446</v>
      </c>
      <c r="G53" s="613">
        <f t="array" aca="1" ref="G53" ca="1">SUM(IF($A$9:$A$43=$B53,Driver2!$R$58:$R$92*G$9:G$43))</f>
        <v>10.351401293613613</v>
      </c>
      <c r="H53" s="613">
        <f t="array" aca="1" ref="H53" ca="1">SUM(IF($A$9:$A$43=$B53,Driver2!$R$58:$R$92*H$9:H$43))</f>
        <v>1.6539392013854446</v>
      </c>
      <c r="I53" s="613">
        <f t="array" aca="1" ref="I53" ca="1">SUM(IF($A$9:$A$43=$B53,Driver2!$R$58:$R$92*I$9:I$43))</f>
        <v>0.33078784027708891</v>
      </c>
      <c r="J53" s="613">
        <f t="array" aca="1" ref="J53" ca="1">SUM(IF($A$9:$A$43=$B53,Driver2!$R$58:$R$92*J$9:J$43))</f>
        <v>0</v>
      </c>
      <c r="K53" s="613">
        <f t="array" aca="1" ref="K53" ca="1">SUM(IF($A$9:$A$43=$B53,Driver2!$R$58:$R$92*K$9:K$43))</f>
        <v>4.9618176041563329</v>
      </c>
      <c r="L53" s="613">
        <f t="array" aca="1" ref="L53" ca="1">SUM(IF($A$9:$A$43=$B53,Driver2!$R$58:$R$92*L$9:L$43))</f>
        <v>20.817052866863904</v>
      </c>
      <c r="M53" s="613">
        <f t="array" aca="1" ref="M53" ca="1">SUM(IF($A$9:$A$43=$B53,Driver2!$R$58:$R$92*M$9:M$43))</f>
        <v>3.5570830921854446</v>
      </c>
      <c r="N53" s="613">
        <f t="array" aca="1" ref="N53" ca="1">SUM(IF($A$9:$A$43=$B53,Driver2!$R$58:$R$92*N$9:N$43))</f>
        <v>0</v>
      </c>
      <c r="O53" s="613">
        <f t="array" aca="1" ref="O53" ca="1">SUM(IF($A$9:$A$43=$B53,Driver2!$R$58:$R$92*O$9:O$43))</f>
        <v>1.6539392013854446</v>
      </c>
      <c r="P53" s="613">
        <f t="array" aca="1" ref="P53" ca="1">SUM(IF($A$9:$A$43=$B53,Driver2!$R$58:$R$92*P$9:P$43))</f>
        <v>0</v>
      </c>
      <c r="Q53" s="613">
        <f t="array" aca="1" ref="Q53" ca="1">SUM(IF($A$9:$A$43=$B53,Driver2!$R$58:$R$92*Q$9:Q$43))</f>
        <v>76.839757189308486</v>
      </c>
      <c r="R53" s="613">
        <f t="array" aca="1" ref="R53" ca="1">SUM(IF($A$9:$A$43=$B53,Driver2!$R$58:$R$92*R$9:R$43))</f>
        <v>1.6539392013854446</v>
      </c>
      <c r="S53" s="613">
        <f t="array" aca="1" ref="S53" ca="1">SUM(IF($A$9:$A$43=$B53,Driver2!$R$58:$R$92*S$9:S$43))</f>
        <v>19.847270416625332</v>
      </c>
      <c r="T53" s="651">
        <f>SUM(C53:S53)</f>
        <v>258.56775507081198</v>
      </c>
      <c r="U53" s="613">
        <f>SUM(D53:S53)</f>
        <v>186.05247678610513</v>
      </c>
    </row>
    <row r="54" spans="1:21" hidden="1">
      <c r="T54" s="737">
        <f>SUM(T49:T53)</f>
        <v>375.42748317714489</v>
      </c>
    </row>
    <row r="55" spans="1:21" hidden="1">
      <c r="B55" s="612" t="s">
        <v>82</v>
      </c>
    </row>
    <row r="56" spans="1:21" hidden="1">
      <c r="C56" s="613" t="s">
        <v>905</v>
      </c>
      <c r="D56" s="613" t="s">
        <v>906</v>
      </c>
      <c r="E56" s="613" t="s">
        <v>907</v>
      </c>
      <c r="F56" s="613" t="s">
        <v>908</v>
      </c>
      <c r="G56" s="613" t="s">
        <v>909</v>
      </c>
      <c r="H56" s="613" t="s">
        <v>910</v>
      </c>
      <c r="I56" s="613" t="s">
        <v>911</v>
      </c>
      <c r="J56" s="613" t="s">
        <v>912</v>
      </c>
      <c r="K56" s="613" t="s">
        <v>1150</v>
      </c>
      <c r="L56" s="613" t="s">
        <v>913</v>
      </c>
      <c r="M56" s="613" t="s">
        <v>826</v>
      </c>
      <c r="N56" s="613" t="s">
        <v>914</v>
      </c>
      <c r="O56" s="613" t="s">
        <v>915</v>
      </c>
      <c r="P56" s="613" t="s">
        <v>916</v>
      </c>
      <c r="Q56" s="613" t="s">
        <v>917</v>
      </c>
      <c r="R56" s="613" t="s">
        <v>950</v>
      </c>
      <c r="S56" s="613" t="s">
        <v>946</v>
      </c>
      <c r="T56" s="613" t="s">
        <v>888</v>
      </c>
      <c r="U56" s="613" t="s">
        <v>378</v>
      </c>
    </row>
    <row r="57" spans="1:21" hidden="1">
      <c r="A57" s="613">
        <f ca="1">MATCH(B57,AuxData!$A$28:$A$33,0)</f>
        <v>1</v>
      </c>
      <c r="B57" s="613" t="s">
        <v>568</v>
      </c>
      <c r="C57" s="738">
        <f t="array" aca="1" ref="C57:R57" ca="1">INDEX(AuxData!$B$28:$Q$33,$A57,0)</f>
        <v>15.175888659665604</v>
      </c>
      <c r="D57" s="738">
        <f ca="1"/>
        <v>2.3161990000000001</v>
      </c>
      <c r="E57" s="738">
        <f ca="1"/>
        <v>4.6389999</v>
      </c>
      <c r="F57" s="738">
        <f ca="1"/>
        <v>0</v>
      </c>
      <c r="G57" s="738">
        <f ca="1"/>
        <v>1.0897709</v>
      </c>
      <c r="H57" s="738">
        <f ca="1"/>
        <v>3.8089998999999994</v>
      </c>
      <c r="I57" s="738">
        <f ca="1"/>
        <v>2.1518980000000001</v>
      </c>
      <c r="J57" s="738">
        <f ca="1"/>
        <v>1.6240011000000001</v>
      </c>
      <c r="K57" s="738">
        <f ca="1"/>
        <v>0</v>
      </c>
      <c r="L57" s="738">
        <f ca="1"/>
        <v>4.00007E-2</v>
      </c>
      <c r="M57" s="738">
        <f ca="1"/>
        <v>0.12780209999999997</v>
      </c>
      <c r="N57" s="738">
        <f ca="1"/>
        <v>0</v>
      </c>
      <c r="O57" s="738">
        <f ca="1"/>
        <v>0</v>
      </c>
      <c r="P57" s="738">
        <f ca="1"/>
        <v>0</v>
      </c>
      <c r="Q57" s="738">
        <f ca="1"/>
        <v>2.0013000000000001E-3</v>
      </c>
      <c r="R57" s="738">
        <f ca="1"/>
        <v>0</v>
      </c>
      <c r="S57" s="613">
        <f ca="1">VLOOKUP("IS"&amp;RIGHT($B57,2),AuxData!$BF$34:$BJ$39,5,FALSE)/U$47</f>
        <v>1.8381717374031195</v>
      </c>
      <c r="T57" s="613">
        <f t="shared" ref="T57:T63" si="1">SUM(C57:S57)</f>
        <v>32.813733297068723</v>
      </c>
      <c r="U57" s="613">
        <f>SUM(D57:S57)</f>
        <v>17.63784463740312</v>
      </c>
    </row>
    <row r="58" spans="1:21" hidden="1">
      <c r="A58" s="613">
        <f ca="1">MATCH(B58,AuxData!$A$28:$A$33,0)</f>
        <v>5</v>
      </c>
      <c r="B58" s="613" t="s">
        <v>879</v>
      </c>
      <c r="C58" s="738">
        <f t="array" aca="1" ref="C58:R58" ca="1">INDEX(AuxData!$B$28:$Q$33,$A58,0)</f>
        <v>2.8684604888017389</v>
      </c>
      <c r="D58" s="738">
        <f ca="1"/>
        <v>1.0319985999999999</v>
      </c>
      <c r="E58" s="738">
        <f ca="1"/>
        <v>0.7599979</v>
      </c>
      <c r="F58" s="738">
        <f ca="1"/>
        <v>0</v>
      </c>
      <c r="G58" s="738">
        <f ca="1"/>
        <v>1.7355369</v>
      </c>
      <c r="H58" s="738">
        <f ca="1"/>
        <v>0.1757995</v>
      </c>
      <c r="I58" s="738">
        <f ca="1"/>
        <v>0.65520069999999997</v>
      </c>
      <c r="J58" s="738">
        <f ca="1"/>
        <v>0.68300109999999992</v>
      </c>
      <c r="K58" s="738">
        <f ca="1"/>
        <v>9.9184999999999985E-3</v>
      </c>
      <c r="L58" s="738">
        <f ca="1"/>
        <v>0.83700189999999997</v>
      </c>
      <c r="M58" s="738">
        <f ca="1"/>
        <v>0.33080130000000002</v>
      </c>
      <c r="N58" s="738">
        <f ca="1"/>
        <v>0</v>
      </c>
      <c r="O58" s="738">
        <f ca="1"/>
        <v>0</v>
      </c>
      <c r="P58" s="738">
        <f ca="1"/>
        <v>1.7100008999999998</v>
      </c>
      <c r="Q58" s="738">
        <f ca="1"/>
        <v>1.8629981999999998</v>
      </c>
      <c r="R58" s="738">
        <f ca="1"/>
        <v>0</v>
      </c>
      <c r="S58" s="613">
        <f ca="1">VLOOKUP("IS"&amp;RIGHT($B58,2),AuxData!$BF$34:$BJ$39,5,FALSE)/U$47</f>
        <v>1.0208854853704576</v>
      </c>
      <c r="T58" s="613">
        <f t="shared" si="1"/>
        <v>13.681601474172195</v>
      </c>
      <c r="U58" s="613">
        <f>SUM(D58:S58)</f>
        <v>10.813140985370458</v>
      </c>
    </row>
    <row r="59" spans="1:21" hidden="1">
      <c r="A59" s="613">
        <f ca="1">MATCH(B59,AuxData!$A$28:$A$33,0)</f>
        <v>2</v>
      </c>
      <c r="B59" s="613" t="s">
        <v>880</v>
      </c>
      <c r="C59" s="738">
        <f t="array" aca="1" ref="C59:R59" ca="1">INDEX(AuxData!$B$28:$Q$33,$A59,0)</f>
        <v>6.7986879596656005</v>
      </c>
      <c r="D59" s="738">
        <f ca="1"/>
        <v>4.6800100000000004E-2</v>
      </c>
      <c r="E59" s="738">
        <f ca="1"/>
        <v>0.73300180000000004</v>
      </c>
      <c r="F59" s="738">
        <f ca="1"/>
        <v>0</v>
      </c>
      <c r="G59" s="738">
        <f ca="1"/>
        <v>2.4811E-2</v>
      </c>
      <c r="H59" s="738">
        <f ca="1"/>
        <v>0.23439800000000002</v>
      </c>
      <c r="I59" s="738">
        <f ca="1"/>
        <v>0</v>
      </c>
      <c r="J59" s="738">
        <f ca="1"/>
        <v>0</v>
      </c>
      <c r="K59" s="738">
        <f ca="1"/>
        <v>9.9184999999999985E-3</v>
      </c>
      <c r="L59" s="738">
        <f ca="1"/>
        <v>0.31900130000000004</v>
      </c>
      <c r="M59" s="738">
        <f ca="1"/>
        <v>0</v>
      </c>
      <c r="N59" s="738">
        <f ca="1"/>
        <v>0</v>
      </c>
      <c r="O59" s="738">
        <f ca="1"/>
        <v>0</v>
      </c>
      <c r="P59" s="738">
        <f ca="1"/>
        <v>0</v>
      </c>
      <c r="Q59" s="738">
        <f ca="1"/>
        <v>0</v>
      </c>
      <c r="R59" s="738">
        <f ca="1"/>
        <v>0</v>
      </c>
      <c r="S59" s="613">
        <f ca="1">VLOOKUP("IS"&amp;RIGHT($B59,2),AuxData!$BF$34:$BJ$39,5,FALSE)/U$47</f>
        <v>3.0566286480554523</v>
      </c>
      <c r="T59" s="613">
        <f t="shared" si="1"/>
        <v>11.223247307721053</v>
      </c>
      <c r="U59" s="613">
        <f>SUM(D59:S59)</f>
        <v>4.4245593480554524</v>
      </c>
    </row>
    <row r="60" spans="1:21" hidden="1">
      <c r="A60" s="613">
        <f ca="1">MATCH(B60,AuxData!$A$28:$A$33,0)</f>
        <v>3</v>
      </c>
      <c r="B60" s="613" t="s">
        <v>787</v>
      </c>
      <c r="C60" s="738">
        <f t="array" aca="1" ref="C60:R60" ca="1">INDEX(AuxData!$B$28:$Q$33,$A60,0)-AuxData!$B$37:$Q$37</f>
        <v>16.341565534315333</v>
      </c>
      <c r="D60" s="738">
        <f ca="1"/>
        <v>1.5939955229433123</v>
      </c>
      <c r="E60" s="738">
        <f ca="1"/>
        <v>6.3071769624043093</v>
      </c>
      <c r="F60" s="738">
        <f ca="1"/>
        <v>0</v>
      </c>
      <c r="G60" s="738">
        <f ca="1"/>
        <v>0</v>
      </c>
      <c r="H60" s="738">
        <f ca="1"/>
        <v>0</v>
      </c>
      <c r="I60" s="738">
        <f ca="1"/>
        <v>0</v>
      </c>
      <c r="J60" s="738">
        <f ca="1"/>
        <v>0</v>
      </c>
      <c r="K60" s="738">
        <f ca="1"/>
        <v>0</v>
      </c>
      <c r="L60" s="738">
        <f ca="1"/>
        <v>4.010491337286699</v>
      </c>
      <c r="M60" s="738">
        <f ca="1"/>
        <v>0.2099993</v>
      </c>
      <c r="N60" s="738">
        <f ca="1"/>
        <v>4.7872188648052316E-2</v>
      </c>
      <c r="O60" s="738">
        <f ca="1"/>
        <v>3.3520203887176212</v>
      </c>
      <c r="P60" s="738">
        <f ca="1"/>
        <v>0</v>
      </c>
      <c r="Q60" s="738">
        <f ca="1"/>
        <v>0.79099959999999991</v>
      </c>
      <c r="R60" s="738">
        <f ca="1"/>
        <v>0</v>
      </c>
      <c r="S60" s="613">
        <f ca="1">VLOOKUP("IS"&amp;RIGHT($B60,2),AuxData!$BF$34:$BJ$39,5,FALSE)/U$47</f>
        <v>14.48789852946604</v>
      </c>
      <c r="T60" s="613">
        <f t="shared" si="1"/>
        <v>47.142019363781372</v>
      </c>
      <c r="U60" s="613">
        <f>SUM(D60:S60)</f>
        <v>30.800453829466033</v>
      </c>
    </row>
    <row r="61" spans="1:21" hidden="1">
      <c r="A61" s="613">
        <f ca="1">MATCH(B61,AuxData!$A$28:$A$33,0)</f>
        <v>4</v>
      </c>
      <c r="B61" s="613" t="s">
        <v>978</v>
      </c>
      <c r="C61" s="738">
        <f t="array" aca="1" ref="C61:R61" ca="1">INDEX(AuxData!$B$28:$Q$33,$A61,0)</f>
        <v>64.613676219702754</v>
      </c>
      <c r="D61" s="738">
        <f ca="1"/>
        <v>17.570998599999999</v>
      </c>
      <c r="E61" s="738">
        <f ca="1"/>
        <v>1.6550008</v>
      </c>
      <c r="F61" s="738">
        <f ca="1"/>
        <v>0</v>
      </c>
      <c r="G61" s="738">
        <f ca="1"/>
        <v>1.9344153000000002</v>
      </c>
      <c r="H61" s="738">
        <f ca="1"/>
        <v>0</v>
      </c>
      <c r="I61" s="738">
        <f ca="1"/>
        <v>0</v>
      </c>
      <c r="J61" s="738">
        <f ca="1"/>
        <v>0</v>
      </c>
      <c r="K61" s="738">
        <f ca="1"/>
        <v>6.148400800000001</v>
      </c>
      <c r="L61" s="738">
        <f ca="1"/>
        <v>4.0790030999999995</v>
      </c>
      <c r="M61" s="738">
        <f ca="1"/>
        <v>0.4259985</v>
      </c>
      <c r="N61" s="738">
        <f ca="1"/>
        <v>0</v>
      </c>
      <c r="O61" s="738">
        <f ca="1"/>
        <v>0</v>
      </c>
      <c r="P61" s="738">
        <f ca="1"/>
        <v>0</v>
      </c>
      <c r="Q61" s="738">
        <f ca="1"/>
        <v>151.42578990000001</v>
      </c>
      <c r="R61" s="738">
        <f ca="1"/>
        <v>0</v>
      </c>
      <c r="S61" s="613">
        <f ca="1">VLOOKUP("IS"&amp;RIGHT($B61,2),AuxData!$BF$34:$BJ$39,5,FALSE)/U$47</f>
        <v>9.8385075318928035</v>
      </c>
      <c r="T61" s="613">
        <f t="shared" si="1"/>
        <v>257.69179075159553</v>
      </c>
      <c r="U61" s="613">
        <f>SUM(D61:S61)</f>
        <v>193.07811453189282</v>
      </c>
    </row>
    <row r="62" spans="1:21" hidden="1">
      <c r="A62" s="613">
        <f ca="1">MATCH(B62,AuxData!$A$28:$A$33,0)</f>
        <v>6</v>
      </c>
      <c r="B62" s="613" t="s">
        <v>722</v>
      </c>
      <c r="C62" s="738">
        <f t="array" aca="1" ref="C62:R62" ca="1">INDEX(AuxData!$B$28:$Q$33,$A62,0)</f>
        <v>30.151561170211874</v>
      </c>
      <c r="D62" s="738">
        <f ca="1"/>
        <v>1.2453355114554923</v>
      </c>
      <c r="E62" s="738">
        <f ca="1"/>
        <v>3.5758622433403628</v>
      </c>
      <c r="F62" s="738">
        <f ca="1"/>
        <v>0</v>
      </c>
      <c r="G62" s="738">
        <f ca="1"/>
        <v>0.3857726200649122</v>
      </c>
      <c r="H62" s="738">
        <f ca="1"/>
        <v>2.9303500000000149E-2</v>
      </c>
      <c r="I62" s="738">
        <f ca="1"/>
        <v>0</v>
      </c>
      <c r="J62" s="738">
        <f ca="1"/>
        <v>0</v>
      </c>
      <c r="K62" s="738">
        <f ca="1"/>
        <v>5.4437087578159342E-2</v>
      </c>
      <c r="L62" s="738">
        <f ca="1"/>
        <v>1.0608653768376892</v>
      </c>
      <c r="M62" s="738">
        <f ca="1"/>
        <v>17.773045867528115</v>
      </c>
      <c r="N62" s="738">
        <f ca="1"/>
        <v>0</v>
      </c>
      <c r="O62" s="738">
        <f ca="1"/>
        <v>0</v>
      </c>
      <c r="P62" s="738">
        <f ca="1"/>
        <v>0</v>
      </c>
      <c r="Q62" s="738">
        <f ca="1"/>
        <v>9.6642209920263564</v>
      </c>
      <c r="R62" s="738">
        <f ca="1"/>
        <v>0</v>
      </c>
      <c r="S62" s="681">
        <f ca="1">VLOOKUP("IS"&amp;RIGHT($B62,2),AuxData!$BF$34:$BJ$39,5,FALSE)+AuxData!$T$69*0</f>
        <v>22.870319057719183</v>
      </c>
      <c r="T62" s="613">
        <f t="shared" si="1"/>
        <v>86.810723426762152</v>
      </c>
    </row>
    <row r="63" spans="1:21" hidden="1">
      <c r="B63" s="613" t="s">
        <v>286</v>
      </c>
      <c r="C63" s="738">
        <f ca="1">ROUND(SUM(AuxData!B$35:B$36),5)</f>
        <v>3.6036000000000001</v>
      </c>
      <c r="D63" s="738">
        <f ca="1">ROUND(SUM(AuxData!C$35:C$36),5)</f>
        <v>0.29699999999999999</v>
      </c>
      <c r="E63" s="738">
        <f ca="1">ROUND(SUM(AuxData!D$35:D$36),5)</f>
        <v>2.024</v>
      </c>
      <c r="F63" s="738">
        <f ca="1">ROUND(SUM(AuxData!E$35:E$36),5)</f>
        <v>0</v>
      </c>
      <c r="G63" s="738">
        <f ca="1">ROUND(SUM(AuxData!F$35:F$36),5)</f>
        <v>0</v>
      </c>
      <c r="H63" s="738">
        <f ca="1">ROUND(SUM(AuxData!G$35:G$36),5)</f>
        <v>0</v>
      </c>
      <c r="I63" s="738">
        <f ca="1">ROUND(SUM(AuxData!H$35:H$36),5)</f>
        <v>0</v>
      </c>
      <c r="J63" s="738">
        <f ca="1">ROUND(SUM(AuxData!I$35:I$36),5)</f>
        <v>0</v>
      </c>
      <c r="K63" s="738">
        <f ca="1">ROUND(SUM(AuxData!J$35:J$36),5)</f>
        <v>9.92E-3</v>
      </c>
      <c r="L63" s="738">
        <f ca="1">ROUND(SUM(AuxData!K$35:K$36),5)</f>
        <v>0.16</v>
      </c>
      <c r="M63" s="738">
        <f ca="1">ROUND(SUM(AuxData!L$35:L$36),5)</f>
        <v>6.6882000000000001</v>
      </c>
      <c r="N63" s="738">
        <f ca="1">ROUND(SUM(AuxData!M$35:M$36),5)</f>
        <v>0</v>
      </c>
      <c r="O63" s="738">
        <f ca="1">ROUND(SUM(AuxData!N$35:N$36),5)</f>
        <v>0</v>
      </c>
      <c r="P63" s="738">
        <f ca="1">ROUND(SUM(AuxData!O$35:O$36),5)</f>
        <v>0</v>
      </c>
      <c r="Q63" s="738">
        <f ca="1">ROUND(SUM(AuxData!P$35:P$36),5)</f>
        <v>0.23200000000000001</v>
      </c>
      <c r="R63" s="738">
        <f ca="1">ROUND(SUM(AuxData!Q$35:Q$36),5)</f>
        <v>0</v>
      </c>
      <c r="S63" s="681">
        <f ca="1">ROUND(SUM(AuxData!R$36)+MAX(0,S62+AuxData!R35-AuxData!R33),5)/$U$47</f>
        <v>4.5179509202453989</v>
      </c>
      <c r="T63" s="613">
        <f t="shared" si="1"/>
        <v>17.532670920245401</v>
      </c>
    </row>
    <row r="64" spans="1:21" hidden="1"/>
    <row r="65" spans="1:22" hidden="1">
      <c r="B65" s="612" t="s">
        <v>377</v>
      </c>
    </row>
    <row r="66" spans="1:22" hidden="1">
      <c r="C66" s="613" t="s">
        <v>905</v>
      </c>
      <c r="D66" s="613" t="s">
        <v>906</v>
      </c>
      <c r="E66" s="613" t="s">
        <v>907</v>
      </c>
      <c r="F66" s="613" t="s">
        <v>908</v>
      </c>
      <c r="G66" s="613" t="s">
        <v>909</v>
      </c>
      <c r="H66" s="613" t="s">
        <v>910</v>
      </c>
      <c r="I66" s="613" t="s">
        <v>911</v>
      </c>
      <c r="J66" s="613" t="s">
        <v>912</v>
      </c>
      <c r="K66" s="613" t="s">
        <v>1150</v>
      </c>
      <c r="L66" s="613" t="s">
        <v>913</v>
      </c>
      <c r="M66" s="613" t="s">
        <v>826</v>
      </c>
      <c r="N66" s="613" t="s">
        <v>914</v>
      </c>
      <c r="O66" s="613" t="s">
        <v>915</v>
      </c>
      <c r="P66" s="613" t="s">
        <v>916</v>
      </c>
      <c r="Q66" s="613" t="s">
        <v>917</v>
      </c>
      <c r="R66" s="613" t="s">
        <v>950</v>
      </c>
      <c r="S66" s="613" t="s">
        <v>946</v>
      </c>
      <c r="T66" s="613" t="s">
        <v>888</v>
      </c>
      <c r="U66" s="613" t="s">
        <v>378</v>
      </c>
      <c r="V66" s="612" t="s">
        <v>527</v>
      </c>
    </row>
    <row r="67" spans="1:22" hidden="1">
      <c r="B67" s="613" t="s">
        <v>568</v>
      </c>
      <c r="C67" s="739">
        <f>IF(C57&lt;&gt;0,C49/C57,MAX(1,V67))</f>
        <v>0.98784927853642446</v>
      </c>
      <c r="D67" s="734">
        <f t="shared" ref="D67:U67" si="2">IF(D57&lt;&gt;0,D49/D57,0)</f>
        <v>1.3168267541871013</v>
      </c>
      <c r="E67" s="734">
        <f t="shared" si="2"/>
        <v>0.1142456808032718</v>
      </c>
      <c r="F67" s="734">
        <f t="shared" si="2"/>
        <v>0</v>
      </c>
      <c r="G67" s="734">
        <f t="shared" si="2"/>
        <v>4.4513183613474308</v>
      </c>
      <c r="H67" s="734">
        <f t="shared" si="2"/>
        <v>2.6581125417227516</v>
      </c>
      <c r="I67" s="734">
        <f t="shared" si="2"/>
        <v>0.58780704811353046</v>
      </c>
      <c r="J67" s="734">
        <f t="shared" si="2"/>
        <v>3.6978743598471238</v>
      </c>
      <c r="K67" s="734">
        <f t="shared" si="2"/>
        <v>0</v>
      </c>
      <c r="L67" s="734">
        <f t="shared" si="2"/>
        <v>31.621966896114568</v>
      </c>
      <c r="M67" s="734">
        <f t="shared" si="2"/>
        <v>6.8256540143767106</v>
      </c>
      <c r="N67" s="734">
        <f t="shared" si="2"/>
        <v>0</v>
      </c>
      <c r="O67" s="734">
        <f t="shared" si="2"/>
        <v>0</v>
      </c>
      <c r="P67" s="734">
        <f t="shared" si="2"/>
        <v>0</v>
      </c>
      <c r="Q67" s="734">
        <f t="shared" si="2"/>
        <v>31.63447815027282</v>
      </c>
      <c r="R67" s="734">
        <f t="shared" si="2"/>
        <v>0</v>
      </c>
      <c r="S67" s="734">
        <f t="shared" si="2"/>
        <v>0.34441874953198021</v>
      </c>
      <c r="T67" s="739">
        <f t="shared" si="2"/>
        <v>1.3656739254555179</v>
      </c>
      <c r="U67" s="734">
        <f t="shared" si="2"/>
        <v>1.6907604024257479</v>
      </c>
      <c r="V67" s="704">
        <f ca="1">IF(Driver2!H62&gt;0,1.001,0.95)</f>
        <v>1.0009999999999999</v>
      </c>
    </row>
    <row r="68" spans="1:22" hidden="1">
      <c r="B68" s="613" t="s">
        <v>879</v>
      </c>
      <c r="C68" s="739">
        <f>IF(C58&lt;&gt;0,C50/C58,MAX(1,V68))</f>
        <v>1</v>
      </c>
      <c r="D68" s="734">
        <f t="shared" ref="D68:U68" si="3">IF(D58&lt;&gt;0,D50/D58,0)</f>
        <v>3.880543984527471</v>
      </c>
      <c r="E68" s="734">
        <f t="shared" si="3"/>
        <v>0.13261056164054638</v>
      </c>
      <c r="F68" s="734">
        <f t="shared" si="3"/>
        <v>0</v>
      </c>
      <c r="G68" s="734">
        <f t="shared" si="3"/>
        <v>1.3831367737577189</v>
      </c>
      <c r="H68" s="734">
        <f t="shared" si="3"/>
        <v>0.34106645335683761</v>
      </c>
      <c r="I68" s="734">
        <f t="shared" si="3"/>
        <v>0.18302578726459046</v>
      </c>
      <c r="J68" s="734">
        <f t="shared" si="3"/>
        <v>8.7788016691196222E-2</v>
      </c>
      <c r="K68" s="734">
        <f t="shared" si="3"/>
        <v>6.0451995732122183</v>
      </c>
      <c r="L68" s="734">
        <f t="shared" si="3"/>
        <v>2.5653834619883091</v>
      </c>
      <c r="M68" s="734">
        <f t="shared" si="3"/>
        <v>0.24296014001689409</v>
      </c>
      <c r="N68" s="734">
        <f t="shared" si="3"/>
        <v>0</v>
      </c>
      <c r="O68" s="734">
        <f t="shared" si="3"/>
        <v>0</v>
      </c>
      <c r="P68" s="734">
        <f t="shared" si="3"/>
        <v>0.64172756053717939</v>
      </c>
      <c r="Q68" s="734">
        <f t="shared" si="3"/>
        <v>0.27165689791449421</v>
      </c>
      <c r="R68" s="734">
        <f t="shared" si="3"/>
        <v>0</v>
      </c>
      <c r="S68" s="734">
        <f t="shared" si="3"/>
        <v>0.11746530404464986</v>
      </c>
      <c r="T68" s="734">
        <f t="shared" si="3"/>
        <v>0.99999999999999989</v>
      </c>
      <c r="U68" s="734">
        <f t="shared" si="3"/>
        <v>1</v>
      </c>
      <c r="V68" s="704">
        <v>0.95</v>
      </c>
    </row>
    <row r="69" spans="1:22" hidden="1">
      <c r="B69" s="613" t="s">
        <v>880</v>
      </c>
      <c r="C69" s="739">
        <f>IF(C59&lt;&gt;0,C51/C59,MAX(1,V69))</f>
        <v>1</v>
      </c>
      <c r="D69" s="734">
        <f t="shared" ref="D69:U69" si="4">IF(D59&lt;&gt;0,D51/D59,0)</f>
        <v>28.944669372172346</v>
      </c>
      <c r="E69" s="734">
        <f t="shared" si="4"/>
        <v>0.27987046120868653</v>
      </c>
      <c r="F69" s="734">
        <f t="shared" si="4"/>
        <v>0</v>
      </c>
      <c r="G69" s="734">
        <f t="shared" si="4"/>
        <v>15.490434730048891</v>
      </c>
      <c r="H69" s="734">
        <f t="shared" si="4"/>
        <v>1.6787598147218596</v>
      </c>
      <c r="I69" s="734">
        <f t="shared" si="4"/>
        <v>0</v>
      </c>
      <c r="J69" s="734">
        <f t="shared" si="4"/>
        <v>0</v>
      </c>
      <c r="K69" s="734">
        <f t="shared" si="4"/>
        <v>2.6437039723952811</v>
      </c>
      <c r="L69" s="734">
        <f t="shared" si="4"/>
        <v>3.4186359042798129</v>
      </c>
      <c r="M69" s="734">
        <f t="shared" si="4"/>
        <v>0</v>
      </c>
      <c r="N69" s="734">
        <f t="shared" si="4"/>
        <v>0</v>
      </c>
      <c r="O69" s="734">
        <f t="shared" si="4"/>
        <v>0</v>
      </c>
      <c r="P69" s="734">
        <f t="shared" si="4"/>
        <v>0</v>
      </c>
      <c r="Q69" s="734">
        <f t="shared" si="4"/>
        <v>0</v>
      </c>
      <c r="R69" s="734">
        <f t="shared" si="4"/>
        <v>0</v>
      </c>
      <c r="S69" s="734">
        <f t="shared" si="4"/>
        <v>8.5785945462770158E-2</v>
      </c>
      <c r="T69" s="734">
        <f t="shared" si="4"/>
        <v>1.0000000000000002</v>
      </c>
      <c r="U69" s="739">
        <f t="shared" si="4"/>
        <v>1.0000000000000002</v>
      </c>
      <c r="V69" s="704">
        <v>0.95</v>
      </c>
    </row>
    <row r="70" spans="1:22" hidden="1">
      <c r="B70" s="613" t="s">
        <v>787</v>
      </c>
      <c r="C70" s="739">
        <f>IF(C60&lt;&gt;0,C52/C60,MAX(1,V70))</f>
        <v>1</v>
      </c>
      <c r="D70" s="734">
        <f t="shared" ref="D70:U70" si="5">IF(D60&lt;&gt;0,D52/D60,0)</f>
        <v>7.5477484325811002</v>
      </c>
      <c r="E70" s="734">
        <f t="shared" si="5"/>
        <v>0.14174602460264663</v>
      </c>
      <c r="F70" s="734">
        <f t="shared" si="5"/>
        <v>0</v>
      </c>
      <c r="G70" s="734">
        <f t="shared" si="5"/>
        <v>0</v>
      </c>
      <c r="H70" s="734">
        <f t="shared" si="5"/>
        <v>0</v>
      </c>
      <c r="I70" s="734">
        <f t="shared" si="5"/>
        <v>0</v>
      </c>
      <c r="J70" s="734">
        <f t="shared" si="5"/>
        <v>0</v>
      </c>
      <c r="K70" s="734">
        <f t="shared" si="5"/>
        <v>0</v>
      </c>
      <c r="L70" s="734">
        <f t="shared" si="5"/>
        <v>0.93575594619585456</v>
      </c>
      <c r="M70" s="734">
        <f t="shared" si="5"/>
        <v>6.7334460224096775</v>
      </c>
      <c r="N70" s="734">
        <f t="shared" si="5"/>
        <v>27.656404232169955</v>
      </c>
      <c r="O70" s="734">
        <f t="shared" si="5"/>
        <v>0.45931849882433851</v>
      </c>
      <c r="P70" s="734">
        <f t="shared" si="5"/>
        <v>0</v>
      </c>
      <c r="Q70" s="734">
        <f t="shared" si="5"/>
        <v>0.26671071802342655</v>
      </c>
      <c r="R70" s="734">
        <f t="shared" si="5"/>
        <v>0</v>
      </c>
      <c r="S70" s="734">
        <f t="shared" si="5"/>
        <v>0.29123350200606152</v>
      </c>
      <c r="T70" s="739">
        <f t="shared" si="5"/>
        <v>1</v>
      </c>
      <c r="U70" s="734">
        <f t="shared" si="5"/>
        <v>1.0000000000000002</v>
      </c>
      <c r="V70" s="704">
        <v>1.0009999999999999</v>
      </c>
    </row>
    <row r="71" spans="1:22" hidden="1">
      <c r="B71" s="613" t="s">
        <v>978</v>
      </c>
      <c r="C71" s="739">
        <f>IF(C61&lt;&gt;0,C53/C61,MAX(1,V71))</f>
        <v>1.1222899319044575</v>
      </c>
      <c r="D71" s="734">
        <f t="shared" ref="D71:U71" si="6">IF(D61&lt;&gt;0,D53/D61,0)</f>
        <v>2.2607260579343351</v>
      </c>
      <c r="E71" s="734">
        <f t="shared" si="6"/>
        <v>1.8177243651999715</v>
      </c>
      <c r="F71" s="734">
        <f t="shared" si="6"/>
        <v>0</v>
      </c>
      <c r="G71" s="734">
        <f t="shared" si="6"/>
        <v>5.3511783605173155</v>
      </c>
      <c r="H71" s="734">
        <f t="shared" si="6"/>
        <v>0</v>
      </c>
      <c r="I71" s="734">
        <f t="shared" si="6"/>
        <v>0</v>
      </c>
      <c r="J71" s="734">
        <f t="shared" si="6"/>
        <v>0</v>
      </c>
      <c r="K71" s="734">
        <f t="shared" si="6"/>
        <v>0.80700945913550926</v>
      </c>
      <c r="L71" s="734">
        <f t="shared" si="6"/>
        <v>5.1034658117479506</v>
      </c>
      <c r="M71" s="734">
        <f t="shared" si="6"/>
        <v>8.3499897116666943</v>
      </c>
      <c r="N71" s="734">
        <f t="shared" si="6"/>
        <v>0</v>
      </c>
      <c r="O71" s="734">
        <f t="shared" si="6"/>
        <v>0</v>
      </c>
      <c r="P71" s="734">
        <f t="shared" si="6"/>
        <v>0</v>
      </c>
      <c r="Q71" s="734">
        <f t="shared" si="6"/>
        <v>0.50744167978289989</v>
      </c>
      <c r="R71" s="734">
        <f t="shared" si="6"/>
        <v>0</v>
      </c>
      <c r="S71" s="734">
        <f t="shared" si="6"/>
        <v>2.0173049979672038</v>
      </c>
      <c r="T71" s="734">
        <f t="shared" si="6"/>
        <v>1.0033992713414019</v>
      </c>
      <c r="U71" s="734">
        <f t="shared" si="6"/>
        <v>0.96361245932600414</v>
      </c>
      <c r="V71" s="704">
        <v>1.0009999999999999</v>
      </c>
    </row>
    <row r="72" spans="1:22" hidden="1">
      <c r="T72" s="704"/>
    </row>
    <row r="73" spans="1:22" hidden="1">
      <c r="B73" s="704"/>
      <c r="C73" s="734"/>
      <c r="D73" s="734"/>
      <c r="E73" s="734"/>
      <c r="F73" s="734"/>
      <c r="G73" s="734"/>
      <c r="H73" s="734"/>
      <c r="I73" s="734"/>
      <c r="J73" s="734"/>
      <c r="K73" s="734"/>
      <c r="L73" s="734"/>
      <c r="M73" s="734"/>
      <c r="N73" s="734"/>
      <c r="O73" s="734"/>
      <c r="P73" s="734"/>
      <c r="Q73" s="734"/>
      <c r="R73" s="734"/>
      <c r="S73" s="734"/>
      <c r="T73" s="734"/>
    </row>
    <row r="74" spans="1:22" hidden="1">
      <c r="A74" s="740"/>
    </row>
    <row r="75" spans="1:22" ht="18" hidden="1">
      <c r="A75" s="740"/>
      <c r="B75" s="728" t="s">
        <v>379</v>
      </c>
      <c r="C75" s="729"/>
      <c r="D75" s="708"/>
      <c r="E75" s="729"/>
      <c r="F75" s="708"/>
      <c r="G75" s="708"/>
    </row>
    <row r="76" spans="1:22" hidden="1">
      <c r="B76" s="613" t="s">
        <v>83</v>
      </c>
      <c r="F76" s="741">
        <v>0</v>
      </c>
    </row>
    <row r="77" spans="1:22" hidden="1">
      <c r="B77" s="613" t="s">
        <v>376</v>
      </c>
    </row>
    <row r="78" spans="1:22" hidden="1">
      <c r="B78" s="710"/>
      <c r="C78" s="613" t="s">
        <v>905</v>
      </c>
      <c r="D78" s="613" t="s">
        <v>906</v>
      </c>
      <c r="E78" s="613" t="s">
        <v>907</v>
      </c>
      <c r="F78" s="613" t="s">
        <v>908</v>
      </c>
      <c r="G78" s="613" t="s">
        <v>909</v>
      </c>
      <c r="H78" s="613" t="s">
        <v>910</v>
      </c>
      <c r="I78" s="613" t="s">
        <v>911</v>
      </c>
      <c r="J78" s="613" t="s">
        <v>912</v>
      </c>
      <c r="K78" s="613" t="s">
        <v>1150</v>
      </c>
      <c r="L78" s="613" t="s">
        <v>913</v>
      </c>
      <c r="M78" s="613" t="s">
        <v>826</v>
      </c>
      <c r="N78" s="613" t="s">
        <v>914</v>
      </c>
      <c r="O78" s="613" t="s">
        <v>915</v>
      </c>
      <c r="P78" s="613" t="s">
        <v>916</v>
      </c>
      <c r="Q78" s="613" t="s">
        <v>917</v>
      </c>
      <c r="R78" s="613" t="s">
        <v>950</v>
      </c>
      <c r="S78" s="613" t="s">
        <v>946</v>
      </c>
      <c r="T78" s="613" t="s">
        <v>888</v>
      </c>
      <c r="U78" s="613" t="s">
        <v>439</v>
      </c>
    </row>
    <row r="79" spans="1:22" hidden="1">
      <c r="B79" s="613" t="s">
        <v>568</v>
      </c>
      <c r="C79" s="742">
        <f>IF(OR(C$63=0,C67&lt;$V67^$B$78),0,ROUND(C49-C57*$V67^$B$78,5))</f>
        <v>0</v>
      </c>
      <c r="D79" s="743">
        <f t="shared" ref="D79:P79" si="7">IF(OR(D$63*$F$76=0,$U67&lt;$V67),0,D49*($U49-$U57*$V67)/$U49)</f>
        <v>0</v>
      </c>
      <c r="E79" s="743">
        <f t="shared" si="7"/>
        <v>0</v>
      </c>
      <c r="F79" s="743">
        <f t="shared" si="7"/>
        <v>0</v>
      </c>
      <c r="G79" s="743">
        <f t="shared" si="7"/>
        <v>0</v>
      </c>
      <c r="H79" s="743">
        <f t="shared" si="7"/>
        <v>0</v>
      </c>
      <c r="I79" s="743">
        <f t="shared" si="7"/>
        <v>0</v>
      </c>
      <c r="J79" s="743">
        <f t="shared" si="7"/>
        <v>0</v>
      </c>
      <c r="K79" s="743">
        <f t="shared" si="7"/>
        <v>0</v>
      </c>
      <c r="L79" s="743">
        <f t="shared" si="7"/>
        <v>0</v>
      </c>
      <c r="M79" s="743">
        <f t="shared" si="7"/>
        <v>0</v>
      </c>
      <c r="N79" s="743">
        <f t="shared" si="7"/>
        <v>0</v>
      </c>
      <c r="O79" s="743">
        <f t="shared" si="7"/>
        <v>0</v>
      </c>
      <c r="P79" s="743">
        <f t="shared" si="7"/>
        <v>0</v>
      </c>
      <c r="Q79" s="743">
        <f t="shared" ref="Q79:S82" si="8">IF(OR(Q$63=0,$U67&lt;$V67),0,Q49*($U49-$U57*$V67)/$U49)</f>
        <v>2.5827897891246298E-2</v>
      </c>
      <c r="R79" s="743">
        <f t="shared" si="8"/>
        <v>0</v>
      </c>
      <c r="S79" s="743">
        <f t="shared" si="8"/>
        <v>0.25827897891246299</v>
      </c>
      <c r="T79" s="613">
        <f t="array" ref="T79">SUM(IF(D$84:S$84&gt;0,D79:S79/$D$84:$S$84*$D$63:$S$63),0)</f>
        <v>4.3155643453676875</v>
      </c>
      <c r="U79" s="700">
        <f>IF(T79&gt;0,MIN(1,(U49-U57*$V67)/T79))</f>
        <v>1</v>
      </c>
    </row>
    <row r="80" spans="1:22" hidden="1">
      <c r="B80" s="613" t="s">
        <v>879</v>
      </c>
      <c r="C80" s="742">
        <f>IF(OR(C$63=0,C68&lt;$V68^$B$78),0,ROUND(C50-C58*$V68^$B$78,5))</f>
        <v>0</v>
      </c>
      <c r="D80" s="743">
        <f t="shared" ref="D80:P80" si="9">IF(OR(D$63*$F$76=0,$U68&lt;$V68),0,D50*($U50-$U58*$V68)/$U50)</f>
        <v>0</v>
      </c>
      <c r="E80" s="743">
        <f t="shared" si="9"/>
        <v>0</v>
      </c>
      <c r="F80" s="743">
        <f t="shared" si="9"/>
        <v>0</v>
      </c>
      <c r="G80" s="743">
        <f t="shared" si="9"/>
        <v>0</v>
      </c>
      <c r="H80" s="743">
        <f t="shared" si="9"/>
        <v>0</v>
      </c>
      <c r="I80" s="743">
        <f t="shared" si="9"/>
        <v>0</v>
      </c>
      <c r="J80" s="743">
        <f t="shared" si="9"/>
        <v>0</v>
      </c>
      <c r="K80" s="743">
        <f t="shared" si="9"/>
        <v>0</v>
      </c>
      <c r="L80" s="743">
        <f t="shared" si="9"/>
        <v>0</v>
      </c>
      <c r="M80" s="743">
        <f t="shared" si="9"/>
        <v>0</v>
      </c>
      <c r="N80" s="743">
        <f t="shared" si="9"/>
        <v>0</v>
      </c>
      <c r="O80" s="743">
        <f t="shared" si="9"/>
        <v>0</v>
      </c>
      <c r="P80" s="743">
        <f t="shared" si="9"/>
        <v>0</v>
      </c>
      <c r="Q80" s="743">
        <f t="shared" si="8"/>
        <v>2.5304815591614328E-2</v>
      </c>
      <c r="R80" s="743">
        <f t="shared" si="8"/>
        <v>0</v>
      </c>
      <c r="S80" s="743">
        <f t="shared" si="8"/>
        <v>5.9959311966905383E-3</v>
      </c>
      <c r="T80" s="613">
        <f t="array" ref="T80">SUM(IF(D$84:S$84&gt;0,D80:S80/$D$84:$S$84*$D$63:$S$63),0)</f>
        <v>0.2042718816443119</v>
      </c>
      <c r="U80" s="700">
        <f>IF(T80&gt;0,MIN(1,(U50-U58*$V68)/T80))</f>
        <v>1</v>
      </c>
    </row>
    <row r="81" spans="2:22" hidden="1">
      <c r="B81" s="613" t="s">
        <v>880</v>
      </c>
      <c r="C81" s="742">
        <f>IF(OR(C$63=0,C69&lt;$V69^$B$78),0,ROUND(C51-C59*$V69^$B$78,5))</f>
        <v>0</v>
      </c>
      <c r="D81" s="743">
        <f t="shared" ref="D81:P81" si="10">IF(OR(D$63*$F$76=0,$U69&lt;$V69),0,D51*($U51-$U59*$V69)/$U51)</f>
        <v>0</v>
      </c>
      <c r="E81" s="743">
        <f t="shared" si="10"/>
        <v>0</v>
      </c>
      <c r="F81" s="743">
        <f t="shared" si="10"/>
        <v>0</v>
      </c>
      <c r="G81" s="743">
        <f t="shared" si="10"/>
        <v>0</v>
      </c>
      <c r="H81" s="743">
        <f t="shared" si="10"/>
        <v>0</v>
      </c>
      <c r="I81" s="743">
        <f t="shared" si="10"/>
        <v>0</v>
      </c>
      <c r="J81" s="743">
        <f t="shared" si="10"/>
        <v>0</v>
      </c>
      <c r="K81" s="743">
        <f t="shared" si="10"/>
        <v>0</v>
      </c>
      <c r="L81" s="743">
        <f t="shared" si="10"/>
        <v>0</v>
      </c>
      <c r="M81" s="743">
        <f t="shared" si="10"/>
        <v>0</v>
      </c>
      <c r="N81" s="743">
        <f t="shared" si="10"/>
        <v>0</v>
      </c>
      <c r="O81" s="743">
        <f t="shared" si="10"/>
        <v>0</v>
      </c>
      <c r="P81" s="743">
        <f t="shared" si="10"/>
        <v>0</v>
      </c>
      <c r="Q81" s="743">
        <f t="shared" si="8"/>
        <v>3.9332366775304073E-3</v>
      </c>
      <c r="R81" s="743">
        <f t="shared" si="8"/>
        <v>0</v>
      </c>
      <c r="S81" s="743">
        <f t="shared" si="8"/>
        <v>1.3110788925101358E-2</v>
      </c>
      <c r="T81" s="613">
        <f t="array" ref="T81">SUM(IF(D$84:S$84&gt;0,D81:S81/$D$84:$S$84*$D$63:$S$63),0)</f>
        <v>0.23011469323339862</v>
      </c>
      <c r="U81" s="700">
        <f>IF(T81&gt;0,MIN(1,(U51-U59*$V69)/T81))</f>
        <v>0.96138131943790595</v>
      </c>
    </row>
    <row r="82" spans="2:22" hidden="1">
      <c r="B82" s="613" t="s">
        <v>787</v>
      </c>
      <c r="C82" s="742">
        <f>IF(OR(C$63=0,C70&lt;$V70^$B$78),0,ROUND(C52-C60*$V70^$B$78,5))</f>
        <v>0</v>
      </c>
      <c r="D82" s="743">
        <f t="shared" ref="D82:P82" si="11">IF(OR(D$63*$F$76=0,$U70&lt;$V70),0,D52*($U52-$U60*$V70)/$U52)</f>
        <v>0</v>
      </c>
      <c r="E82" s="743">
        <f t="shared" si="11"/>
        <v>0</v>
      </c>
      <c r="F82" s="743">
        <f t="shared" si="11"/>
        <v>0</v>
      </c>
      <c r="G82" s="743">
        <f t="shared" si="11"/>
        <v>0</v>
      </c>
      <c r="H82" s="743">
        <f t="shared" si="11"/>
        <v>0</v>
      </c>
      <c r="I82" s="743">
        <f t="shared" si="11"/>
        <v>0</v>
      </c>
      <c r="J82" s="743">
        <f t="shared" si="11"/>
        <v>0</v>
      </c>
      <c r="K82" s="743">
        <f t="shared" si="11"/>
        <v>0</v>
      </c>
      <c r="L82" s="743">
        <f t="shared" si="11"/>
        <v>0</v>
      </c>
      <c r="M82" s="743">
        <f t="shared" si="11"/>
        <v>0</v>
      </c>
      <c r="N82" s="743">
        <f t="shared" si="11"/>
        <v>0</v>
      </c>
      <c r="O82" s="743">
        <f t="shared" si="11"/>
        <v>0</v>
      </c>
      <c r="P82" s="743">
        <f t="shared" si="11"/>
        <v>0</v>
      </c>
      <c r="Q82" s="743">
        <f t="shared" si="8"/>
        <v>0</v>
      </c>
      <c r="R82" s="743">
        <f t="shared" si="8"/>
        <v>0</v>
      </c>
      <c r="S82" s="743">
        <f t="shared" si="8"/>
        <v>0</v>
      </c>
      <c r="T82" s="613">
        <f t="array" ref="T82">SUM(IF(D$84:S$84&gt;0,D82:S82/$D$84:$S$84*$D$63:$S$63),0)</f>
        <v>0</v>
      </c>
      <c r="U82" s="700" t="b">
        <f>IF(T82&gt;0,MIN(1,(U52-U60*$V70)/T82))</f>
        <v>0</v>
      </c>
    </row>
    <row r="83" spans="2:22" hidden="1">
      <c r="B83" s="613" t="s">
        <v>978</v>
      </c>
      <c r="C83" s="744">
        <f>IF(OR(C$63=0,C71&lt;$V71^$B$78),0,ROUND(C53-C61*$V71^$B$78,5))</f>
        <v>7.9016000000000002</v>
      </c>
      <c r="D83" s="745">
        <f>IF(OR(D$63*$F$76=0,$U71&lt;$V71),0,D53*(1-(1/$U$71)^($U$71))*($U53-$U61*$V71)/$U53)</f>
        <v>0</v>
      </c>
      <c r="E83" s="745">
        <f>IF(OR(E$63*$F$76=0,$U71&lt;$V71),0,E53*(1-(1/$U$71)^($U$71))*($U53-$U61*$V71)/$U53)</f>
        <v>0</v>
      </c>
      <c r="F83" s="745">
        <v>0</v>
      </c>
      <c r="G83" s="745">
        <f>IF(OR(G$63*$F$76=0,$U71&lt;$V71),0,G53*(1-(1/$U$71)^($U$71))*($U53-$U61*$V71)/$U53)</f>
        <v>0</v>
      </c>
      <c r="H83" s="745">
        <v>0</v>
      </c>
      <c r="I83" s="745">
        <v>0</v>
      </c>
      <c r="J83" s="745">
        <v>0</v>
      </c>
      <c r="K83" s="745">
        <v>0</v>
      </c>
      <c r="L83" s="745">
        <f>IF(OR(L$63*$F$76=0,$U71&lt;$V71),0,L53*(1-(1/$U$71)^($U$71))*($U53-$U61*$V71)/$U53)</f>
        <v>0</v>
      </c>
      <c r="M83" s="745">
        <f>IF(OR(M$63*$F$76=0,$U71&lt;$V71),0,M53*(1-(1/$U$71)^($U$71))*($U53-$U61*$V71)/$U53)</f>
        <v>0</v>
      </c>
      <c r="N83" s="745">
        <v>0</v>
      </c>
      <c r="O83" s="745">
        <v>0</v>
      </c>
      <c r="P83" s="745">
        <v>0</v>
      </c>
      <c r="Q83" s="745">
        <f>IF(OR(Q$63=0,$U71&lt;$V71),0,Q53*($U53-$U61*$V71)/$U53)</f>
        <v>0</v>
      </c>
      <c r="R83" s="745">
        <v>0</v>
      </c>
      <c r="S83" s="745">
        <f>IF(OR(S$63=0,$U71&lt;$V71),0,S53*(1-(1/$U$71)^($U$71))*($U53-$U61*$V71)/$U53)</f>
        <v>0</v>
      </c>
      <c r="T83" s="613">
        <f t="array" ref="T83">SUM(IF(D$84:S$84&gt;0,D83:S83/$D$84:$S$84*$D$63:$S$63),0)</f>
        <v>0</v>
      </c>
      <c r="U83" s="700" t="b">
        <f>IF(T83&gt;0,MIN(1,(U53-U61*$V71)/T83))</f>
        <v>0</v>
      </c>
    </row>
    <row r="84" spans="2:22" hidden="1">
      <c r="C84" s="613">
        <f t="shared" ref="C84:S84" si="12">SUM(C79:C83)</f>
        <v>7.9016000000000002</v>
      </c>
      <c r="D84" s="613">
        <f t="shared" si="12"/>
        <v>0</v>
      </c>
      <c r="E84" s="613">
        <f t="shared" si="12"/>
        <v>0</v>
      </c>
      <c r="F84" s="613">
        <f t="shared" si="12"/>
        <v>0</v>
      </c>
      <c r="G84" s="613">
        <f t="shared" si="12"/>
        <v>0</v>
      </c>
      <c r="H84" s="613">
        <f t="shared" si="12"/>
        <v>0</v>
      </c>
      <c r="I84" s="613">
        <f t="shared" si="12"/>
        <v>0</v>
      </c>
      <c r="J84" s="613">
        <f t="shared" si="12"/>
        <v>0</v>
      </c>
      <c r="K84" s="613">
        <f t="shared" si="12"/>
        <v>0</v>
      </c>
      <c r="L84" s="613">
        <f t="shared" si="12"/>
        <v>0</v>
      </c>
      <c r="M84" s="613">
        <f t="shared" si="12"/>
        <v>0</v>
      </c>
      <c r="N84" s="613">
        <f t="shared" si="12"/>
        <v>0</v>
      </c>
      <c r="O84" s="613">
        <f t="shared" si="12"/>
        <v>0</v>
      </c>
      <c r="P84" s="613">
        <f t="shared" si="12"/>
        <v>0</v>
      </c>
      <c r="Q84" s="613">
        <f t="shared" si="12"/>
        <v>5.5065950160391029E-2</v>
      </c>
      <c r="R84" s="613">
        <f t="shared" si="12"/>
        <v>0</v>
      </c>
      <c r="S84" s="613">
        <f t="shared" si="12"/>
        <v>0.27738569903425492</v>
      </c>
    </row>
    <row r="85" spans="2:22" hidden="1"/>
    <row r="86" spans="2:22" hidden="1">
      <c r="B86" s="612" t="s">
        <v>990</v>
      </c>
    </row>
    <row r="87" spans="2:22" hidden="1">
      <c r="C87" s="613" t="s">
        <v>905</v>
      </c>
      <c r="D87" s="613" t="s">
        <v>906</v>
      </c>
      <c r="E87" s="613" t="s">
        <v>907</v>
      </c>
      <c r="F87" s="613" t="s">
        <v>908</v>
      </c>
      <c r="G87" s="613" t="s">
        <v>909</v>
      </c>
      <c r="H87" s="613" t="s">
        <v>910</v>
      </c>
      <c r="I87" s="613" t="s">
        <v>911</v>
      </c>
      <c r="J87" s="613" t="s">
        <v>912</v>
      </c>
      <c r="K87" s="613" t="s">
        <v>1150</v>
      </c>
      <c r="L87" s="613" t="s">
        <v>913</v>
      </c>
      <c r="M87" s="613" t="s">
        <v>826</v>
      </c>
      <c r="N87" s="613" t="s">
        <v>914</v>
      </c>
      <c r="O87" s="613" t="s">
        <v>915</v>
      </c>
      <c r="P87" s="613" t="s">
        <v>916</v>
      </c>
      <c r="Q87" s="613" t="s">
        <v>917</v>
      </c>
      <c r="R87" s="613" t="s">
        <v>950</v>
      </c>
      <c r="S87" s="613" t="s">
        <v>946</v>
      </c>
      <c r="T87" s="613" t="s">
        <v>888</v>
      </c>
    </row>
    <row r="88" spans="2:22" hidden="1">
      <c r="B88" s="613" t="s">
        <v>568</v>
      </c>
      <c r="C88" s="738">
        <f>IF(C79&gt;0,MIN(C49-C57*$V67^$B$78,C$63*C79/C$84),0)</f>
        <v>0</v>
      </c>
      <c r="D88" s="738">
        <f t="shared" ref="D88:S88" si="13">IF(D$84&gt;0,D$63*D79/D$84*$U79,0)</f>
        <v>0</v>
      </c>
      <c r="E88" s="738">
        <f t="shared" si="13"/>
        <v>0</v>
      </c>
      <c r="F88" s="738">
        <f t="shared" si="13"/>
        <v>0</v>
      </c>
      <c r="G88" s="738">
        <f t="shared" si="13"/>
        <v>0</v>
      </c>
      <c r="H88" s="738">
        <f t="shared" si="13"/>
        <v>0</v>
      </c>
      <c r="I88" s="738">
        <f t="shared" si="13"/>
        <v>0</v>
      </c>
      <c r="J88" s="738">
        <f t="shared" si="13"/>
        <v>0</v>
      </c>
      <c r="K88" s="738">
        <f t="shared" si="13"/>
        <v>0</v>
      </c>
      <c r="L88" s="738">
        <f t="shared" si="13"/>
        <v>0</v>
      </c>
      <c r="M88" s="738">
        <f t="shared" si="13"/>
        <v>0</v>
      </c>
      <c r="N88" s="738">
        <f t="shared" si="13"/>
        <v>0</v>
      </c>
      <c r="O88" s="738">
        <f t="shared" si="13"/>
        <v>0</v>
      </c>
      <c r="P88" s="738">
        <f t="shared" si="13"/>
        <v>0</v>
      </c>
      <c r="Q88" s="738">
        <f t="shared" si="13"/>
        <v>0.10881628834726333</v>
      </c>
      <c r="R88" s="738">
        <f t="shared" si="13"/>
        <v>0</v>
      </c>
      <c r="S88" s="738">
        <f t="shared" si="13"/>
        <v>4.206748057020425</v>
      </c>
      <c r="T88" s="738">
        <f t="shared" ref="T88:T93" si="14">SUM(C88:S88)</f>
        <v>4.3155643453676884</v>
      </c>
    </row>
    <row r="89" spans="2:22" hidden="1">
      <c r="B89" s="613" t="s">
        <v>879</v>
      </c>
      <c r="C89" s="738">
        <f>IF(C80&gt;0,MIN(C50-C58*$V68^$B$78,C$63*C80/C$84),0)</f>
        <v>0</v>
      </c>
      <c r="D89" s="738">
        <f t="shared" ref="D89:S89" si="15">IF(D$84&gt;0,D$63*D80/D$84*$U80,0)</f>
        <v>0</v>
      </c>
      <c r="E89" s="738">
        <f t="shared" si="15"/>
        <v>0</v>
      </c>
      <c r="F89" s="738">
        <f t="shared" si="15"/>
        <v>0</v>
      </c>
      <c r="G89" s="738">
        <f t="shared" si="15"/>
        <v>0</v>
      </c>
      <c r="H89" s="738">
        <f t="shared" si="15"/>
        <v>0</v>
      </c>
      <c r="I89" s="738">
        <f t="shared" si="15"/>
        <v>0</v>
      </c>
      <c r="J89" s="738">
        <f t="shared" si="15"/>
        <v>0</v>
      </c>
      <c r="K89" s="738">
        <f t="shared" si="15"/>
        <v>0</v>
      </c>
      <c r="L89" s="738">
        <f t="shared" si="15"/>
        <v>0</v>
      </c>
      <c r="M89" s="738">
        <f t="shared" si="15"/>
        <v>0</v>
      </c>
      <c r="N89" s="738">
        <f t="shared" si="15"/>
        <v>0</v>
      </c>
      <c r="O89" s="738">
        <f t="shared" si="15"/>
        <v>0</v>
      </c>
      <c r="P89" s="738">
        <f t="shared" si="15"/>
        <v>0</v>
      </c>
      <c r="Q89" s="738">
        <f t="shared" si="15"/>
        <v>0.10661247468090244</v>
      </c>
      <c r="R89" s="738">
        <f t="shared" si="15"/>
        <v>0</v>
      </c>
      <c r="S89" s="738">
        <f t="shared" si="15"/>
        <v>9.7659406963409454E-2</v>
      </c>
      <c r="T89" s="738">
        <f t="shared" si="14"/>
        <v>0.2042718816443119</v>
      </c>
    </row>
    <row r="90" spans="2:22" hidden="1">
      <c r="B90" s="613" t="s">
        <v>880</v>
      </c>
      <c r="C90" s="738">
        <f>IF(C81&gt;0,MIN(C51-C59*$V69^$B$78,C$63*C81/C$84),0)</f>
        <v>0</v>
      </c>
      <c r="D90" s="738">
        <f t="shared" ref="D90:S90" si="16">IF(D$84&gt;0,D$63*D81/D$84*$U81,0)</f>
        <v>0</v>
      </c>
      <c r="E90" s="738">
        <f t="shared" si="16"/>
        <v>0</v>
      </c>
      <c r="F90" s="738">
        <f t="shared" si="16"/>
        <v>0</v>
      </c>
      <c r="G90" s="738">
        <f t="shared" si="16"/>
        <v>0</v>
      </c>
      <c r="H90" s="738">
        <f t="shared" si="16"/>
        <v>0</v>
      </c>
      <c r="I90" s="738">
        <f t="shared" si="16"/>
        <v>0</v>
      </c>
      <c r="J90" s="738">
        <f t="shared" si="16"/>
        <v>0</v>
      </c>
      <c r="K90" s="738">
        <f t="shared" si="16"/>
        <v>0</v>
      </c>
      <c r="L90" s="738">
        <f t="shared" si="16"/>
        <v>0</v>
      </c>
      <c r="M90" s="738">
        <f t="shared" si="16"/>
        <v>0</v>
      </c>
      <c r="N90" s="738">
        <f t="shared" si="16"/>
        <v>0</v>
      </c>
      <c r="O90" s="738">
        <f t="shared" si="16"/>
        <v>0</v>
      </c>
      <c r="P90" s="738">
        <f t="shared" si="16"/>
        <v>0</v>
      </c>
      <c r="Q90" s="738">
        <f t="shared" si="16"/>
        <v>1.5931277664700233E-2</v>
      </c>
      <c r="R90" s="738">
        <f t="shared" si="16"/>
        <v>0</v>
      </c>
      <c r="S90" s="738">
        <f t="shared" si="16"/>
        <v>0.2052966897380735</v>
      </c>
      <c r="T90" s="738">
        <f t="shared" si="14"/>
        <v>0.22122796740277373</v>
      </c>
    </row>
    <row r="91" spans="2:22" hidden="1">
      <c r="B91" s="613" t="s">
        <v>787</v>
      </c>
      <c r="C91" s="738">
        <f>IF(C82&gt;0,MIN(C52-C60*$V70^$B$78,C$63*C82/C$84),0)</f>
        <v>0</v>
      </c>
      <c r="D91" s="738">
        <f t="shared" ref="D91:S91" si="17">IF(D$84&gt;0,D$63*D82/D$84*$U82,0)</f>
        <v>0</v>
      </c>
      <c r="E91" s="738">
        <f t="shared" si="17"/>
        <v>0</v>
      </c>
      <c r="F91" s="738">
        <f t="shared" si="17"/>
        <v>0</v>
      </c>
      <c r="G91" s="738">
        <f t="shared" si="17"/>
        <v>0</v>
      </c>
      <c r="H91" s="738">
        <f t="shared" si="17"/>
        <v>0</v>
      </c>
      <c r="I91" s="738">
        <f t="shared" si="17"/>
        <v>0</v>
      </c>
      <c r="J91" s="738">
        <f t="shared" si="17"/>
        <v>0</v>
      </c>
      <c r="K91" s="738">
        <f t="shared" si="17"/>
        <v>0</v>
      </c>
      <c r="L91" s="738">
        <f t="shared" si="17"/>
        <v>0</v>
      </c>
      <c r="M91" s="738">
        <f t="shared" si="17"/>
        <v>0</v>
      </c>
      <c r="N91" s="738">
        <f t="shared" si="17"/>
        <v>0</v>
      </c>
      <c r="O91" s="738">
        <f t="shared" si="17"/>
        <v>0</v>
      </c>
      <c r="P91" s="738">
        <f t="shared" si="17"/>
        <v>0</v>
      </c>
      <c r="Q91" s="738">
        <f t="shared" si="17"/>
        <v>0</v>
      </c>
      <c r="R91" s="738">
        <f t="shared" si="17"/>
        <v>0</v>
      </c>
      <c r="S91" s="738">
        <f t="shared" si="17"/>
        <v>0</v>
      </c>
      <c r="T91" s="738">
        <f t="shared" si="14"/>
        <v>0</v>
      </c>
    </row>
    <row r="92" spans="2:22" hidden="1">
      <c r="B92" s="613" t="s">
        <v>978</v>
      </c>
      <c r="C92" s="738">
        <f>IF(C83&gt;0,MIN(C53-C61*$V71^$B$78,C$63*C83/C$84),0)</f>
        <v>3.6036000000000001</v>
      </c>
      <c r="D92" s="738">
        <f t="shared" ref="D92:S92" si="18">IF(D$84&gt;0,D$63*D83/D$84*$U83,0)</f>
        <v>0</v>
      </c>
      <c r="E92" s="738">
        <f t="shared" si="18"/>
        <v>0</v>
      </c>
      <c r="F92" s="738">
        <f t="shared" si="18"/>
        <v>0</v>
      </c>
      <c r="G92" s="738">
        <f t="shared" si="18"/>
        <v>0</v>
      </c>
      <c r="H92" s="738">
        <f t="shared" si="18"/>
        <v>0</v>
      </c>
      <c r="I92" s="738">
        <f t="shared" si="18"/>
        <v>0</v>
      </c>
      <c r="J92" s="738">
        <f t="shared" si="18"/>
        <v>0</v>
      </c>
      <c r="K92" s="738">
        <f t="shared" si="18"/>
        <v>0</v>
      </c>
      <c r="L92" s="738">
        <f t="shared" si="18"/>
        <v>0</v>
      </c>
      <c r="M92" s="738">
        <f t="shared" si="18"/>
        <v>0</v>
      </c>
      <c r="N92" s="738">
        <f t="shared" si="18"/>
        <v>0</v>
      </c>
      <c r="O92" s="738">
        <f t="shared" si="18"/>
        <v>0</v>
      </c>
      <c r="P92" s="738">
        <f t="shared" si="18"/>
        <v>0</v>
      </c>
      <c r="Q92" s="738">
        <f t="shared" si="18"/>
        <v>0</v>
      </c>
      <c r="R92" s="738">
        <f t="shared" si="18"/>
        <v>0</v>
      </c>
      <c r="S92" s="738">
        <f t="shared" si="18"/>
        <v>0</v>
      </c>
      <c r="T92" s="738">
        <f t="shared" si="14"/>
        <v>3.6036000000000001</v>
      </c>
      <c r="V92" s="681">
        <f ca="1">SUM(S88:S92)*U47+SUM(ISOI!H22,IOOI!H28)</f>
        <v>30.092285266327437</v>
      </c>
    </row>
    <row r="93" spans="2:22" hidden="1">
      <c r="B93" s="613" t="s">
        <v>286</v>
      </c>
      <c r="C93" s="738">
        <f t="shared" ref="C93:S93" si="19">C63-SUM(C88:C92)</f>
        <v>0</v>
      </c>
      <c r="D93" s="738">
        <f t="shared" si="19"/>
        <v>0.29699999999999999</v>
      </c>
      <c r="E93" s="738">
        <f t="shared" si="19"/>
        <v>2.024</v>
      </c>
      <c r="F93" s="738">
        <f t="shared" si="19"/>
        <v>0</v>
      </c>
      <c r="G93" s="738">
        <f t="shared" si="19"/>
        <v>0</v>
      </c>
      <c r="H93" s="738">
        <f t="shared" si="19"/>
        <v>0</v>
      </c>
      <c r="I93" s="738">
        <f t="shared" si="19"/>
        <v>0</v>
      </c>
      <c r="J93" s="738">
        <f t="shared" si="19"/>
        <v>0</v>
      </c>
      <c r="K93" s="738">
        <f t="shared" si="19"/>
        <v>9.92E-3</v>
      </c>
      <c r="L93" s="738">
        <f t="shared" si="19"/>
        <v>0.16</v>
      </c>
      <c r="M93" s="738">
        <f t="shared" si="19"/>
        <v>6.6882000000000001</v>
      </c>
      <c r="N93" s="738">
        <f t="shared" si="19"/>
        <v>0</v>
      </c>
      <c r="O93" s="738">
        <f t="shared" si="19"/>
        <v>0</v>
      </c>
      <c r="P93" s="738">
        <f t="shared" si="19"/>
        <v>0</v>
      </c>
      <c r="Q93" s="738">
        <f t="shared" si="19"/>
        <v>6.3995930713400817E-4</v>
      </c>
      <c r="R93" s="738">
        <f t="shared" si="19"/>
        <v>0</v>
      </c>
      <c r="S93" s="738">
        <f t="shared" si="19"/>
        <v>8.2467665234906562E-3</v>
      </c>
      <c r="T93" s="738">
        <f t="shared" si="14"/>
        <v>9.1880067258306255</v>
      </c>
    </row>
    <row r="94" spans="2:22" hidden="1">
      <c r="B94" s="613" t="s">
        <v>199</v>
      </c>
      <c r="C94" s="657">
        <f t="shared" ref="C94:T94" si="20">IF(C63&gt;0,C93/C63,1)</f>
        <v>0</v>
      </c>
      <c r="D94" s="655">
        <f t="shared" si="20"/>
        <v>1</v>
      </c>
      <c r="E94" s="655">
        <f t="shared" si="20"/>
        <v>1</v>
      </c>
      <c r="F94" s="655">
        <f t="shared" si="20"/>
        <v>1</v>
      </c>
      <c r="G94" s="655">
        <f t="shared" si="20"/>
        <v>1</v>
      </c>
      <c r="H94" s="655">
        <f t="shared" si="20"/>
        <v>1</v>
      </c>
      <c r="I94" s="655">
        <f t="shared" si="20"/>
        <v>1</v>
      </c>
      <c r="J94" s="655">
        <f t="shared" si="20"/>
        <v>1</v>
      </c>
      <c r="K94" s="655">
        <f t="shared" si="20"/>
        <v>1</v>
      </c>
      <c r="L94" s="655">
        <f t="shared" si="20"/>
        <v>1</v>
      </c>
      <c r="M94" s="655">
        <f t="shared" si="20"/>
        <v>1</v>
      </c>
      <c r="N94" s="655">
        <f t="shared" si="20"/>
        <v>1</v>
      </c>
      <c r="O94" s="655">
        <f t="shared" si="20"/>
        <v>1</v>
      </c>
      <c r="P94" s="655">
        <f t="shared" si="20"/>
        <v>1</v>
      </c>
      <c r="Q94" s="655">
        <f t="shared" si="20"/>
        <v>2.7584452893707249E-3</v>
      </c>
      <c r="R94" s="655">
        <f t="shared" si="20"/>
        <v>1</v>
      </c>
      <c r="S94" s="655">
        <f t="shared" si="20"/>
        <v>1.825333357769792E-3</v>
      </c>
      <c r="T94" s="658">
        <f t="shared" si="20"/>
        <v>0.52405060059736885</v>
      </c>
    </row>
    <row r="95" spans="2:22" hidden="1">
      <c r="B95" s="613" t="s">
        <v>200</v>
      </c>
      <c r="C95" s="657">
        <f ca="1">IF(C62=0,1,1-(1-C94)*AuxData!B35/C62)</f>
        <v>0.88048381045157409</v>
      </c>
      <c r="D95" s="655">
        <f ca="1">IF(D62=0,1,1-(1-D94)*AuxData!C35/D62)</f>
        <v>1</v>
      </c>
      <c r="E95" s="655">
        <f ca="1">IF(E62=0,1,1-(1-E94)*AuxData!D35/E62)</f>
        <v>1</v>
      </c>
      <c r="F95" s="655">
        <f ca="1">IF(F62=0,1,1-(1-F94)*AuxData!E35/F62)</f>
        <v>1</v>
      </c>
      <c r="G95" s="655">
        <f ca="1">IF(G62=0,1,1-(1-G94)*AuxData!F35/G62)</f>
        <v>1</v>
      </c>
      <c r="H95" s="655">
        <f ca="1">IF(H62=0,1,1-(1-H94)*AuxData!G35/H62)</f>
        <v>1</v>
      </c>
      <c r="I95" s="655">
        <f ca="1">IF(I62=0,1,1-(1-I94)*AuxData!H35/I62)</f>
        <v>1</v>
      </c>
      <c r="J95" s="655">
        <f ca="1">IF(J62=0,1,1-(1-J94)*AuxData!I35/J62)</f>
        <v>1</v>
      </c>
      <c r="K95" s="655">
        <f ca="1">IF(K62=0,1,1-(1-K94)*AuxData!J35/K62)</f>
        <v>1</v>
      </c>
      <c r="L95" s="655">
        <f ca="1">IF(L62=0,1,1-(1-L94)*AuxData!K35/L62)</f>
        <v>1</v>
      </c>
      <c r="M95" s="655">
        <f ca="1">IF(M62=0,1,1-(1-M94)*AuxData!L35/M62)</f>
        <v>1</v>
      </c>
      <c r="N95" s="655">
        <f ca="1">IF(N62=0,1,1-(1-N94)*AuxData!M35/N62)</f>
        <v>1</v>
      </c>
      <c r="O95" s="655">
        <f ca="1">IF(O62=0,1,1-(1-O94)*AuxData!N35/O62)</f>
        <v>1</v>
      </c>
      <c r="P95" s="655">
        <f ca="1">IF(P62=0,1,1-(1-P94)*AuxData!O35/P62)</f>
        <v>1</v>
      </c>
      <c r="Q95" s="655">
        <f ca="1">IF(Q62=0,1,1-(1-Q94)*AuxData!P35/Q62)</f>
        <v>0.97605981567922218</v>
      </c>
      <c r="R95" s="655">
        <f ca="1">IF(R62=0,1,1-(1-R94)*AuxData!Q35/R62)</f>
        <v>1</v>
      </c>
      <c r="S95" s="655">
        <f ca="1">IF(S62=0,1,1-(1-S94)*MAX(0,S62+AuxData!R35-AuxData!R33)/S62)</f>
        <v>0.83929331845786792</v>
      </c>
      <c r="T95" s="658">
        <f ca="1">IF(T62=0,1,1-(1-T94)*AuxData!S35/T62)</f>
        <v>0.89642647254301389</v>
      </c>
    </row>
    <row r="96" spans="2:22" hidden="1">
      <c r="R96" s="659" t="s">
        <v>1011</v>
      </c>
      <c r="S96" s="746">
        <f ca="1">AuxData!$R$36*(1-S94)+AuxData!$T$69*(1-S95)*0</f>
        <v>0</v>
      </c>
    </row>
    <row r="97" spans="2:21" hidden="1">
      <c r="B97" s="612" t="s">
        <v>991</v>
      </c>
    </row>
    <row r="98" spans="2:21" hidden="1">
      <c r="C98" s="613" t="s">
        <v>905</v>
      </c>
      <c r="D98" s="613" t="s">
        <v>906</v>
      </c>
      <c r="E98" s="613" t="s">
        <v>907</v>
      </c>
      <c r="F98" s="613" t="s">
        <v>908</v>
      </c>
      <c r="G98" s="613" t="s">
        <v>909</v>
      </c>
      <c r="H98" s="613" t="s">
        <v>910</v>
      </c>
      <c r="I98" s="613" t="s">
        <v>911</v>
      </c>
      <c r="J98" s="613" t="s">
        <v>912</v>
      </c>
      <c r="K98" s="613" t="s">
        <v>1150</v>
      </c>
      <c r="L98" s="613" t="s">
        <v>913</v>
      </c>
      <c r="M98" s="613" t="s">
        <v>826</v>
      </c>
      <c r="N98" s="613" t="s">
        <v>914</v>
      </c>
      <c r="O98" s="613" t="s">
        <v>915</v>
      </c>
      <c r="P98" s="613" t="s">
        <v>916</v>
      </c>
      <c r="Q98" s="613" t="s">
        <v>917</v>
      </c>
      <c r="R98" s="613" t="s">
        <v>950</v>
      </c>
      <c r="S98" s="613" t="s">
        <v>946</v>
      </c>
      <c r="T98" s="613" t="s">
        <v>888</v>
      </c>
      <c r="U98" s="613" t="s">
        <v>378</v>
      </c>
    </row>
    <row r="99" spans="2:21" hidden="1">
      <c r="B99" s="613" t="s">
        <v>568</v>
      </c>
      <c r="C99" s="738">
        <f t="shared" ref="C99:S99" si="21">C57+C88</f>
        <v>15.175888659665604</v>
      </c>
      <c r="D99" s="738">
        <f t="shared" si="21"/>
        <v>2.3161990000000001</v>
      </c>
      <c r="E99" s="738">
        <f t="shared" si="21"/>
        <v>4.6389999</v>
      </c>
      <c r="F99" s="738">
        <f t="shared" si="21"/>
        <v>0</v>
      </c>
      <c r="G99" s="738">
        <f t="shared" si="21"/>
        <v>1.0897709</v>
      </c>
      <c r="H99" s="738">
        <f t="shared" si="21"/>
        <v>3.8089998999999994</v>
      </c>
      <c r="I99" s="738">
        <f t="shared" si="21"/>
        <v>2.1518980000000001</v>
      </c>
      <c r="J99" s="738">
        <f t="shared" si="21"/>
        <v>1.6240011000000001</v>
      </c>
      <c r="K99" s="738">
        <f t="shared" si="21"/>
        <v>0</v>
      </c>
      <c r="L99" s="738">
        <f t="shared" si="21"/>
        <v>4.00007E-2</v>
      </c>
      <c r="M99" s="738">
        <f t="shared" si="21"/>
        <v>0.12780209999999997</v>
      </c>
      <c r="N99" s="738">
        <f t="shared" si="21"/>
        <v>0</v>
      </c>
      <c r="O99" s="738">
        <f t="shared" si="21"/>
        <v>0</v>
      </c>
      <c r="P99" s="738">
        <f t="shared" si="21"/>
        <v>0</v>
      </c>
      <c r="Q99" s="738">
        <f t="shared" si="21"/>
        <v>0.11081758834726332</v>
      </c>
      <c r="R99" s="738">
        <f t="shared" si="21"/>
        <v>0</v>
      </c>
      <c r="S99" s="738">
        <f t="shared" si="21"/>
        <v>6.044919794423544</v>
      </c>
      <c r="T99" s="738">
        <f>SUM(C99:S99)</f>
        <v>37.129297642436413</v>
      </c>
      <c r="U99" s="738">
        <f>SUM(D99:S99)</f>
        <v>21.95340898277081</v>
      </c>
    </row>
    <row r="100" spans="2:21" hidden="1">
      <c r="B100" s="613" t="s">
        <v>879</v>
      </c>
      <c r="C100" s="738">
        <f t="shared" ref="C100:S100" si="22">C58+C89</f>
        <v>2.8684604888017389</v>
      </c>
      <c r="D100" s="738">
        <f t="shared" si="22"/>
        <v>1.0319985999999999</v>
      </c>
      <c r="E100" s="738">
        <f t="shared" si="22"/>
        <v>0.7599979</v>
      </c>
      <c r="F100" s="738">
        <f t="shared" si="22"/>
        <v>0</v>
      </c>
      <c r="G100" s="738">
        <f t="shared" si="22"/>
        <v>1.7355369</v>
      </c>
      <c r="H100" s="738">
        <f t="shared" si="22"/>
        <v>0.1757995</v>
      </c>
      <c r="I100" s="738">
        <f t="shared" si="22"/>
        <v>0.65520069999999997</v>
      </c>
      <c r="J100" s="738">
        <f t="shared" si="22"/>
        <v>0.68300109999999992</v>
      </c>
      <c r="K100" s="738">
        <f t="shared" si="22"/>
        <v>9.9184999999999985E-3</v>
      </c>
      <c r="L100" s="738">
        <f t="shared" si="22"/>
        <v>0.83700189999999997</v>
      </c>
      <c r="M100" s="738">
        <f t="shared" si="22"/>
        <v>0.33080130000000002</v>
      </c>
      <c r="N100" s="738">
        <f t="shared" si="22"/>
        <v>0</v>
      </c>
      <c r="O100" s="738">
        <f t="shared" si="22"/>
        <v>0</v>
      </c>
      <c r="P100" s="738">
        <f t="shared" si="22"/>
        <v>1.7100008999999998</v>
      </c>
      <c r="Q100" s="738">
        <f t="shared" si="22"/>
        <v>1.9696106746809023</v>
      </c>
      <c r="R100" s="738">
        <f t="shared" si="22"/>
        <v>0</v>
      </c>
      <c r="S100" s="738">
        <f t="shared" si="22"/>
        <v>1.118544892333867</v>
      </c>
      <c r="T100" s="738">
        <f>SUM(C100:S100)</f>
        <v>13.885873355816507</v>
      </c>
      <c r="U100" s="738">
        <f>SUM(D100:S100)</f>
        <v>11.01741286701477</v>
      </c>
    </row>
    <row r="101" spans="2:21" hidden="1">
      <c r="B101" s="613" t="s">
        <v>880</v>
      </c>
      <c r="C101" s="738">
        <f t="shared" ref="C101:S101" si="23">C59+C90</f>
        <v>6.7986879596656005</v>
      </c>
      <c r="D101" s="738">
        <f t="shared" si="23"/>
        <v>4.6800100000000004E-2</v>
      </c>
      <c r="E101" s="738">
        <f t="shared" si="23"/>
        <v>0.73300180000000004</v>
      </c>
      <c r="F101" s="738">
        <f t="shared" si="23"/>
        <v>0</v>
      </c>
      <c r="G101" s="738">
        <f t="shared" si="23"/>
        <v>2.4811E-2</v>
      </c>
      <c r="H101" s="738">
        <f t="shared" si="23"/>
        <v>0.23439800000000002</v>
      </c>
      <c r="I101" s="738">
        <f t="shared" si="23"/>
        <v>0</v>
      </c>
      <c r="J101" s="738">
        <f t="shared" si="23"/>
        <v>0</v>
      </c>
      <c r="K101" s="738">
        <f t="shared" si="23"/>
        <v>9.9184999999999985E-3</v>
      </c>
      <c r="L101" s="738">
        <f t="shared" si="23"/>
        <v>0.31900130000000004</v>
      </c>
      <c r="M101" s="738">
        <f t="shared" si="23"/>
        <v>0</v>
      </c>
      <c r="N101" s="738">
        <f t="shared" si="23"/>
        <v>0</v>
      </c>
      <c r="O101" s="738">
        <f t="shared" si="23"/>
        <v>0</v>
      </c>
      <c r="P101" s="738">
        <f t="shared" si="23"/>
        <v>0</v>
      </c>
      <c r="Q101" s="738">
        <f t="shared" si="23"/>
        <v>1.5931277664700233E-2</v>
      </c>
      <c r="R101" s="738">
        <f t="shared" si="23"/>
        <v>0</v>
      </c>
      <c r="S101" s="738">
        <f t="shared" si="23"/>
        <v>3.2619253377935258</v>
      </c>
      <c r="T101" s="738">
        <f>SUM(C101:S101)</f>
        <v>11.444475275123827</v>
      </c>
      <c r="U101" s="738">
        <f>SUM(D101:S101)</f>
        <v>4.6457873154582261</v>
      </c>
    </row>
    <row r="102" spans="2:21" hidden="1">
      <c r="B102" s="613" t="s">
        <v>787</v>
      </c>
      <c r="C102" s="738">
        <f t="shared" ref="C102:S102" si="24">C60+C91</f>
        <v>16.341565534315333</v>
      </c>
      <c r="D102" s="738">
        <f t="shared" si="24"/>
        <v>1.5939955229433123</v>
      </c>
      <c r="E102" s="738">
        <f t="shared" si="24"/>
        <v>6.3071769624043093</v>
      </c>
      <c r="F102" s="738">
        <f t="shared" si="24"/>
        <v>0</v>
      </c>
      <c r="G102" s="738">
        <f t="shared" si="24"/>
        <v>0</v>
      </c>
      <c r="H102" s="738">
        <f t="shared" si="24"/>
        <v>0</v>
      </c>
      <c r="I102" s="738">
        <f t="shared" si="24"/>
        <v>0</v>
      </c>
      <c r="J102" s="738">
        <f t="shared" si="24"/>
        <v>0</v>
      </c>
      <c r="K102" s="738">
        <f t="shared" si="24"/>
        <v>0</v>
      </c>
      <c r="L102" s="738">
        <f t="shared" si="24"/>
        <v>4.010491337286699</v>
      </c>
      <c r="M102" s="738">
        <f t="shared" si="24"/>
        <v>0.2099993</v>
      </c>
      <c r="N102" s="738">
        <f t="shared" si="24"/>
        <v>4.7872188648052316E-2</v>
      </c>
      <c r="O102" s="738">
        <f t="shared" si="24"/>
        <v>3.3520203887176212</v>
      </c>
      <c r="P102" s="738">
        <f t="shared" si="24"/>
        <v>0</v>
      </c>
      <c r="Q102" s="738">
        <f t="shared" si="24"/>
        <v>0.79099959999999991</v>
      </c>
      <c r="R102" s="738">
        <f t="shared" si="24"/>
        <v>0</v>
      </c>
      <c r="S102" s="738">
        <f t="shared" si="24"/>
        <v>14.48789852946604</v>
      </c>
      <c r="T102" s="738">
        <f>SUM(C102:S102)</f>
        <v>47.142019363781372</v>
      </c>
      <c r="U102" s="738">
        <f>SUM(D102:S102)</f>
        <v>30.800453829466033</v>
      </c>
    </row>
    <row r="103" spans="2:21" hidden="1">
      <c r="B103" s="613" t="s">
        <v>978</v>
      </c>
      <c r="C103" s="738">
        <f t="shared" ref="C103:P103" si="25">C61+C92</f>
        <v>68.217276219702754</v>
      </c>
      <c r="D103" s="738">
        <f t="shared" si="25"/>
        <v>17.570998599999999</v>
      </c>
      <c r="E103" s="738">
        <f t="shared" si="25"/>
        <v>1.6550008</v>
      </c>
      <c r="F103" s="738">
        <f t="shared" si="25"/>
        <v>0</v>
      </c>
      <c r="G103" s="738">
        <f t="shared" si="25"/>
        <v>1.9344153000000002</v>
      </c>
      <c r="H103" s="738">
        <f t="shared" si="25"/>
        <v>0</v>
      </c>
      <c r="I103" s="738">
        <f t="shared" si="25"/>
        <v>0</v>
      </c>
      <c r="J103" s="738">
        <f t="shared" si="25"/>
        <v>0</v>
      </c>
      <c r="K103" s="738">
        <f t="shared" si="25"/>
        <v>6.148400800000001</v>
      </c>
      <c r="L103" s="738">
        <f t="shared" si="25"/>
        <v>4.0790030999999995</v>
      </c>
      <c r="M103" s="738">
        <f t="shared" si="25"/>
        <v>0.4259985</v>
      </c>
      <c r="N103" s="738">
        <f t="shared" si="25"/>
        <v>0</v>
      </c>
      <c r="O103" s="738">
        <f t="shared" si="25"/>
        <v>0</v>
      </c>
      <c r="P103" s="738">
        <f t="shared" si="25"/>
        <v>0</v>
      </c>
      <c r="Q103" s="747">
        <f ca="1">Q61+Q92+MAX(0,MIN(U53-U61-SUM(D92:S92),SUMPRODUCT(Driver2!H79:H80,Driver2!$P$122:$P$123)))</f>
        <v>151.42578990000001</v>
      </c>
      <c r="R103" s="738">
        <f>R61+R92</f>
        <v>0</v>
      </c>
      <c r="S103" s="738">
        <f>S61+S92</f>
        <v>9.8385075318928035</v>
      </c>
      <c r="T103" s="738">
        <f>SUM(C103:S103)</f>
        <v>261.29539075159556</v>
      </c>
      <c r="U103" s="738">
        <f>SUM(D103:S103)</f>
        <v>193.07811453189282</v>
      </c>
    </row>
    <row r="104" spans="2:21" hidden="1">
      <c r="M104" s="748">
        <f ca="1">MAX(0.01,1-(CHP!I108*CHP!M108+M62*M95+AuxData!$L36*M94)/AuxData!$BL$58)</f>
        <v>5.3364876567518982E-2</v>
      </c>
      <c r="S104" s="738"/>
      <c r="T104" s="749">
        <f>SUM(T99:T103)</f>
        <v>370.8970563887537</v>
      </c>
    </row>
    <row r="105" spans="2:21" hidden="1">
      <c r="M105" s="748">
        <f ca="1">MAX(0.01,(AuxData!BJ58+SUM(M99:M103)-CHP!I108*CHP!M108)/AuxData!$BL$58)</f>
        <v>5.3364876567518794E-2</v>
      </c>
    </row>
    <row r="106" spans="2:21" hidden="1">
      <c r="B106" s="612" t="s">
        <v>992</v>
      </c>
    </row>
    <row r="107" spans="2:21" hidden="1">
      <c r="C107" s="613" t="s">
        <v>905</v>
      </c>
      <c r="D107" s="613" t="s">
        <v>906</v>
      </c>
      <c r="E107" s="613" t="s">
        <v>907</v>
      </c>
      <c r="F107" s="613" t="s">
        <v>908</v>
      </c>
      <c r="G107" s="613" t="s">
        <v>909</v>
      </c>
      <c r="H107" s="613" t="s">
        <v>910</v>
      </c>
      <c r="I107" s="613" t="s">
        <v>911</v>
      </c>
      <c r="J107" s="613" t="s">
        <v>912</v>
      </c>
      <c r="K107" s="613" t="s">
        <v>1150</v>
      </c>
      <c r="L107" s="613" t="s">
        <v>913</v>
      </c>
      <c r="M107" s="613" t="s">
        <v>826</v>
      </c>
      <c r="N107" s="613" t="s">
        <v>914</v>
      </c>
      <c r="O107" s="613" t="s">
        <v>915</v>
      </c>
      <c r="P107" s="613" t="s">
        <v>916</v>
      </c>
      <c r="Q107" s="613" t="s">
        <v>917</v>
      </c>
      <c r="R107" s="613" t="s">
        <v>950</v>
      </c>
      <c r="S107" s="613" t="s">
        <v>946</v>
      </c>
      <c r="T107" s="613" t="s">
        <v>888</v>
      </c>
      <c r="U107" s="613" t="s">
        <v>378</v>
      </c>
    </row>
    <row r="108" spans="2:21" hidden="1">
      <c r="B108" s="613" t="s">
        <v>568</v>
      </c>
      <c r="C108" s="734">
        <f t="shared" ref="C108:U108" si="26">IF(C99&lt;&gt;0,C49/C99,1)</f>
        <v>0.98784927853642446</v>
      </c>
      <c r="D108" s="734">
        <f t="shared" si="26"/>
        <v>1.3168267541871013</v>
      </c>
      <c r="E108" s="734">
        <f t="shared" si="26"/>
        <v>0.1142456808032718</v>
      </c>
      <c r="F108" s="734">
        <f t="shared" si="26"/>
        <v>1</v>
      </c>
      <c r="G108" s="734">
        <f t="shared" si="26"/>
        <v>4.4513183613474308</v>
      </c>
      <c r="H108" s="734">
        <f t="shared" si="26"/>
        <v>2.6581125417227516</v>
      </c>
      <c r="I108" s="734">
        <f t="shared" si="26"/>
        <v>0.58780704811353046</v>
      </c>
      <c r="J108" s="734">
        <f t="shared" si="26"/>
        <v>3.6978743598471238</v>
      </c>
      <c r="K108" s="734">
        <f t="shared" si="26"/>
        <v>1</v>
      </c>
      <c r="L108" s="734">
        <f t="shared" si="26"/>
        <v>31.621966896114568</v>
      </c>
      <c r="M108" s="734">
        <f t="shared" si="26"/>
        <v>6.8256540143767106</v>
      </c>
      <c r="N108" s="734">
        <f t="shared" si="26"/>
        <v>1</v>
      </c>
      <c r="O108" s="734">
        <f t="shared" si="26"/>
        <v>1</v>
      </c>
      <c r="P108" s="734">
        <f t="shared" si="26"/>
        <v>1</v>
      </c>
      <c r="Q108" s="734">
        <f t="shared" si="26"/>
        <v>0.5712999359248776</v>
      </c>
      <c r="R108" s="734">
        <f t="shared" si="26"/>
        <v>1</v>
      </c>
      <c r="S108" s="734">
        <f t="shared" si="26"/>
        <v>0.10473270659528804</v>
      </c>
      <c r="T108" s="734">
        <f t="shared" si="26"/>
        <v>1.2069406858221861</v>
      </c>
      <c r="U108" s="734">
        <f t="shared" si="26"/>
        <v>1.3583935561198053</v>
      </c>
    </row>
    <row r="109" spans="2:21" hidden="1">
      <c r="B109" s="613" t="s">
        <v>879</v>
      </c>
      <c r="C109" s="734">
        <f t="shared" ref="C109:U109" si="27">IF(C100&lt;&gt;0,C50/C100,1)</f>
        <v>1</v>
      </c>
      <c r="D109" s="734">
        <f t="shared" si="27"/>
        <v>3.880543984527471</v>
      </c>
      <c r="E109" s="734">
        <f t="shared" si="27"/>
        <v>0.13261056164054638</v>
      </c>
      <c r="F109" s="734">
        <f t="shared" si="27"/>
        <v>1</v>
      </c>
      <c r="G109" s="734">
        <f t="shared" si="27"/>
        <v>1.3831367737577189</v>
      </c>
      <c r="H109" s="734">
        <f t="shared" si="27"/>
        <v>0.34106645335683761</v>
      </c>
      <c r="I109" s="734">
        <f t="shared" si="27"/>
        <v>0.18302578726459046</v>
      </c>
      <c r="J109" s="734">
        <f t="shared" si="27"/>
        <v>8.7788016691196222E-2</v>
      </c>
      <c r="K109" s="734">
        <f t="shared" si="27"/>
        <v>6.0451995732122183</v>
      </c>
      <c r="L109" s="734">
        <f t="shared" si="27"/>
        <v>2.5653834619883091</v>
      </c>
      <c r="M109" s="734">
        <f t="shared" si="27"/>
        <v>0.24296014001689409</v>
      </c>
      <c r="N109" s="734">
        <f t="shared" si="27"/>
        <v>1</v>
      </c>
      <c r="O109" s="734">
        <f t="shared" si="27"/>
        <v>1</v>
      </c>
      <c r="P109" s="734">
        <f t="shared" si="27"/>
        <v>0.64172756053717939</v>
      </c>
      <c r="Q109" s="734">
        <f t="shared" si="27"/>
        <v>0.25695246189416565</v>
      </c>
      <c r="R109" s="734">
        <f t="shared" si="27"/>
        <v>1</v>
      </c>
      <c r="S109" s="734">
        <f t="shared" si="27"/>
        <v>0.10720948685715963</v>
      </c>
      <c r="T109" s="739">
        <f t="shared" si="27"/>
        <v>0.98528923054315853</v>
      </c>
      <c r="U109" s="734">
        <f t="shared" si="27"/>
        <v>0.98145917883717648</v>
      </c>
    </row>
    <row r="110" spans="2:21" hidden="1">
      <c r="B110" s="613" t="s">
        <v>880</v>
      </c>
      <c r="C110" s="734">
        <f t="shared" ref="C110:U110" si="28">IF(C101&lt;&gt;0,C51/C101,1)</f>
        <v>1</v>
      </c>
      <c r="D110" s="734">
        <f t="shared" si="28"/>
        <v>28.944669372172346</v>
      </c>
      <c r="E110" s="734">
        <f t="shared" si="28"/>
        <v>0.27987046120868653</v>
      </c>
      <c r="F110" s="734">
        <f t="shared" si="28"/>
        <v>1</v>
      </c>
      <c r="G110" s="734">
        <f t="shared" si="28"/>
        <v>15.490434730048891</v>
      </c>
      <c r="H110" s="734">
        <f t="shared" si="28"/>
        <v>1.6787598147218596</v>
      </c>
      <c r="I110" s="734">
        <f t="shared" si="28"/>
        <v>1</v>
      </c>
      <c r="J110" s="734">
        <f t="shared" si="28"/>
        <v>1</v>
      </c>
      <c r="K110" s="734">
        <f t="shared" si="28"/>
        <v>2.6437039723952811</v>
      </c>
      <c r="L110" s="734">
        <f t="shared" si="28"/>
        <v>3.4186359042798129</v>
      </c>
      <c r="M110" s="734">
        <f t="shared" si="28"/>
        <v>1</v>
      </c>
      <c r="N110" s="734">
        <f t="shared" si="28"/>
        <v>1</v>
      </c>
      <c r="O110" s="734">
        <f t="shared" si="28"/>
        <v>1</v>
      </c>
      <c r="P110" s="734">
        <f t="shared" si="28"/>
        <v>1</v>
      </c>
      <c r="Q110" s="734">
        <f t="shared" si="28"/>
        <v>4.9377542219924608</v>
      </c>
      <c r="R110" s="734">
        <f t="shared" si="28"/>
        <v>1</v>
      </c>
      <c r="S110" s="734">
        <f t="shared" si="28"/>
        <v>8.0386811881904496E-2</v>
      </c>
      <c r="T110" s="734">
        <f t="shared" si="28"/>
        <v>0.98066945298194319</v>
      </c>
      <c r="U110" s="734">
        <f t="shared" si="28"/>
        <v>0.95238095238095233</v>
      </c>
    </row>
    <row r="111" spans="2:21" hidden="1">
      <c r="B111" s="613" t="s">
        <v>787</v>
      </c>
      <c r="C111" s="734">
        <f t="shared" ref="C111:U111" si="29">IF(C102&lt;&gt;0,C52/C102,1)</f>
        <v>1</v>
      </c>
      <c r="D111" s="734">
        <f t="shared" si="29"/>
        <v>7.5477484325811002</v>
      </c>
      <c r="E111" s="734">
        <f t="shared" si="29"/>
        <v>0.14174602460264663</v>
      </c>
      <c r="F111" s="734">
        <f t="shared" si="29"/>
        <v>1</v>
      </c>
      <c r="G111" s="734">
        <f t="shared" si="29"/>
        <v>1</v>
      </c>
      <c r="H111" s="734">
        <f t="shared" si="29"/>
        <v>1</v>
      </c>
      <c r="I111" s="734">
        <f t="shared" si="29"/>
        <v>1</v>
      </c>
      <c r="J111" s="734">
        <f t="shared" si="29"/>
        <v>1</v>
      </c>
      <c r="K111" s="734">
        <f t="shared" si="29"/>
        <v>1</v>
      </c>
      <c r="L111" s="734">
        <f t="shared" si="29"/>
        <v>0.93575594619585456</v>
      </c>
      <c r="M111" s="734">
        <f t="shared" si="29"/>
        <v>6.7334460224096775</v>
      </c>
      <c r="N111" s="734">
        <f t="shared" si="29"/>
        <v>27.656404232169955</v>
      </c>
      <c r="O111" s="734">
        <f t="shared" si="29"/>
        <v>0.45931849882433851</v>
      </c>
      <c r="P111" s="734">
        <f t="shared" si="29"/>
        <v>1</v>
      </c>
      <c r="Q111" s="734">
        <f t="shared" si="29"/>
        <v>0.26671071802342655</v>
      </c>
      <c r="R111" s="734">
        <f t="shared" si="29"/>
        <v>1</v>
      </c>
      <c r="S111" s="734">
        <f t="shared" si="29"/>
        <v>0.29123350200606152</v>
      </c>
      <c r="T111" s="734">
        <f t="shared" si="29"/>
        <v>1</v>
      </c>
      <c r="U111" s="734">
        <f t="shared" si="29"/>
        <v>1.0000000000000002</v>
      </c>
    </row>
    <row r="112" spans="2:21" hidden="1">
      <c r="B112" s="613" t="s">
        <v>978</v>
      </c>
      <c r="C112" s="734">
        <f t="shared" ref="C112:U112" si="30">IF(C103&lt;&gt;0,C53/C103,1)</f>
        <v>1.0630045980018585</v>
      </c>
      <c r="D112" s="734">
        <f t="shared" si="30"/>
        <v>2.2607260579343351</v>
      </c>
      <c r="E112" s="734">
        <f t="shared" si="30"/>
        <v>1.8177243651999715</v>
      </c>
      <c r="F112" s="734">
        <f t="shared" si="30"/>
        <v>1</v>
      </c>
      <c r="G112" s="734">
        <f t="shared" si="30"/>
        <v>5.3511783605173155</v>
      </c>
      <c r="H112" s="734">
        <f t="shared" si="30"/>
        <v>1</v>
      </c>
      <c r="I112" s="734">
        <f t="shared" si="30"/>
        <v>1</v>
      </c>
      <c r="J112" s="734">
        <f t="shared" si="30"/>
        <v>1</v>
      </c>
      <c r="K112" s="734">
        <f t="shared" si="30"/>
        <v>0.80700945913550926</v>
      </c>
      <c r="L112" s="734">
        <f t="shared" si="30"/>
        <v>5.1034658117479506</v>
      </c>
      <c r="M112" s="734">
        <f t="shared" si="30"/>
        <v>8.3499897116666943</v>
      </c>
      <c r="N112" s="734">
        <f t="shared" si="30"/>
        <v>1</v>
      </c>
      <c r="O112" s="734">
        <f t="shared" si="30"/>
        <v>1</v>
      </c>
      <c r="P112" s="734">
        <f t="shared" si="30"/>
        <v>1</v>
      </c>
      <c r="Q112" s="734">
        <f t="shared" si="30"/>
        <v>0.50744167978289989</v>
      </c>
      <c r="R112" s="734">
        <f t="shared" si="30"/>
        <v>1</v>
      </c>
      <c r="S112" s="734">
        <f t="shared" si="30"/>
        <v>2.0173049979672038</v>
      </c>
      <c r="T112" s="734">
        <f t="shared" si="30"/>
        <v>0.98956110296114386</v>
      </c>
      <c r="U112" s="734">
        <f t="shared" si="30"/>
        <v>0.96361245932600414</v>
      </c>
    </row>
    <row r="113" spans="1:20" hidden="1"/>
    <row r="114" spans="1:20" hidden="1">
      <c r="T114" s="750"/>
    </row>
    <row r="115" spans="1:20" ht="18" hidden="1">
      <c r="B115" s="728" t="s">
        <v>380</v>
      </c>
      <c r="C115" s="729"/>
      <c r="D115" s="708"/>
      <c r="E115" s="729"/>
      <c r="F115" s="708"/>
      <c r="G115" s="708"/>
    </row>
    <row r="116" spans="1:20" hidden="1">
      <c r="B116" s="613" t="s">
        <v>255</v>
      </c>
    </row>
    <row r="117" spans="1:20" hidden="1"/>
    <row r="118" spans="1:20" hidden="1">
      <c r="A118" s="613">
        <f>MATCH(LEFT(B118,3),B$108:B$112,0)</f>
        <v>1</v>
      </c>
      <c r="B118" s="613" t="s">
        <v>961</v>
      </c>
      <c r="C118" s="734">
        <f t="shared" ref="C118:C152" si="31">MAX(0,IF(INDEX(C$49:C$53,$A118)&gt;0,C9*INDEX(C$99:C$103,$A118)/INDEX(C$49:C$53,$A118),0))</f>
        <v>0</v>
      </c>
      <c r="D118" s="734">
        <f t="shared" ref="D118:S118" si="32">IF(INDEX(D$49:D$53,$A118)&gt;0,D9*INDEX(D$99:D$103,$A118)/INDEX(D$49:D$53,$A118),0)</f>
        <v>7.5940133872607743E-2</v>
      </c>
      <c r="E118" s="734">
        <f t="shared" si="32"/>
        <v>0</v>
      </c>
      <c r="F118" s="734">
        <f t="shared" si="32"/>
        <v>0</v>
      </c>
      <c r="G118" s="734">
        <f t="shared" si="32"/>
        <v>1.1232627267051916E-2</v>
      </c>
      <c r="H118" s="734">
        <f t="shared" si="32"/>
        <v>0.13167237824067496</v>
      </c>
      <c r="I118" s="734">
        <f t="shared" si="32"/>
        <v>8.5061926631309945E-2</v>
      </c>
      <c r="J118" s="734">
        <f t="shared" si="32"/>
        <v>9.4648970176063413E-2</v>
      </c>
      <c r="K118" s="734">
        <f t="shared" si="32"/>
        <v>0</v>
      </c>
      <c r="L118" s="734">
        <f t="shared" si="32"/>
        <v>1.5811793163993089E-3</v>
      </c>
      <c r="M118" s="734">
        <f t="shared" si="32"/>
        <v>0</v>
      </c>
      <c r="N118" s="734">
        <f t="shared" si="32"/>
        <v>0</v>
      </c>
      <c r="O118" s="734">
        <f t="shared" si="32"/>
        <v>0</v>
      </c>
      <c r="P118" s="734">
        <f t="shared" si="32"/>
        <v>0</v>
      </c>
      <c r="Q118" s="734">
        <f t="shared" si="32"/>
        <v>0</v>
      </c>
      <c r="R118" s="734">
        <f t="shared" si="32"/>
        <v>0</v>
      </c>
      <c r="S118" s="734">
        <f t="shared" si="32"/>
        <v>0</v>
      </c>
      <c r="T118" s="734">
        <f t="shared" ref="T118:T152" si="33">MAX(0.001,SUM(C118:S118))</f>
        <v>0.40013721550410725</v>
      </c>
    </row>
    <row r="119" spans="1:20" hidden="1">
      <c r="A119" s="613">
        <f>MATCH(LEFT(B119,3),B$108:B$112,0)</f>
        <v>1</v>
      </c>
      <c r="B119" s="613" t="s">
        <v>368</v>
      </c>
      <c r="C119" s="734">
        <f t="shared" si="31"/>
        <v>0.1012300177494261</v>
      </c>
      <c r="D119" s="734">
        <f t="shared" ref="D119:S119" si="34">IF(INDEX(D$49:D$53,$A119)&gt;0,D10*INDEX(D$99:D$103,$A119)/INDEX(D$49:D$53,$A119),0)</f>
        <v>0.62650610444901389</v>
      </c>
      <c r="E119" s="734">
        <f t="shared" si="34"/>
        <v>0</v>
      </c>
      <c r="F119" s="734">
        <f t="shared" si="34"/>
        <v>0</v>
      </c>
      <c r="G119" s="734">
        <f t="shared" si="34"/>
        <v>1.1232627267051916E-2</v>
      </c>
      <c r="H119" s="734">
        <f t="shared" si="34"/>
        <v>0</v>
      </c>
      <c r="I119" s="734">
        <f t="shared" si="34"/>
        <v>0</v>
      </c>
      <c r="J119" s="734">
        <f t="shared" si="34"/>
        <v>0</v>
      </c>
      <c r="K119" s="734">
        <f t="shared" si="34"/>
        <v>0</v>
      </c>
      <c r="L119" s="734">
        <f t="shared" si="34"/>
        <v>0</v>
      </c>
      <c r="M119" s="734">
        <f t="shared" si="34"/>
        <v>3.6626526846135336E-3</v>
      </c>
      <c r="N119" s="734">
        <f t="shared" si="34"/>
        <v>0</v>
      </c>
      <c r="O119" s="734">
        <f t="shared" si="34"/>
        <v>0</v>
      </c>
      <c r="P119" s="734">
        <f t="shared" si="34"/>
        <v>0</v>
      </c>
      <c r="Q119" s="734">
        <f t="shared" si="34"/>
        <v>0</v>
      </c>
      <c r="R119" s="734">
        <f t="shared" si="34"/>
        <v>0</v>
      </c>
      <c r="S119" s="734">
        <f t="shared" si="34"/>
        <v>0</v>
      </c>
      <c r="T119" s="734">
        <f t="shared" si="33"/>
        <v>0.74263140215010537</v>
      </c>
    </row>
    <row r="120" spans="1:20" hidden="1">
      <c r="A120" s="613">
        <f>MATCH(LEFT(B120,3),B$108:B$112,0)</f>
        <v>1</v>
      </c>
      <c r="B120" s="613" t="s">
        <v>366</v>
      </c>
      <c r="C120" s="734">
        <f t="shared" si="31"/>
        <v>0.50615008874713041</v>
      </c>
      <c r="D120" s="734">
        <f t="shared" ref="D120:S120" si="35">IF(INDEX(D$49:D$53,$A120)&gt;0,D11*INDEX(D$99:D$103,$A120)/INDEX(D$49:D$53,$A120),0)</f>
        <v>0.22782040161782321</v>
      </c>
      <c r="E120" s="734">
        <f t="shared" si="35"/>
        <v>0</v>
      </c>
      <c r="F120" s="734">
        <f t="shared" si="35"/>
        <v>0</v>
      </c>
      <c r="G120" s="734">
        <f t="shared" si="35"/>
        <v>3.3697881801155745E-2</v>
      </c>
      <c r="H120" s="734">
        <f t="shared" si="35"/>
        <v>0</v>
      </c>
      <c r="I120" s="734">
        <f t="shared" si="35"/>
        <v>0</v>
      </c>
      <c r="J120" s="734">
        <f t="shared" si="35"/>
        <v>0</v>
      </c>
      <c r="K120" s="734">
        <f t="shared" si="35"/>
        <v>0</v>
      </c>
      <c r="L120" s="734">
        <f t="shared" si="35"/>
        <v>0</v>
      </c>
      <c r="M120" s="734">
        <f t="shared" si="35"/>
        <v>7.3253053692270672E-3</v>
      </c>
      <c r="N120" s="734">
        <f t="shared" si="35"/>
        <v>0</v>
      </c>
      <c r="O120" s="734">
        <f t="shared" si="35"/>
        <v>0</v>
      </c>
      <c r="P120" s="734">
        <f t="shared" si="35"/>
        <v>0</v>
      </c>
      <c r="Q120" s="734">
        <f t="shared" si="35"/>
        <v>0</v>
      </c>
      <c r="R120" s="734">
        <f t="shared" si="35"/>
        <v>0</v>
      </c>
      <c r="S120" s="734">
        <f t="shared" si="35"/>
        <v>0</v>
      </c>
      <c r="T120" s="734">
        <f t="shared" si="33"/>
        <v>0.77499367753533643</v>
      </c>
    </row>
    <row r="121" spans="1:20" hidden="1">
      <c r="A121" s="613">
        <f>MATCH(LEFT(B121,3),B$108:B$112,0)</f>
        <v>1</v>
      </c>
      <c r="B121" s="613" t="s">
        <v>410</v>
      </c>
      <c r="C121" s="734">
        <f t="shared" si="31"/>
        <v>0.40492007099770438</v>
      </c>
      <c r="D121" s="734">
        <f t="shared" ref="D121:S121" si="36">IF(INDEX(D$49:D$53,$A121)&gt;0,D12*INDEX(D$99:D$103,$A121)/INDEX(D$49:D$53,$A121),0)</f>
        <v>0</v>
      </c>
      <c r="E121" s="734">
        <f t="shared" si="36"/>
        <v>0</v>
      </c>
      <c r="F121" s="734">
        <f t="shared" si="36"/>
        <v>0</v>
      </c>
      <c r="G121" s="734">
        <f t="shared" si="36"/>
        <v>4.4930509068207662E-2</v>
      </c>
      <c r="H121" s="734">
        <f t="shared" si="36"/>
        <v>0.15048271798934282</v>
      </c>
      <c r="I121" s="734">
        <f t="shared" si="36"/>
        <v>0</v>
      </c>
      <c r="J121" s="734">
        <f t="shared" si="36"/>
        <v>0</v>
      </c>
      <c r="K121" s="734">
        <f t="shared" si="36"/>
        <v>0</v>
      </c>
      <c r="L121" s="734">
        <f t="shared" si="36"/>
        <v>0</v>
      </c>
      <c r="M121" s="734">
        <f t="shared" si="36"/>
        <v>0</v>
      </c>
      <c r="N121" s="734">
        <f t="shared" si="36"/>
        <v>0</v>
      </c>
      <c r="O121" s="734">
        <f t="shared" si="36"/>
        <v>0</v>
      </c>
      <c r="P121" s="734">
        <f t="shared" si="36"/>
        <v>0</v>
      </c>
      <c r="Q121" s="734">
        <f t="shared" si="36"/>
        <v>0</v>
      </c>
      <c r="R121" s="734">
        <f t="shared" si="36"/>
        <v>0</v>
      </c>
      <c r="S121" s="734">
        <f t="shared" si="36"/>
        <v>0</v>
      </c>
      <c r="T121" s="734">
        <f t="shared" si="33"/>
        <v>0.60033329805525493</v>
      </c>
    </row>
    <row r="122" spans="1:20" hidden="1">
      <c r="A122" s="613">
        <v>1</v>
      </c>
      <c r="B122" s="613" t="s">
        <v>1286</v>
      </c>
      <c r="C122" s="734">
        <f t="shared" si="31"/>
        <v>0.50615008874713041</v>
      </c>
      <c r="D122" s="734">
        <f t="shared" ref="D122:S122" si="37">IF(INDEX(D$49:D$53,$A122)&gt;0,D13*INDEX(D$99:D$103,$A122)/INDEX(D$49:D$53,$A122),0)</f>
        <v>0</v>
      </c>
      <c r="E122" s="734">
        <f t="shared" si="37"/>
        <v>0.87530661375459351</v>
      </c>
      <c r="F122" s="734">
        <f t="shared" si="37"/>
        <v>0</v>
      </c>
      <c r="G122" s="734">
        <f t="shared" si="37"/>
        <v>0</v>
      </c>
      <c r="H122" s="734">
        <f t="shared" si="37"/>
        <v>0.15048271798934282</v>
      </c>
      <c r="I122" s="734">
        <f t="shared" si="37"/>
        <v>0</v>
      </c>
      <c r="J122" s="734">
        <f t="shared" si="37"/>
        <v>0</v>
      </c>
      <c r="K122" s="734">
        <f t="shared" si="37"/>
        <v>0</v>
      </c>
      <c r="L122" s="734">
        <f t="shared" si="37"/>
        <v>0</v>
      </c>
      <c r="M122" s="734">
        <f t="shared" si="37"/>
        <v>0</v>
      </c>
      <c r="N122" s="734">
        <f t="shared" si="37"/>
        <v>0</v>
      </c>
      <c r="O122" s="734">
        <f t="shared" si="37"/>
        <v>0</v>
      </c>
      <c r="P122" s="734">
        <f t="shared" si="37"/>
        <v>0</v>
      </c>
      <c r="Q122" s="734">
        <f t="shared" si="37"/>
        <v>0</v>
      </c>
      <c r="R122" s="734">
        <f t="shared" si="37"/>
        <v>0</v>
      </c>
      <c r="S122" s="734">
        <f t="shared" si="37"/>
        <v>0</v>
      </c>
      <c r="T122" s="734">
        <f t="shared" si="33"/>
        <v>1.5319394204910668</v>
      </c>
    </row>
    <row r="123" spans="1:20" hidden="1">
      <c r="A123" s="613">
        <f t="shared" ref="A123:A152" si="38">MATCH(LEFT(B123,3),B$108:B$112,0)</f>
        <v>1</v>
      </c>
      <c r="B123" s="613" t="s">
        <v>962</v>
      </c>
      <c r="C123" s="734">
        <f t="shared" si="31"/>
        <v>0.91107015974483474</v>
      </c>
      <c r="D123" s="734">
        <f t="shared" ref="D123:S123" si="39">IF(INDEX(D$49:D$53,$A123)&gt;0,D14*INDEX(D$99:D$103,$A123)/INDEX(D$49:D$53,$A123),0)</f>
        <v>0</v>
      </c>
      <c r="E123" s="734">
        <f t="shared" si="39"/>
        <v>0.21882665343864838</v>
      </c>
      <c r="F123" s="734">
        <f t="shared" si="39"/>
        <v>0</v>
      </c>
      <c r="G123" s="734">
        <f t="shared" si="39"/>
        <v>0</v>
      </c>
      <c r="H123" s="734">
        <f t="shared" si="39"/>
        <v>0</v>
      </c>
      <c r="I123" s="734">
        <f t="shared" si="39"/>
        <v>0</v>
      </c>
      <c r="J123" s="734">
        <f t="shared" si="39"/>
        <v>0</v>
      </c>
      <c r="K123" s="734">
        <f t="shared" si="39"/>
        <v>0</v>
      </c>
      <c r="L123" s="734">
        <f t="shared" si="39"/>
        <v>0</v>
      </c>
      <c r="M123" s="734">
        <f t="shared" si="39"/>
        <v>7.3253053692270672E-3</v>
      </c>
      <c r="N123" s="734">
        <f t="shared" si="39"/>
        <v>0</v>
      </c>
      <c r="O123" s="734">
        <f t="shared" si="39"/>
        <v>0</v>
      </c>
      <c r="P123" s="734">
        <f t="shared" si="39"/>
        <v>0</v>
      </c>
      <c r="Q123" s="734">
        <f t="shared" si="39"/>
        <v>0</v>
      </c>
      <c r="R123" s="734">
        <f t="shared" si="39"/>
        <v>0</v>
      </c>
      <c r="S123" s="734">
        <f t="shared" si="39"/>
        <v>0</v>
      </c>
      <c r="T123" s="734">
        <f t="shared" si="33"/>
        <v>1.1372221185527103</v>
      </c>
    </row>
    <row r="124" spans="1:20" hidden="1">
      <c r="A124" s="613">
        <f t="shared" si="38"/>
        <v>1</v>
      </c>
      <c r="B124" s="613" t="s">
        <v>963</v>
      </c>
      <c r="C124" s="734">
        <f t="shared" si="31"/>
        <v>0</v>
      </c>
      <c r="D124" s="734">
        <f t="shared" ref="D124:S124" si="40">IF(INDEX(D$49:D$53,$A124)&gt;0,D15*INDEX(D$99:D$103,$A124)/INDEX(D$49:D$53,$A124),0)</f>
        <v>7.5940133872607743E-2</v>
      </c>
      <c r="E124" s="734">
        <f t="shared" si="40"/>
        <v>0.43765330687729675</v>
      </c>
      <c r="F124" s="734">
        <f t="shared" si="40"/>
        <v>0</v>
      </c>
      <c r="G124" s="734">
        <f t="shared" si="40"/>
        <v>3.3697881801155745E-2</v>
      </c>
      <c r="H124" s="734">
        <f t="shared" si="40"/>
        <v>1.8810339748667852E-2</v>
      </c>
      <c r="I124" s="734">
        <f t="shared" si="40"/>
        <v>0.17012385326261989</v>
      </c>
      <c r="J124" s="734">
        <f t="shared" si="40"/>
        <v>6.7606407268616719E-2</v>
      </c>
      <c r="K124" s="734">
        <f t="shared" si="40"/>
        <v>0</v>
      </c>
      <c r="L124" s="734">
        <f t="shared" si="40"/>
        <v>3.1623586327986179E-3</v>
      </c>
      <c r="M124" s="734">
        <f t="shared" si="40"/>
        <v>5.8602442953816537E-3</v>
      </c>
      <c r="N124" s="734">
        <f t="shared" si="40"/>
        <v>0</v>
      </c>
      <c r="O124" s="734">
        <f t="shared" si="40"/>
        <v>0</v>
      </c>
      <c r="P124" s="734">
        <f t="shared" si="40"/>
        <v>0</v>
      </c>
      <c r="Q124" s="734">
        <f t="shared" si="40"/>
        <v>1.7503940349321057E-2</v>
      </c>
      <c r="R124" s="734">
        <f t="shared" si="40"/>
        <v>0</v>
      </c>
      <c r="S124" s="734">
        <f t="shared" si="40"/>
        <v>0.95481156986063265</v>
      </c>
      <c r="T124" s="734">
        <f t="shared" si="33"/>
        <v>1.7851700359690987</v>
      </c>
    </row>
    <row r="125" spans="1:20" hidden="1">
      <c r="A125" s="613">
        <f t="shared" si="38"/>
        <v>2</v>
      </c>
      <c r="B125" s="613" t="s">
        <v>964</v>
      </c>
      <c r="C125" s="734">
        <f t="shared" si="31"/>
        <v>0</v>
      </c>
      <c r="D125" s="734">
        <f t="shared" ref="D125:S125" si="41">IF(INDEX(D$49:D$53,$A125)&gt;0,D16*INDEX(D$99:D$103,$A125)/INDEX(D$49:D$53,$A125),0)</f>
        <v>6.4423957310315652E-2</v>
      </c>
      <c r="E125" s="734">
        <f t="shared" si="41"/>
        <v>0</v>
      </c>
      <c r="F125" s="734">
        <f t="shared" si="41"/>
        <v>0</v>
      </c>
      <c r="G125" s="734">
        <f t="shared" si="41"/>
        <v>0.18074857435884498</v>
      </c>
      <c r="H125" s="734">
        <f t="shared" si="41"/>
        <v>0</v>
      </c>
      <c r="I125" s="734">
        <f t="shared" si="41"/>
        <v>0</v>
      </c>
      <c r="J125" s="734">
        <f t="shared" si="41"/>
        <v>0</v>
      </c>
      <c r="K125" s="734">
        <f t="shared" si="41"/>
        <v>0</v>
      </c>
      <c r="L125" s="734">
        <f t="shared" si="41"/>
        <v>7.7961054541526256E-2</v>
      </c>
      <c r="M125" s="734">
        <f t="shared" si="41"/>
        <v>0</v>
      </c>
      <c r="N125" s="734">
        <f t="shared" si="41"/>
        <v>0</v>
      </c>
      <c r="O125" s="734">
        <f t="shared" si="41"/>
        <v>0</v>
      </c>
      <c r="P125" s="734">
        <f t="shared" si="41"/>
        <v>0.46748810312724459</v>
      </c>
      <c r="Q125" s="734">
        <f t="shared" si="41"/>
        <v>0</v>
      </c>
      <c r="R125" s="734">
        <f t="shared" si="41"/>
        <v>0</v>
      </c>
      <c r="S125" s="734">
        <f t="shared" si="41"/>
        <v>0</v>
      </c>
      <c r="T125" s="734">
        <f t="shared" si="33"/>
        <v>0.79062168933793142</v>
      </c>
    </row>
    <row r="126" spans="1:20" hidden="1">
      <c r="A126" s="613">
        <f t="shared" si="38"/>
        <v>2</v>
      </c>
      <c r="B126" s="613" t="s">
        <v>965</v>
      </c>
      <c r="C126" s="734">
        <f t="shared" si="31"/>
        <v>0</v>
      </c>
      <c r="D126" s="734">
        <f t="shared" ref="D126:S126" si="42">IF(INDEX(D$49:D$53,$A126)&gt;0,D17*INDEX(D$99:D$103,$A126)/INDEX(D$49:D$53,$A126),0)</f>
        <v>6.4423957310315652E-2</v>
      </c>
      <c r="E126" s="734">
        <f t="shared" si="42"/>
        <v>0</v>
      </c>
      <c r="F126" s="734">
        <f t="shared" si="42"/>
        <v>0</v>
      </c>
      <c r="G126" s="734">
        <f t="shared" si="42"/>
        <v>0.18074857435884498</v>
      </c>
      <c r="H126" s="734">
        <f t="shared" si="42"/>
        <v>0</v>
      </c>
      <c r="I126" s="734">
        <f t="shared" si="42"/>
        <v>0</v>
      </c>
      <c r="J126" s="734">
        <f t="shared" si="42"/>
        <v>0</v>
      </c>
      <c r="K126" s="734">
        <f t="shared" si="42"/>
        <v>0</v>
      </c>
      <c r="L126" s="734">
        <f t="shared" si="42"/>
        <v>5.8470790906144682E-2</v>
      </c>
      <c r="M126" s="734">
        <f t="shared" si="42"/>
        <v>0</v>
      </c>
      <c r="N126" s="734">
        <f t="shared" si="42"/>
        <v>0</v>
      </c>
      <c r="O126" s="734">
        <f t="shared" si="42"/>
        <v>0</v>
      </c>
      <c r="P126" s="734">
        <f t="shared" si="42"/>
        <v>0.38957341927270384</v>
      </c>
      <c r="Q126" s="734">
        <f t="shared" si="42"/>
        <v>0.38917704567932226</v>
      </c>
      <c r="R126" s="734">
        <f t="shared" si="42"/>
        <v>0</v>
      </c>
      <c r="S126" s="734">
        <f t="shared" si="42"/>
        <v>0</v>
      </c>
      <c r="T126" s="734">
        <f t="shared" si="33"/>
        <v>1.0823937875273315</v>
      </c>
    </row>
    <row r="127" spans="1:20" hidden="1">
      <c r="A127" s="613">
        <f t="shared" si="38"/>
        <v>2</v>
      </c>
      <c r="B127" s="613" t="s">
        <v>412</v>
      </c>
      <c r="C127" s="734">
        <f t="shared" si="31"/>
        <v>0</v>
      </c>
      <c r="D127" s="734">
        <f t="shared" ref="D127:S127" si="43">IF(INDEX(D$49:D$53,$A127)&gt;0,D18*INDEX(D$99:D$103,$A127)/INDEX(D$49:D$53,$A127),0)</f>
        <v>0.11596312315856819</v>
      </c>
      <c r="E127" s="734">
        <f t="shared" si="43"/>
        <v>0</v>
      </c>
      <c r="F127" s="734">
        <f t="shared" si="43"/>
        <v>0</v>
      </c>
      <c r="G127" s="734">
        <f t="shared" si="43"/>
        <v>0.25304800410238293</v>
      </c>
      <c r="H127" s="734">
        <f t="shared" si="43"/>
        <v>0</v>
      </c>
      <c r="I127" s="734">
        <f t="shared" si="43"/>
        <v>0</v>
      </c>
      <c r="J127" s="734">
        <f t="shared" si="43"/>
        <v>0</v>
      </c>
      <c r="K127" s="734">
        <f t="shared" si="43"/>
        <v>0</v>
      </c>
      <c r="L127" s="734">
        <f t="shared" si="43"/>
        <v>7.7961054541526256E-2</v>
      </c>
      <c r="M127" s="734">
        <f t="shared" si="43"/>
        <v>0</v>
      </c>
      <c r="N127" s="734">
        <f t="shared" si="43"/>
        <v>0</v>
      </c>
      <c r="O127" s="734">
        <f t="shared" si="43"/>
        <v>0</v>
      </c>
      <c r="P127" s="734">
        <f t="shared" si="43"/>
        <v>0</v>
      </c>
      <c r="Q127" s="734">
        <f t="shared" si="43"/>
        <v>0</v>
      </c>
      <c r="R127" s="734">
        <f t="shared" si="43"/>
        <v>0</v>
      </c>
      <c r="S127" s="734">
        <f t="shared" si="43"/>
        <v>0</v>
      </c>
      <c r="T127" s="734">
        <f t="shared" si="33"/>
        <v>0.44697218180247733</v>
      </c>
    </row>
    <row r="128" spans="1:20" hidden="1">
      <c r="A128" s="613">
        <f t="shared" si="38"/>
        <v>2</v>
      </c>
      <c r="B128" s="613" t="s">
        <v>362</v>
      </c>
      <c r="C128" s="734">
        <f t="shared" si="31"/>
        <v>0.18000000000000002</v>
      </c>
      <c r="D128" s="734">
        <f t="shared" ref="D128:S128" si="44">IF(INDEX(D$49:D$53,$A128)&gt;0,D19*INDEX(D$99:D$103,$A128)/INDEX(D$49:D$53,$A128),0)</f>
        <v>0.14173270608269445</v>
      </c>
      <c r="E128" s="734">
        <f t="shared" si="44"/>
        <v>0</v>
      </c>
      <c r="F128" s="734">
        <f t="shared" si="44"/>
        <v>0</v>
      </c>
      <c r="G128" s="734">
        <f t="shared" si="44"/>
        <v>7.2299429743537993E-2</v>
      </c>
      <c r="H128" s="734">
        <f t="shared" si="44"/>
        <v>0</v>
      </c>
      <c r="I128" s="734">
        <f t="shared" si="44"/>
        <v>0</v>
      </c>
      <c r="J128" s="734">
        <f t="shared" si="44"/>
        <v>0</v>
      </c>
      <c r="K128" s="734">
        <f t="shared" si="44"/>
        <v>0</v>
      </c>
      <c r="L128" s="734">
        <f t="shared" si="44"/>
        <v>6.6266896360297312E-2</v>
      </c>
      <c r="M128" s="734">
        <f t="shared" si="44"/>
        <v>0</v>
      </c>
      <c r="N128" s="734">
        <f t="shared" si="44"/>
        <v>0</v>
      </c>
      <c r="O128" s="734">
        <f t="shared" si="44"/>
        <v>0</v>
      </c>
      <c r="P128" s="734">
        <f t="shared" si="44"/>
        <v>0</v>
      </c>
      <c r="Q128" s="734">
        <f t="shared" si="44"/>
        <v>0</v>
      </c>
      <c r="R128" s="734">
        <f t="shared" si="44"/>
        <v>0</v>
      </c>
      <c r="S128" s="734">
        <f t="shared" si="44"/>
        <v>0</v>
      </c>
      <c r="T128" s="734">
        <f t="shared" si="33"/>
        <v>0.46029903218652973</v>
      </c>
    </row>
    <row r="129" spans="1:23" hidden="1">
      <c r="A129" s="613">
        <f t="shared" si="38"/>
        <v>2</v>
      </c>
      <c r="B129" s="613" t="s">
        <v>364</v>
      </c>
      <c r="C129" s="734">
        <f t="shared" si="31"/>
        <v>0.25</v>
      </c>
      <c r="D129" s="734">
        <f t="shared" ref="D129:S129" si="45">IF(INDEX(D$49:D$53,$A129)&gt;0,D20*INDEX(D$99:D$103,$A129)/INDEX(D$49:D$53,$A129),0)</f>
        <v>0.10307833169650504</v>
      </c>
      <c r="E129" s="734">
        <f t="shared" si="45"/>
        <v>0</v>
      </c>
      <c r="F129" s="734">
        <f t="shared" si="45"/>
        <v>0</v>
      </c>
      <c r="G129" s="734">
        <f t="shared" si="45"/>
        <v>7.2299429743537993E-2</v>
      </c>
      <c r="H129" s="734">
        <f t="shared" si="45"/>
        <v>0</v>
      </c>
      <c r="I129" s="734">
        <f t="shared" si="45"/>
        <v>0</v>
      </c>
      <c r="J129" s="734">
        <f t="shared" si="45"/>
        <v>0</v>
      </c>
      <c r="K129" s="734">
        <f t="shared" si="45"/>
        <v>0</v>
      </c>
      <c r="L129" s="734">
        <f t="shared" si="45"/>
        <v>9.7451318176907817E-2</v>
      </c>
      <c r="M129" s="734">
        <f t="shared" si="45"/>
        <v>0</v>
      </c>
      <c r="N129" s="734">
        <f t="shared" si="45"/>
        <v>0</v>
      </c>
      <c r="O129" s="734">
        <f t="shared" si="45"/>
        <v>0</v>
      </c>
      <c r="P129" s="734">
        <f t="shared" si="45"/>
        <v>0</v>
      </c>
      <c r="Q129" s="734">
        <f t="shared" si="45"/>
        <v>0</v>
      </c>
      <c r="R129" s="734">
        <f t="shared" si="45"/>
        <v>0</v>
      </c>
      <c r="S129" s="734">
        <f t="shared" si="45"/>
        <v>0</v>
      </c>
      <c r="T129" s="734">
        <f t="shared" si="33"/>
        <v>0.5228290796169508</v>
      </c>
    </row>
    <row r="130" spans="1:23" hidden="1">
      <c r="A130" s="613">
        <f t="shared" si="38"/>
        <v>2</v>
      </c>
      <c r="B130" s="613" t="s">
        <v>966</v>
      </c>
      <c r="C130" s="734">
        <f t="shared" si="31"/>
        <v>0.96</v>
      </c>
      <c r="D130" s="734">
        <f t="shared" ref="D130:S130" si="46">IF(INDEX(D$49:D$53,$A130)&gt;0,D21*INDEX(D$99:D$103,$A130)/INDEX(D$49:D$53,$A130),0)</f>
        <v>0</v>
      </c>
      <c r="E130" s="734">
        <f t="shared" si="46"/>
        <v>0.15081754991892665</v>
      </c>
      <c r="F130" s="734">
        <f t="shared" si="46"/>
        <v>0</v>
      </c>
      <c r="G130" s="734">
        <f t="shared" si="46"/>
        <v>0</v>
      </c>
      <c r="H130" s="734">
        <f t="shared" si="46"/>
        <v>0</v>
      </c>
      <c r="I130" s="734">
        <f t="shared" si="46"/>
        <v>0</v>
      </c>
      <c r="J130" s="734">
        <f t="shared" si="46"/>
        <v>0</v>
      </c>
      <c r="K130" s="734">
        <f t="shared" si="46"/>
        <v>0</v>
      </c>
      <c r="L130" s="734">
        <f t="shared" si="46"/>
        <v>0</v>
      </c>
      <c r="M130" s="734">
        <f t="shared" si="46"/>
        <v>4.1159014805081426E-2</v>
      </c>
      <c r="N130" s="734">
        <f t="shared" si="46"/>
        <v>0</v>
      </c>
      <c r="O130" s="734">
        <f t="shared" si="46"/>
        <v>0</v>
      </c>
      <c r="P130" s="734">
        <f t="shared" si="46"/>
        <v>0</v>
      </c>
      <c r="Q130" s="734">
        <f t="shared" si="46"/>
        <v>0</v>
      </c>
      <c r="R130" s="734">
        <f t="shared" si="46"/>
        <v>0</v>
      </c>
      <c r="S130" s="734">
        <f t="shared" si="46"/>
        <v>0</v>
      </c>
      <c r="T130" s="734">
        <f t="shared" si="33"/>
        <v>1.1519765647240079</v>
      </c>
      <c r="W130" s="730"/>
    </row>
    <row r="131" spans="1:23" hidden="1">
      <c r="A131" s="613">
        <f t="shared" si="38"/>
        <v>2</v>
      </c>
      <c r="B131" s="613" t="s">
        <v>967</v>
      </c>
      <c r="C131" s="734">
        <f t="shared" si="31"/>
        <v>0</v>
      </c>
      <c r="D131" s="734">
        <f t="shared" ref="D131:S131" si="47">IF(INDEX(D$49:D$53,$A131)&gt;0,D22*INDEX(D$99:D$103,$A131)/INDEX(D$49:D$53,$A131),0)</f>
        <v>3.8654374386189384E-2</v>
      </c>
      <c r="E131" s="734">
        <f t="shared" si="47"/>
        <v>0.37704387479731666</v>
      </c>
      <c r="F131" s="734">
        <f t="shared" si="47"/>
        <v>0</v>
      </c>
      <c r="G131" s="734">
        <f t="shared" si="47"/>
        <v>0.10844914461530697</v>
      </c>
      <c r="H131" s="734">
        <f t="shared" si="47"/>
        <v>0.14659899708074767</v>
      </c>
      <c r="I131" s="734">
        <f t="shared" si="47"/>
        <v>0.54637109608732581</v>
      </c>
      <c r="J131" s="734">
        <f t="shared" si="47"/>
        <v>0.56955381707597263</v>
      </c>
      <c r="K131" s="734">
        <f t="shared" si="47"/>
        <v>8.2710255293410705E-3</v>
      </c>
      <c r="L131" s="734">
        <f t="shared" si="47"/>
        <v>5.8470790906144682E-2</v>
      </c>
      <c r="M131" s="734">
        <f t="shared" si="47"/>
        <v>0.20579507402540717</v>
      </c>
      <c r="N131" s="734">
        <f t="shared" si="47"/>
        <v>0</v>
      </c>
      <c r="O131" s="734">
        <f t="shared" si="47"/>
        <v>0</v>
      </c>
      <c r="P131" s="734">
        <f t="shared" si="47"/>
        <v>1.5582936770908155E-2</v>
      </c>
      <c r="Q131" s="734">
        <f t="shared" si="47"/>
        <v>0.2335062274075933</v>
      </c>
      <c r="R131" s="734">
        <f t="shared" si="47"/>
        <v>0</v>
      </c>
      <c r="S131" s="734">
        <f t="shared" si="47"/>
        <v>0.93275327521373941</v>
      </c>
      <c r="T131" s="734">
        <f t="shared" si="33"/>
        <v>3.2410506338959926</v>
      </c>
      <c r="W131" s="730"/>
    </row>
    <row r="132" spans="1:23" hidden="1">
      <c r="A132" s="613">
        <f t="shared" si="38"/>
        <v>3</v>
      </c>
      <c r="B132" s="613" t="s">
        <v>259</v>
      </c>
      <c r="C132" s="734">
        <f t="shared" si="31"/>
        <v>0.80000000000000016</v>
      </c>
      <c r="D132" s="734">
        <f t="shared" ref="D132:S132" si="48">IF(INDEX(D$49:D$53,$A132)&gt;0,D23*INDEX(D$99:D$103,$A132)/INDEX(D$49:D$53,$A132),0)</f>
        <v>2.0729205515708712E-3</v>
      </c>
      <c r="E132" s="734">
        <f t="shared" si="48"/>
        <v>0</v>
      </c>
      <c r="F132" s="734">
        <f t="shared" si="48"/>
        <v>0</v>
      </c>
      <c r="G132" s="734">
        <f t="shared" si="48"/>
        <v>3.2277983717918669E-3</v>
      </c>
      <c r="H132" s="734">
        <f t="shared" si="48"/>
        <v>2.9783891395020145E-2</v>
      </c>
      <c r="I132" s="734">
        <f t="shared" si="48"/>
        <v>0</v>
      </c>
      <c r="J132" s="734">
        <f t="shared" si="48"/>
        <v>0</v>
      </c>
      <c r="K132" s="734">
        <f t="shared" si="48"/>
        <v>0</v>
      </c>
      <c r="L132" s="734">
        <f t="shared" si="48"/>
        <v>1.1700573304669193E-2</v>
      </c>
      <c r="M132" s="734">
        <f t="shared" si="48"/>
        <v>0</v>
      </c>
      <c r="N132" s="734">
        <f t="shared" si="48"/>
        <v>0</v>
      </c>
      <c r="O132" s="734">
        <f t="shared" si="48"/>
        <v>0</v>
      </c>
      <c r="P132" s="734">
        <f t="shared" si="48"/>
        <v>0</v>
      </c>
      <c r="Q132" s="734">
        <f t="shared" si="48"/>
        <v>0</v>
      </c>
      <c r="R132" s="734">
        <f t="shared" si="48"/>
        <v>0</v>
      </c>
      <c r="S132" s="734">
        <f t="shared" si="48"/>
        <v>0</v>
      </c>
      <c r="T132" s="734">
        <f t="shared" si="33"/>
        <v>0.84678518362305222</v>
      </c>
      <c r="W132" s="730"/>
    </row>
    <row r="133" spans="1:23" hidden="1">
      <c r="A133" s="613">
        <f t="shared" si="38"/>
        <v>3</v>
      </c>
      <c r="B133" s="613" t="s">
        <v>370</v>
      </c>
      <c r="C133" s="734">
        <f t="shared" si="31"/>
        <v>0.55000000000000004</v>
      </c>
      <c r="D133" s="734">
        <f t="shared" ref="D133:S133" si="49">IF(INDEX(D$49:D$53,$A133)&gt;0,D24*INDEX(D$99:D$103,$A133)/INDEX(D$49:D$53,$A133),0)</f>
        <v>3.4548675859514526E-3</v>
      </c>
      <c r="E133" s="734">
        <f t="shared" si="49"/>
        <v>0</v>
      </c>
      <c r="F133" s="734">
        <f t="shared" si="49"/>
        <v>0</v>
      </c>
      <c r="G133" s="734">
        <f t="shared" si="49"/>
        <v>3.2277983717918669E-3</v>
      </c>
      <c r="H133" s="734">
        <f t="shared" si="49"/>
        <v>5.956778279004029E-2</v>
      </c>
      <c r="I133" s="734">
        <f t="shared" si="49"/>
        <v>0</v>
      </c>
      <c r="J133" s="734">
        <f t="shared" si="49"/>
        <v>0</v>
      </c>
      <c r="K133" s="734">
        <f t="shared" si="49"/>
        <v>0</v>
      </c>
      <c r="L133" s="734">
        <f t="shared" si="49"/>
        <v>5.8502866523345964E-2</v>
      </c>
      <c r="M133" s="734">
        <f t="shared" si="49"/>
        <v>0</v>
      </c>
      <c r="N133" s="734">
        <f t="shared" si="49"/>
        <v>0</v>
      </c>
      <c r="O133" s="734">
        <f t="shared" si="49"/>
        <v>0</v>
      </c>
      <c r="P133" s="734">
        <f t="shared" si="49"/>
        <v>0</v>
      </c>
      <c r="Q133" s="734">
        <f t="shared" si="49"/>
        <v>0</v>
      </c>
      <c r="R133" s="734">
        <f t="shared" si="49"/>
        <v>0</v>
      </c>
      <c r="S133" s="734">
        <f t="shared" si="49"/>
        <v>0</v>
      </c>
      <c r="T133" s="734">
        <f t="shared" si="33"/>
        <v>0.67475331527112958</v>
      </c>
      <c r="W133" s="730"/>
    </row>
    <row r="134" spans="1:23" hidden="1">
      <c r="A134" s="613">
        <f t="shared" si="38"/>
        <v>3</v>
      </c>
      <c r="B134" s="613" t="s">
        <v>417</v>
      </c>
      <c r="C134" s="734">
        <f t="shared" si="31"/>
        <v>0.9</v>
      </c>
      <c r="D134" s="734">
        <f t="shared" ref="D134:S134" si="50">IF(INDEX(D$49:D$53,$A134)&gt;0,D25*INDEX(D$99:D$103,$A134)/INDEX(D$49:D$53,$A134),0)</f>
        <v>1.7274337929757263E-3</v>
      </c>
      <c r="E134" s="734">
        <f t="shared" si="50"/>
        <v>0</v>
      </c>
      <c r="F134" s="734">
        <f t="shared" si="50"/>
        <v>0</v>
      </c>
      <c r="G134" s="734">
        <f t="shared" si="50"/>
        <v>0</v>
      </c>
      <c r="H134" s="734">
        <f t="shared" si="50"/>
        <v>0</v>
      </c>
      <c r="I134" s="734">
        <f t="shared" si="50"/>
        <v>0</v>
      </c>
      <c r="J134" s="734">
        <f t="shared" si="50"/>
        <v>0</v>
      </c>
      <c r="K134" s="734">
        <f t="shared" si="50"/>
        <v>0</v>
      </c>
      <c r="L134" s="734">
        <f t="shared" si="50"/>
        <v>1.4625716630836491E-2</v>
      </c>
      <c r="M134" s="734">
        <f t="shared" si="50"/>
        <v>0</v>
      </c>
      <c r="N134" s="734">
        <f t="shared" si="50"/>
        <v>0</v>
      </c>
      <c r="O134" s="734">
        <f t="shared" si="50"/>
        <v>0</v>
      </c>
      <c r="P134" s="734">
        <f t="shared" si="50"/>
        <v>0</v>
      </c>
      <c r="Q134" s="734">
        <f t="shared" si="50"/>
        <v>0</v>
      </c>
      <c r="R134" s="734">
        <f t="shared" si="50"/>
        <v>0</v>
      </c>
      <c r="S134" s="734">
        <f t="shared" si="50"/>
        <v>0</v>
      </c>
      <c r="T134" s="734">
        <f t="shared" si="33"/>
        <v>0.91635315042381216</v>
      </c>
      <c r="W134" s="730"/>
    </row>
    <row r="135" spans="1:23" hidden="1">
      <c r="A135" s="613">
        <f t="shared" si="38"/>
        <v>3</v>
      </c>
      <c r="B135" s="613" t="s">
        <v>418</v>
      </c>
      <c r="C135" s="734">
        <f t="shared" si="31"/>
        <v>0.3</v>
      </c>
      <c r="D135" s="734">
        <f t="shared" ref="D135:S135" si="51">IF(INDEX(D$49:D$53,$A135)&gt;0,D26*INDEX(D$99:D$103,$A135)/INDEX(D$49:D$53,$A135),0)</f>
        <v>1.2092036550830082E-2</v>
      </c>
      <c r="E135" s="734">
        <f t="shared" si="51"/>
        <v>0.17865408083462334</v>
      </c>
      <c r="F135" s="734">
        <f t="shared" si="51"/>
        <v>0</v>
      </c>
      <c r="G135" s="734">
        <f t="shared" si="51"/>
        <v>0</v>
      </c>
      <c r="H135" s="734">
        <f t="shared" si="51"/>
        <v>2.9783891395020145E-2</v>
      </c>
      <c r="I135" s="734">
        <f t="shared" si="51"/>
        <v>0</v>
      </c>
      <c r="J135" s="734">
        <f t="shared" si="51"/>
        <v>0</v>
      </c>
      <c r="K135" s="734">
        <f t="shared" si="51"/>
        <v>0</v>
      </c>
      <c r="L135" s="734">
        <f t="shared" si="51"/>
        <v>7.3128583154182455E-2</v>
      </c>
      <c r="M135" s="734">
        <f t="shared" si="51"/>
        <v>0</v>
      </c>
      <c r="N135" s="734">
        <f t="shared" si="51"/>
        <v>0</v>
      </c>
      <c r="O135" s="734">
        <f t="shared" si="51"/>
        <v>0</v>
      </c>
      <c r="P135" s="734">
        <f t="shared" si="51"/>
        <v>0</v>
      </c>
      <c r="Q135" s="734">
        <f t="shared" si="51"/>
        <v>0</v>
      </c>
      <c r="R135" s="734">
        <f t="shared" si="51"/>
        <v>0</v>
      </c>
      <c r="S135" s="734">
        <f t="shared" si="51"/>
        <v>0</v>
      </c>
      <c r="T135" s="734">
        <f t="shared" si="33"/>
        <v>0.59365859193465598</v>
      </c>
      <c r="W135" s="730"/>
    </row>
    <row r="136" spans="1:23" hidden="1">
      <c r="A136" s="613">
        <f t="shared" si="38"/>
        <v>3</v>
      </c>
      <c r="B136" s="613" t="s">
        <v>968</v>
      </c>
      <c r="C136" s="734">
        <f t="shared" si="31"/>
        <v>0.97</v>
      </c>
      <c r="D136" s="734">
        <f t="shared" ref="D136:S136" si="52">IF(INDEX(D$49:D$53,$A136)&gt;0,D27*INDEX(D$99:D$103,$A136)/INDEX(D$49:D$53,$A136),0)</f>
        <v>0</v>
      </c>
      <c r="E136" s="734">
        <f t="shared" si="52"/>
        <v>0.107192448500774</v>
      </c>
      <c r="F136" s="734">
        <f t="shared" si="52"/>
        <v>0</v>
      </c>
      <c r="G136" s="734">
        <f t="shared" si="52"/>
        <v>0</v>
      </c>
      <c r="H136" s="734">
        <f t="shared" si="52"/>
        <v>0</v>
      </c>
      <c r="I136" s="734">
        <f t="shared" si="52"/>
        <v>0</v>
      </c>
      <c r="J136" s="734">
        <f t="shared" si="52"/>
        <v>0</v>
      </c>
      <c r="K136" s="734">
        <f t="shared" si="52"/>
        <v>0</v>
      </c>
      <c r="L136" s="734">
        <f t="shared" si="52"/>
        <v>0</v>
      </c>
      <c r="M136" s="734">
        <f t="shared" si="52"/>
        <v>0</v>
      </c>
      <c r="N136" s="734">
        <f t="shared" si="52"/>
        <v>0</v>
      </c>
      <c r="O136" s="734">
        <f t="shared" si="52"/>
        <v>0</v>
      </c>
      <c r="P136" s="734">
        <f t="shared" si="52"/>
        <v>0</v>
      </c>
      <c r="Q136" s="734">
        <f t="shared" si="52"/>
        <v>0</v>
      </c>
      <c r="R136" s="734">
        <f t="shared" si="52"/>
        <v>0</v>
      </c>
      <c r="S136" s="734">
        <f t="shared" si="52"/>
        <v>0</v>
      </c>
      <c r="T136" s="734">
        <f t="shared" si="33"/>
        <v>1.077192448500774</v>
      </c>
      <c r="W136" s="730"/>
    </row>
    <row r="137" spans="1:23" hidden="1">
      <c r="A137" s="613">
        <f t="shared" si="38"/>
        <v>3</v>
      </c>
      <c r="B137" s="613" t="s">
        <v>969</v>
      </c>
      <c r="C137" s="734">
        <f t="shared" si="31"/>
        <v>0</v>
      </c>
      <c r="D137" s="734">
        <f t="shared" ref="D137:S137" si="53">IF(INDEX(D$49:D$53,$A137)&gt;0,D28*INDEX(D$99:D$103,$A137)/INDEX(D$49:D$53,$A137),0)</f>
        <v>1.0364602757854356E-2</v>
      </c>
      <c r="E137" s="734">
        <f t="shared" si="53"/>
        <v>0.17865408083462334</v>
      </c>
      <c r="F137" s="734">
        <f t="shared" si="53"/>
        <v>0</v>
      </c>
      <c r="G137" s="734">
        <f t="shared" si="53"/>
        <v>6.4555967435837337E-3</v>
      </c>
      <c r="H137" s="734">
        <f t="shared" si="53"/>
        <v>2.9783891395020145E-2</v>
      </c>
      <c r="I137" s="734">
        <f t="shared" si="53"/>
        <v>0</v>
      </c>
      <c r="J137" s="734">
        <f t="shared" si="53"/>
        <v>0</v>
      </c>
      <c r="K137" s="734">
        <f t="shared" si="53"/>
        <v>3.782571764621467E-3</v>
      </c>
      <c r="L137" s="734">
        <f t="shared" si="53"/>
        <v>3.5101719914007574E-2</v>
      </c>
      <c r="M137" s="734">
        <f t="shared" si="53"/>
        <v>0</v>
      </c>
      <c r="N137" s="734">
        <f t="shared" si="53"/>
        <v>0</v>
      </c>
      <c r="O137" s="734">
        <f t="shared" si="53"/>
        <v>0</v>
      </c>
      <c r="P137" s="734">
        <f t="shared" si="53"/>
        <v>0</v>
      </c>
      <c r="Q137" s="734">
        <f t="shared" si="53"/>
        <v>6.07563654472347E-3</v>
      </c>
      <c r="R137" s="734">
        <f t="shared" si="53"/>
        <v>0</v>
      </c>
      <c r="S137" s="734">
        <f t="shared" si="53"/>
        <v>1.2439851470525918</v>
      </c>
      <c r="T137" s="734">
        <f t="shared" si="33"/>
        <v>1.5142032470070259</v>
      </c>
    </row>
    <row r="138" spans="1:23" hidden="1">
      <c r="A138" s="613">
        <f t="shared" si="38"/>
        <v>4</v>
      </c>
      <c r="B138" s="613" t="s">
        <v>360</v>
      </c>
      <c r="C138" s="734">
        <f t="shared" si="31"/>
        <v>0.1</v>
      </c>
      <c r="D138" s="734">
        <f t="shared" ref="D138:S138" si="54">IF(INDEX(D$49:D$53,$A138)&gt;0,D29*INDEX(D$99:D$103,$A138)/INDEX(D$49:D$53,$A138),0)</f>
        <v>2.6497968471851426E-2</v>
      </c>
      <c r="E138" s="734">
        <f t="shared" si="54"/>
        <v>0.35274357880698143</v>
      </c>
      <c r="F138" s="734">
        <f t="shared" si="54"/>
        <v>0</v>
      </c>
      <c r="G138" s="734">
        <f t="shared" si="54"/>
        <v>0</v>
      </c>
      <c r="H138" s="734">
        <f t="shared" si="54"/>
        <v>0</v>
      </c>
      <c r="I138" s="734">
        <f t="shared" si="54"/>
        <v>0</v>
      </c>
      <c r="J138" s="734">
        <f t="shared" si="54"/>
        <v>0</v>
      </c>
      <c r="K138" s="734">
        <f t="shared" si="54"/>
        <v>0</v>
      </c>
      <c r="L138" s="734">
        <f t="shared" si="54"/>
        <v>5.3432735536723973E-2</v>
      </c>
      <c r="M138" s="734">
        <f t="shared" si="54"/>
        <v>7.4256182990988994E-3</v>
      </c>
      <c r="N138" s="734">
        <f t="shared" si="54"/>
        <v>1.8078995223044924E-3</v>
      </c>
      <c r="O138" s="734">
        <f t="shared" si="54"/>
        <v>1.0885692635497786</v>
      </c>
      <c r="P138" s="734">
        <f t="shared" si="54"/>
        <v>0</v>
      </c>
      <c r="Q138" s="734">
        <f t="shared" si="54"/>
        <v>0</v>
      </c>
      <c r="R138" s="734">
        <f t="shared" si="54"/>
        <v>0</v>
      </c>
      <c r="S138" s="734">
        <f t="shared" si="54"/>
        <v>0</v>
      </c>
      <c r="T138" s="734">
        <f t="shared" si="33"/>
        <v>1.630477064186739</v>
      </c>
    </row>
    <row r="139" spans="1:23" hidden="1">
      <c r="A139" s="613">
        <f t="shared" si="38"/>
        <v>4</v>
      </c>
      <c r="B139" s="613" t="s">
        <v>972</v>
      </c>
      <c r="C139" s="734">
        <f t="shared" si="31"/>
        <v>0.1</v>
      </c>
      <c r="D139" s="734">
        <f t="shared" ref="D139:S139" si="55">IF(INDEX(D$49:D$53,$A139)&gt;0,D30*INDEX(D$99:D$103,$A139)/INDEX(D$49:D$53,$A139),0)</f>
        <v>1.9873476353888569E-2</v>
      </c>
      <c r="E139" s="734">
        <f t="shared" si="55"/>
        <v>0.35274357880698143</v>
      </c>
      <c r="F139" s="734">
        <f t="shared" si="55"/>
        <v>0</v>
      </c>
      <c r="G139" s="734">
        <f t="shared" si="55"/>
        <v>0</v>
      </c>
      <c r="H139" s="734">
        <f t="shared" si="55"/>
        <v>0</v>
      </c>
      <c r="I139" s="734">
        <f t="shared" si="55"/>
        <v>0</v>
      </c>
      <c r="J139" s="734">
        <f t="shared" si="55"/>
        <v>0</v>
      </c>
      <c r="K139" s="734">
        <f t="shared" si="55"/>
        <v>0</v>
      </c>
      <c r="L139" s="734">
        <f t="shared" si="55"/>
        <v>5.3432735536723973E-2</v>
      </c>
      <c r="M139" s="734">
        <f t="shared" si="55"/>
        <v>7.4256182990988994E-3</v>
      </c>
      <c r="N139" s="734">
        <f t="shared" si="55"/>
        <v>3.6157990446089847E-3</v>
      </c>
      <c r="O139" s="734">
        <f t="shared" si="55"/>
        <v>1.0885692635497786</v>
      </c>
      <c r="P139" s="734">
        <f t="shared" si="55"/>
        <v>0</v>
      </c>
      <c r="Q139" s="734">
        <f t="shared" si="55"/>
        <v>0</v>
      </c>
      <c r="R139" s="734">
        <f t="shared" si="55"/>
        <v>0</v>
      </c>
      <c r="S139" s="734">
        <f t="shared" si="55"/>
        <v>0</v>
      </c>
      <c r="T139" s="734">
        <f t="shared" si="33"/>
        <v>1.6256604715910803</v>
      </c>
    </row>
    <row r="140" spans="1:23" hidden="1">
      <c r="A140" s="613">
        <f t="shared" si="38"/>
        <v>4</v>
      </c>
      <c r="B140" s="613" t="s">
        <v>358</v>
      </c>
      <c r="C140" s="734">
        <f t="shared" si="31"/>
        <v>0.1</v>
      </c>
      <c r="D140" s="734">
        <f t="shared" ref="D140:S140" si="56">IF(INDEX(D$49:D$53,$A140)&gt;0,D31*INDEX(D$99:D$103,$A140)/INDEX(D$49:D$53,$A140),0)</f>
        <v>9.9367381769442847E-2</v>
      </c>
      <c r="E140" s="734">
        <f t="shared" si="56"/>
        <v>0</v>
      </c>
      <c r="F140" s="734">
        <f t="shared" si="56"/>
        <v>0</v>
      </c>
      <c r="G140" s="734">
        <f t="shared" si="56"/>
        <v>0</v>
      </c>
      <c r="H140" s="734">
        <f t="shared" si="56"/>
        <v>0</v>
      </c>
      <c r="I140" s="734">
        <f t="shared" si="56"/>
        <v>0</v>
      </c>
      <c r="J140" s="734">
        <f t="shared" si="56"/>
        <v>0</v>
      </c>
      <c r="K140" s="734">
        <f t="shared" si="56"/>
        <v>0</v>
      </c>
      <c r="L140" s="734">
        <f t="shared" si="56"/>
        <v>0</v>
      </c>
      <c r="M140" s="734">
        <f t="shared" si="56"/>
        <v>0</v>
      </c>
      <c r="N140" s="734">
        <f t="shared" si="56"/>
        <v>0</v>
      </c>
      <c r="O140" s="734">
        <f t="shared" si="56"/>
        <v>0.21771385270995575</v>
      </c>
      <c r="P140" s="734">
        <f t="shared" si="56"/>
        <v>0</v>
      </c>
      <c r="Q140" s="734">
        <f t="shared" si="56"/>
        <v>0</v>
      </c>
      <c r="R140" s="734">
        <f t="shared" si="56"/>
        <v>0</v>
      </c>
      <c r="S140" s="734">
        <f t="shared" si="56"/>
        <v>0</v>
      </c>
      <c r="T140" s="734">
        <f t="shared" si="33"/>
        <v>0.4170812344793986</v>
      </c>
    </row>
    <row r="141" spans="1:23" hidden="1">
      <c r="A141" s="613">
        <f t="shared" si="38"/>
        <v>4</v>
      </c>
      <c r="B141" s="613" t="s">
        <v>540</v>
      </c>
      <c r="C141" s="734">
        <f t="shared" si="31"/>
        <v>1</v>
      </c>
      <c r="D141" s="734">
        <f t="shared" ref="D141:S141" si="57">IF(INDEX(D$49:D$53,$A141)&gt;0,D32*INDEX(D$99:D$103,$A141)/INDEX(D$49:D$53,$A141),0)</f>
        <v>0</v>
      </c>
      <c r="E141" s="734">
        <f t="shared" si="57"/>
        <v>0</v>
      </c>
      <c r="F141" s="734">
        <f t="shared" si="57"/>
        <v>0</v>
      </c>
      <c r="G141" s="734">
        <f t="shared" si="57"/>
        <v>0</v>
      </c>
      <c r="H141" s="734">
        <f t="shared" si="57"/>
        <v>0</v>
      </c>
      <c r="I141" s="734">
        <f t="shared" si="57"/>
        <v>0</v>
      </c>
      <c r="J141" s="734">
        <f t="shared" si="57"/>
        <v>0</v>
      </c>
      <c r="K141" s="734">
        <f t="shared" si="57"/>
        <v>0</v>
      </c>
      <c r="L141" s="734">
        <f t="shared" si="57"/>
        <v>0</v>
      </c>
      <c r="M141" s="734">
        <f t="shared" si="57"/>
        <v>0</v>
      </c>
      <c r="N141" s="734">
        <f t="shared" si="57"/>
        <v>0</v>
      </c>
      <c r="O141" s="734">
        <f t="shared" si="57"/>
        <v>0</v>
      </c>
      <c r="P141" s="734">
        <f t="shared" si="57"/>
        <v>0</v>
      </c>
      <c r="Q141" s="734">
        <f t="shared" si="57"/>
        <v>0</v>
      </c>
      <c r="R141" s="734">
        <f t="shared" si="57"/>
        <v>0</v>
      </c>
      <c r="S141" s="734">
        <f t="shared" si="57"/>
        <v>0</v>
      </c>
      <c r="T141" s="734">
        <f t="shared" si="33"/>
        <v>1</v>
      </c>
    </row>
    <row r="142" spans="1:23" hidden="1">
      <c r="A142" s="613">
        <f t="shared" si="38"/>
        <v>4</v>
      </c>
      <c r="B142" s="613" t="s">
        <v>354</v>
      </c>
      <c r="C142" s="734">
        <f t="shared" si="31"/>
        <v>0.1</v>
      </c>
      <c r="D142" s="734">
        <f t="shared" ref="D142:S142" si="58">IF(INDEX(D$49:D$53,$A142)&gt;0,D33*INDEX(D$99:D$103,$A142)/INDEX(D$49:D$53,$A142),0)</f>
        <v>0.11261636600536856</v>
      </c>
      <c r="E142" s="734">
        <f t="shared" si="58"/>
        <v>0</v>
      </c>
      <c r="F142" s="734">
        <f t="shared" si="58"/>
        <v>0</v>
      </c>
      <c r="G142" s="734">
        <f t="shared" si="58"/>
        <v>0</v>
      </c>
      <c r="H142" s="734">
        <f t="shared" si="58"/>
        <v>0</v>
      </c>
      <c r="I142" s="734">
        <f t="shared" si="58"/>
        <v>0</v>
      </c>
      <c r="J142" s="734">
        <f t="shared" si="58"/>
        <v>0</v>
      </c>
      <c r="K142" s="734">
        <f t="shared" si="58"/>
        <v>0</v>
      </c>
      <c r="L142" s="734">
        <f t="shared" si="58"/>
        <v>0</v>
      </c>
      <c r="M142" s="734">
        <f t="shared" si="58"/>
        <v>0</v>
      </c>
      <c r="N142" s="734">
        <f t="shared" si="58"/>
        <v>0</v>
      </c>
      <c r="O142" s="734">
        <f t="shared" si="58"/>
        <v>0</v>
      </c>
      <c r="P142" s="734">
        <f t="shared" si="58"/>
        <v>0</v>
      </c>
      <c r="Q142" s="734">
        <f t="shared" si="58"/>
        <v>0</v>
      </c>
      <c r="R142" s="734">
        <f t="shared" si="58"/>
        <v>0</v>
      </c>
      <c r="S142" s="734">
        <f t="shared" si="58"/>
        <v>0</v>
      </c>
      <c r="T142" s="734">
        <f t="shared" si="33"/>
        <v>0.21261636600536857</v>
      </c>
    </row>
    <row r="143" spans="1:23" hidden="1">
      <c r="A143" s="613">
        <f t="shared" si="38"/>
        <v>4</v>
      </c>
      <c r="B143" s="613" t="s">
        <v>535</v>
      </c>
      <c r="C143" s="734">
        <f t="shared" si="31"/>
        <v>0.4</v>
      </c>
      <c r="D143" s="734">
        <f t="shared" ref="D143:S143" si="59">IF(INDEX(D$49:D$53,$A143)&gt;0,D34*INDEX(D$99:D$103,$A143)/INDEX(D$49:D$53,$A143),0)</f>
        <v>3.312246058981428E-2</v>
      </c>
      <c r="E143" s="734">
        <f t="shared" si="59"/>
        <v>0.35274357880698143</v>
      </c>
      <c r="F143" s="734">
        <f t="shared" si="59"/>
        <v>0</v>
      </c>
      <c r="G143" s="734">
        <f t="shared" si="59"/>
        <v>0</v>
      </c>
      <c r="H143" s="734">
        <f t="shared" si="59"/>
        <v>0</v>
      </c>
      <c r="I143" s="734">
        <f t="shared" si="59"/>
        <v>0</v>
      </c>
      <c r="J143" s="734">
        <f t="shared" si="59"/>
        <v>0</v>
      </c>
      <c r="K143" s="734">
        <f t="shared" si="59"/>
        <v>0</v>
      </c>
      <c r="L143" s="734">
        <f t="shared" si="59"/>
        <v>0.14961165950282712</v>
      </c>
      <c r="M143" s="734">
        <f t="shared" si="59"/>
        <v>7.4256182990988994E-3</v>
      </c>
      <c r="N143" s="734">
        <f t="shared" si="59"/>
        <v>2.5310593312262895E-3</v>
      </c>
      <c r="O143" s="734">
        <f t="shared" si="59"/>
        <v>2.1771385270995574E-2</v>
      </c>
      <c r="P143" s="734">
        <f t="shared" si="59"/>
        <v>0</v>
      </c>
      <c r="Q143" s="734">
        <f t="shared" si="59"/>
        <v>0</v>
      </c>
      <c r="R143" s="734">
        <f t="shared" si="59"/>
        <v>0</v>
      </c>
      <c r="S143" s="734">
        <f t="shared" si="59"/>
        <v>0</v>
      </c>
      <c r="T143" s="734">
        <f t="shared" si="33"/>
        <v>0.96720576180094375</v>
      </c>
    </row>
    <row r="144" spans="1:23" hidden="1">
      <c r="A144" s="613">
        <f t="shared" si="38"/>
        <v>4</v>
      </c>
      <c r="B144" s="613" t="s">
        <v>973</v>
      </c>
      <c r="C144" s="734">
        <f t="shared" si="31"/>
        <v>0.96</v>
      </c>
      <c r="D144" s="734">
        <f t="shared" ref="D144:S144" si="60">IF(INDEX(D$49:D$53,$A144)&gt;0,D35*INDEX(D$99:D$103,$A144)/INDEX(D$49:D$53,$A144),0)</f>
        <v>0</v>
      </c>
      <c r="E144" s="734">
        <f t="shared" si="60"/>
        <v>0.14109743152279255</v>
      </c>
      <c r="F144" s="734">
        <f t="shared" si="60"/>
        <v>0</v>
      </c>
      <c r="G144" s="734">
        <f t="shared" si="60"/>
        <v>0</v>
      </c>
      <c r="H144" s="734">
        <f t="shared" si="60"/>
        <v>0</v>
      </c>
      <c r="I144" s="734">
        <f t="shared" si="60"/>
        <v>0</v>
      </c>
      <c r="J144" s="734">
        <f t="shared" si="60"/>
        <v>0</v>
      </c>
      <c r="K144" s="734">
        <f t="shared" si="60"/>
        <v>0</v>
      </c>
      <c r="L144" s="734">
        <f t="shared" si="60"/>
        <v>0</v>
      </c>
      <c r="M144" s="734">
        <f t="shared" si="60"/>
        <v>1.4851236598197798E-3</v>
      </c>
      <c r="N144" s="734">
        <f t="shared" si="60"/>
        <v>0</v>
      </c>
      <c r="O144" s="734">
        <f t="shared" si="60"/>
        <v>2.1771385270995574E-2</v>
      </c>
      <c r="P144" s="734">
        <f t="shared" si="60"/>
        <v>0</v>
      </c>
      <c r="Q144" s="734">
        <f t="shared" si="60"/>
        <v>0</v>
      </c>
      <c r="R144" s="734">
        <f t="shared" si="60"/>
        <v>0</v>
      </c>
      <c r="S144" s="734">
        <f t="shared" si="60"/>
        <v>0</v>
      </c>
      <c r="T144" s="734">
        <f t="shared" si="33"/>
        <v>1.1243539404536078</v>
      </c>
    </row>
    <row r="145" spans="1:20" hidden="1">
      <c r="A145" s="613">
        <f t="shared" si="38"/>
        <v>4</v>
      </c>
      <c r="B145" s="613" t="s">
        <v>974</v>
      </c>
      <c r="C145" s="734">
        <f t="shared" si="31"/>
        <v>0</v>
      </c>
      <c r="D145" s="734">
        <f t="shared" ref="D145:S145" si="61">IF(INDEX(D$49:D$53,$A145)&gt;0,D36*INDEX(D$99:D$103,$A145)/INDEX(D$49:D$53,$A145),0)</f>
        <v>5.2995936943702852E-2</v>
      </c>
      <c r="E145" s="734">
        <f t="shared" si="61"/>
        <v>0</v>
      </c>
      <c r="F145" s="734">
        <f t="shared" si="61"/>
        <v>0</v>
      </c>
      <c r="G145" s="734">
        <f t="shared" si="61"/>
        <v>0</v>
      </c>
      <c r="H145" s="734">
        <f t="shared" si="61"/>
        <v>0</v>
      </c>
      <c r="I145" s="734">
        <f t="shared" si="61"/>
        <v>0</v>
      </c>
      <c r="J145" s="734">
        <f t="shared" si="61"/>
        <v>0</v>
      </c>
      <c r="K145" s="734">
        <f t="shared" si="61"/>
        <v>0</v>
      </c>
      <c r="L145" s="734">
        <f t="shared" si="61"/>
        <v>0.10686547107344795</v>
      </c>
      <c r="M145" s="734">
        <f t="shared" si="61"/>
        <v>4.4553709794593393E-3</v>
      </c>
      <c r="N145" s="734">
        <f t="shared" si="61"/>
        <v>7.2315980892179697E-4</v>
      </c>
      <c r="O145" s="734">
        <f t="shared" si="61"/>
        <v>0</v>
      </c>
      <c r="P145" s="734">
        <f t="shared" si="61"/>
        <v>0</v>
      </c>
      <c r="Q145" s="734">
        <f t="shared" si="61"/>
        <v>3.7493806301108788E-2</v>
      </c>
      <c r="R145" s="734">
        <f t="shared" si="61"/>
        <v>0</v>
      </c>
      <c r="S145" s="734">
        <f t="shared" si="61"/>
        <v>0.68673417935220027</v>
      </c>
      <c r="T145" s="734">
        <f t="shared" si="33"/>
        <v>0.88926792445884095</v>
      </c>
    </row>
    <row r="146" spans="1:20" hidden="1">
      <c r="A146" s="613">
        <f t="shared" si="38"/>
        <v>5</v>
      </c>
      <c r="B146" s="613" t="s">
        <v>341</v>
      </c>
      <c r="C146" s="734">
        <f t="shared" si="31"/>
        <v>0</v>
      </c>
      <c r="D146" s="734">
        <f t="shared" ref="D146:S146" si="62">IF(INDEX(D$49:D$53,$A146)&gt;0,D37*INDEX(D$99:D$103,$A146)/INDEX(D$49:D$53,$A146),0)</f>
        <v>0.1769343077177104</v>
      </c>
      <c r="E146" s="734">
        <f t="shared" si="62"/>
        <v>0.13753460358798514</v>
      </c>
      <c r="F146" s="734">
        <f t="shared" si="62"/>
        <v>0</v>
      </c>
      <c r="G146" s="734">
        <f t="shared" si="62"/>
        <v>0</v>
      </c>
      <c r="H146" s="734">
        <f t="shared" si="62"/>
        <v>0</v>
      </c>
      <c r="I146" s="734">
        <f t="shared" si="62"/>
        <v>0</v>
      </c>
      <c r="J146" s="734">
        <f t="shared" si="62"/>
        <v>0</v>
      </c>
      <c r="K146" s="734">
        <f t="shared" si="62"/>
        <v>0</v>
      </c>
      <c r="L146" s="734">
        <f t="shared" si="62"/>
        <v>0</v>
      </c>
      <c r="M146" s="734">
        <f t="shared" si="62"/>
        <v>4.1916219311141929E-2</v>
      </c>
      <c r="N146" s="734">
        <f t="shared" si="62"/>
        <v>0</v>
      </c>
      <c r="O146" s="734">
        <f t="shared" si="62"/>
        <v>0</v>
      </c>
      <c r="P146" s="734">
        <f t="shared" si="62"/>
        <v>0</v>
      </c>
      <c r="Q146" s="734">
        <f t="shared" si="62"/>
        <v>0</v>
      </c>
      <c r="R146" s="734">
        <f t="shared" si="62"/>
        <v>0</v>
      </c>
      <c r="S146" s="734">
        <f t="shared" si="62"/>
        <v>0</v>
      </c>
      <c r="T146" s="734">
        <f t="shared" si="33"/>
        <v>0.35638513061683746</v>
      </c>
    </row>
    <row r="147" spans="1:20" hidden="1">
      <c r="A147" s="613">
        <f t="shared" si="38"/>
        <v>5</v>
      </c>
      <c r="B147" s="613" t="s">
        <v>342</v>
      </c>
      <c r="C147" s="734">
        <f t="shared" si="31"/>
        <v>0.94072970322020344</v>
      </c>
      <c r="D147" s="734">
        <f t="shared" ref="D147:S147" si="63">IF(INDEX(D$49:D$53,$A147)&gt;0,D38*INDEX(D$99:D$103,$A147)/INDEX(D$49:D$53,$A147),0)</f>
        <v>0</v>
      </c>
      <c r="E147" s="734">
        <f t="shared" si="63"/>
        <v>0</v>
      </c>
      <c r="F147" s="734">
        <f t="shared" si="63"/>
        <v>0</v>
      </c>
      <c r="G147" s="734">
        <f t="shared" si="63"/>
        <v>0</v>
      </c>
      <c r="H147" s="734">
        <f t="shared" si="63"/>
        <v>0</v>
      </c>
      <c r="I147" s="734">
        <f t="shared" si="63"/>
        <v>0</v>
      </c>
      <c r="J147" s="734">
        <f t="shared" si="63"/>
        <v>0</v>
      </c>
      <c r="K147" s="734">
        <f t="shared" si="63"/>
        <v>0</v>
      </c>
      <c r="L147" s="734">
        <f t="shared" si="63"/>
        <v>0</v>
      </c>
      <c r="M147" s="734">
        <f t="shared" si="63"/>
        <v>0</v>
      </c>
      <c r="N147" s="734">
        <f t="shared" si="63"/>
        <v>0</v>
      </c>
      <c r="O147" s="734">
        <f t="shared" si="63"/>
        <v>0</v>
      </c>
      <c r="P147" s="734">
        <f t="shared" si="63"/>
        <v>0</v>
      </c>
      <c r="Q147" s="734">
        <f t="shared" si="63"/>
        <v>0</v>
      </c>
      <c r="R147" s="734">
        <f t="shared" si="63"/>
        <v>0</v>
      </c>
      <c r="S147" s="734">
        <f t="shared" si="63"/>
        <v>0</v>
      </c>
      <c r="T147" s="734">
        <f t="shared" si="33"/>
        <v>0.94072970322020344</v>
      </c>
    </row>
    <row r="148" spans="1:20" hidden="1">
      <c r="A148" s="613">
        <f t="shared" si="38"/>
        <v>5</v>
      </c>
      <c r="B148" s="613" t="s">
        <v>343</v>
      </c>
      <c r="C148" s="734">
        <f t="shared" si="31"/>
        <v>0</v>
      </c>
      <c r="D148" s="734">
        <f t="shared" ref="D148:S148" si="64">IF(INDEX(D$49:D$53,$A148)&gt;0,D39*INDEX(D$99:D$103,$A148)/INDEX(D$49:D$53,$A148),0)</f>
        <v>0.1769343077177104</v>
      </c>
      <c r="E148" s="734">
        <f t="shared" si="64"/>
        <v>0</v>
      </c>
      <c r="F148" s="734">
        <f t="shared" si="64"/>
        <v>0</v>
      </c>
      <c r="G148" s="734">
        <f t="shared" si="64"/>
        <v>9.3437363943829257E-3</v>
      </c>
      <c r="H148" s="734">
        <f t="shared" si="64"/>
        <v>0</v>
      </c>
      <c r="I148" s="734">
        <f t="shared" si="64"/>
        <v>0</v>
      </c>
      <c r="J148" s="734">
        <f t="shared" si="64"/>
        <v>0</v>
      </c>
      <c r="K148" s="734">
        <f t="shared" si="64"/>
        <v>0</v>
      </c>
      <c r="L148" s="734">
        <f t="shared" si="64"/>
        <v>9.7972636330593679E-2</v>
      </c>
      <c r="M148" s="734">
        <f t="shared" si="64"/>
        <v>0</v>
      </c>
      <c r="N148" s="734">
        <f t="shared" si="64"/>
        <v>0</v>
      </c>
      <c r="O148" s="734">
        <f t="shared" si="64"/>
        <v>0</v>
      </c>
      <c r="P148" s="734">
        <f t="shared" si="64"/>
        <v>0</v>
      </c>
      <c r="Q148" s="734">
        <f t="shared" si="64"/>
        <v>9.8533490629685042E-2</v>
      </c>
      <c r="R148" s="734">
        <f t="shared" si="64"/>
        <v>0</v>
      </c>
      <c r="S148" s="734">
        <f t="shared" si="64"/>
        <v>0</v>
      </c>
      <c r="T148" s="734">
        <f t="shared" si="33"/>
        <v>0.38278417107237206</v>
      </c>
    </row>
    <row r="149" spans="1:20" hidden="1">
      <c r="A149" s="613">
        <f t="shared" si="38"/>
        <v>5</v>
      </c>
      <c r="B149" s="613" t="s">
        <v>344</v>
      </c>
      <c r="C149" s="734">
        <f t="shared" si="31"/>
        <v>0</v>
      </c>
      <c r="D149" s="734">
        <f t="shared" ref="D149:S149" si="65">IF(INDEX(D$49:D$53,$A149)&gt;0,D40*INDEX(D$99:D$103,$A149)/INDEX(D$49:D$53,$A149),0)</f>
        <v>0.22116788464713799</v>
      </c>
      <c r="E149" s="734">
        <f t="shared" si="65"/>
        <v>0.11002768287038811</v>
      </c>
      <c r="F149" s="734">
        <f t="shared" si="65"/>
        <v>0</v>
      </c>
      <c r="G149" s="734">
        <f t="shared" si="65"/>
        <v>0</v>
      </c>
      <c r="H149" s="734">
        <f t="shared" si="65"/>
        <v>0</v>
      </c>
      <c r="I149" s="734">
        <f t="shared" si="65"/>
        <v>0</v>
      </c>
      <c r="J149" s="734">
        <f t="shared" si="65"/>
        <v>0</v>
      </c>
      <c r="K149" s="734">
        <f t="shared" si="65"/>
        <v>0</v>
      </c>
      <c r="L149" s="734">
        <f t="shared" si="65"/>
        <v>0</v>
      </c>
      <c r="M149" s="734">
        <f t="shared" si="65"/>
        <v>3.5928187980978799E-2</v>
      </c>
      <c r="N149" s="734">
        <f t="shared" si="65"/>
        <v>0</v>
      </c>
      <c r="O149" s="734">
        <f t="shared" si="65"/>
        <v>0</v>
      </c>
      <c r="P149" s="734">
        <f t="shared" si="65"/>
        <v>0</v>
      </c>
      <c r="Q149" s="734">
        <f t="shared" si="65"/>
        <v>0</v>
      </c>
      <c r="R149" s="734">
        <f t="shared" si="65"/>
        <v>0</v>
      </c>
      <c r="S149" s="734">
        <f t="shared" si="65"/>
        <v>0</v>
      </c>
      <c r="T149" s="734">
        <f t="shared" si="33"/>
        <v>0.3671237554985049</v>
      </c>
    </row>
    <row r="150" spans="1:20" hidden="1">
      <c r="A150" s="613">
        <f t="shared" si="38"/>
        <v>5</v>
      </c>
      <c r="B150" s="613" t="s">
        <v>345</v>
      </c>
      <c r="C150" s="734">
        <f t="shared" si="31"/>
        <v>0.11288756438642442</v>
      </c>
      <c r="D150" s="734">
        <f t="shared" ref="D150:S150" si="66">IF(INDEX(D$49:D$53,$A150)&gt;0,D41*INDEX(D$99:D$103,$A150)/INDEX(D$49:D$53,$A150),0)</f>
        <v>0.15039416156005384</v>
      </c>
      <c r="E150" s="734">
        <f t="shared" si="66"/>
        <v>2.7506920717597028E-2</v>
      </c>
      <c r="F150" s="734">
        <f t="shared" si="66"/>
        <v>0</v>
      </c>
      <c r="G150" s="734">
        <f t="shared" si="66"/>
        <v>5.6062418366297547E-3</v>
      </c>
      <c r="H150" s="734">
        <f t="shared" si="66"/>
        <v>0</v>
      </c>
      <c r="I150" s="734">
        <f t="shared" si="66"/>
        <v>0</v>
      </c>
      <c r="J150" s="734">
        <f t="shared" si="66"/>
        <v>0</v>
      </c>
      <c r="K150" s="734">
        <f t="shared" si="66"/>
        <v>0</v>
      </c>
      <c r="L150" s="734">
        <f t="shared" si="66"/>
        <v>4.3107959985461214E-2</v>
      </c>
      <c r="M150" s="734">
        <f t="shared" si="66"/>
        <v>2.3952125320652533E-2</v>
      </c>
      <c r="N150" s="734">
        <f t="shared" si="66"/>
        <v>0</v>
      </c>
      <c r="O150" s="734">
        <f t="shared" si="66"/>
        <v>0</v>
      </c>
      <c r="P150" s="734">
        <f t="shared" si="66"/>
        <v>0</v>
      </c>
      <c r="Q150" s="734">
        <f t="shared" si="66"/>
        <v>1.9706698125937006E-2</v>
      </c>
      <c r="R150" s="734">
        <f t="shared" si="66"/>
        <v>0</v>
      </c>
      <c r="S150" s="734">
        <f t="shared" si="66"/>
        <v>0</v>
      </c>
      <c r="T150" s="734">
        <f t="shared" si="33"/>
        <v>0.38316167193275585</v>
      </c>
    </row>
    <row r="151" spans="1:20" hidden="1">
      <c r="A151" s="613">
        <f t="shared" si="38"/>
        <v>5</v>
      </c>
      <c r="B151" s="613" t="s">
        <v>970</v>
      </c>
      <c r="C151" s="734">
        <f t="shared" si="31"/>
        <v>0.94072970322020344</v>
      </c>
      <c r="D151" s="734">
        <f t="shared" ref="D151:S151" si="67">IF(INDEX(D$49:D$53,$A151)&gt;0,D42*INDEX(D$99:D$103,$A151)/INDEX(D$49:D$53,$A151),0)</f>
        <v>0</v>
      </c>
      <c r="E151" s="734">
        <f t="shared" si="67"/>
        <v>0</v>
      </c>
      <c r="F151" s="734">
        <f t="shared" si="67"/>
        <v>0</v>
      </c>
      <c r="G151" s="734">
        <f t="shared" si="67"/>
        <v>0</v>
      </c>
      <c r="H151" s="734">
        <f t="shared" si="67"/>
        <v>0</v>
      </c>
      <c r="I151" s="734">
        <f t="shared" si="67"/>
        <v>0</v>
      </c>
      <c r="J151" s="734">
        <f t="shared" si="67"/>
        <v>0</v>
      </c>
      <c r="K151" s="734">
        <f t="shared" si="67"/>
        <v>0</v>
      </c>
      <c r="L151" s="734">
        <f t="shared" si="67"/>
        <v>0</v>
      </c>
      <c r="M151" s="734">
        <f t="shared" si="67"/>
        <v>0</v>
      </c>
      <c r="N151" s="734">
        <f t="shared" si="67"/>
        <v>0</v>
      </c>
      <c r="O151" s="734">
        <f t="shared" si="67"/>
        <v>0</v>
      </c>
      <c r="P151" s="734">
        <f t="shared" si="67"/>
        <v>0</v>
      </c>
      <c r="Q151" s="734">
        <f t="shared" si="67"/>
        <v>0</v>
      </c>
      <c r="R151" s="734">
        <f t="shared" si="67"/>
        <v>0</v>
      </c>
      <c r="S151" s="734">
        <f t="shared" si="67"/>
        <v>0</v>
      </c>
      <c r="T151" s="734">
        <f t="shared" si="33"/>
        <v>0.94072970322020344</v>
      </c>
    </row>
    <row r="152" spans="1:20" hidden="1">
      <c r="A152" s="613">
        <f t="shared" si="38"/>
        <v>5</v>
      </c>
      <c r="B152" s="613" t="s">
        <v>971</v>
      </c>
      <c r="C152" s="734">
        <f t="shared" si="31"/>
        <v>0</v>
      </c>
      <c r="D152" s="734">
        <f t="shared" ref="D152:S152" si="68">IF(INDEX(D$49:D$53,$A152)&gt;0,D43*INDEX(D$99:D$103,$A152)/INDEX(D$49:D$53,$A152),0)</f>
        <v>8.4043796165912441E-2</v>
      </c>
      <c r="E152" s="734">
        <f t="shared" si="68"/>
        <v>5.5013841435194053E-3</v>
      </c>
      <c r="F152" s="734">
        <f t="shared" si="68"/>
        <v>0</v>
      </c>
      <c r="G152" s="734">
        <f t="shared" si="68"/>
        <v>1.0838734217484195E-2</v>
      </c>
      <c r="H152" s="734">
        <f t="shared" si="68"/>
        <v>0</v>
      </c>
      <c r="I152" s="734">
        <f t="shared" si="68"/>
        <v>0</v>
      </c>
      <c r="J152" s="734">
        <f t="shared" si="68"/>
        <v>0</v>
      </c>
      <c r="K152" s="734">
        <f t="shared" si="68"/>
        <v>3.7174285456501123E-2</v>
      </c>
      <c r="L152" s="734">
        <f t="shared" si="68"/>
        <v>1.5675621812894988E-2</v>
      </c>
      <c r="M152" s="734">
        <f t="shared" si="68"/>
        <v>1.1976062660326266E-3</v>
      </c>
      <c r="N152" s="734">
        <f t="shared" si="68"/>
        <v>0</v>
      </c>
      <c r="O152" s="734">
        <f t="shared" si="68"/>
        <v>0</v>
      </c>
      <c r="P152" s="734">
        <f t="shared" si="68"/>
        <v>0</v>
      </c>
      <c r="Q152" s="734">
        <f t="shared" si="68"/>
        <v>0.90650811379310225</v>
      </c>
      <c r="R152" s="734">
        <f t="shared" si="68"/>
        <v>0</v>
      </c>
      <c r="S152" s="734">
        <f t="shared" si="68"/>
        <v>5.9485303472167822E-2</v>
      </c>
      <c r="T152" s="734">
        <f t="shared" si="33"/>
        <v>1.1204248453276149</v>
      </c>
    </row>
    <row r="153" spans="1:20" hidden="1"/>
    <row r="154" spans="1:20" hidden="1"/>
    <row r="155" spans="1:20" hidden="1">
      <c r="B155" s="612" t="s">
        <v>256</v>
      </c>
    </row>
    <row r="156" spans="1:20" hidden="1">
      <c r="C156" s="613" t="s">
        <v>905</v>
      </c>
      <c r="D156" s="613" t="s">
        <v>906</v>
      </c>
      <c r="E156" s="613" t="s">
        <v>907</v>
      </c>
      <c r="F156" s="613" t="s">
        <v>908</v>
      </c>
      <c r="G156" s="613" t="s">
        <v>909</v>
      </c>
      <c r="H156" s="613" t="s">
        <v>910</v>
      </c>
      <c r="I156" s="613" t="s">
        <v>911</v>
      </c>
      <c r="J156" s="613" t="s">
        <v>912</v>
      </c>
      <c r="K156" s="613" t="s">
        <v>1150</v>
      </c>
      <c r="L156" s="613" t="s">
        <v>913</v>
      </c>
      <c r="M156" s="613" t="s">
        <v>826</v>
      </c>
      <c r="N156" s="613" t="s">
        <v>914</v>
      </c>
      <c r="O156" s="613" t="s">
        <v>915</v>
      </c>
      <c r="P156" s="613" t="s">
        <v>916</v>
      </c>
      <c r="Q156" s="613" t="s">
        <v>917</v>
      </c>
      <c r="R156" s="613" t="s">
        <v>950</v>
      </c>
      <c r="S156" s="613" t="s">
        <v>946</v>
      </c>
      <c r="T156" s="613" t="s">
        <v>888</v>
      </c>
    </row>
    <row r="157" spans="1:20" hidden="1">
      <c r="A157" s="613">
        <v>1</v>
      </c>
      <c r="B157" s="613" t="s">
        <v>568</v>
      </c>
      <c r="C157" s="634">
        <f t="array" aca="1" ref="C157" ca="1">SUM(IF($A$118:$A$152=$A157,C$118:C$152/$T$118:$T$152*Driver2!$R$58:$R$92))</f>
        <v>18.431806349400269</v>
      </c>
      <c r="D157" s="634">
        <f t="array" aca="1" ref="D157" ca="1">SUM(IF($A$118:$A$152=$A157,D$118:D$152/$T$118:$T$152*Driver2!$R$58:$R$85))</f>
        <v>3.7975714742001458</v>
      </c>
      <c r="E157" s="634">
        <f t="array" aca="1" ref="E157" ca="1">SUM(IF($A$118:$A$152=$A157,E$118:E$152/$T$118:$T$152*Driver2!$R$58:$R$85))</f>
        <v>3.1949001746990389</v>
      </c>
      <c r="F157" s="634">
        <f t="array" aca="1" ref="F157" ca="1">SUM(IF($A$118:$A$152=$A157,F$118:F$152/$T$118:$T$152*Driver2!$R$58:$R$85))</f>
        <v>0</v>
      </c>
      <c r="G157" s="634">
        <f t="array" aca="1" ref="G157" ca="1">SUM(IF($A$118:$A$152=$A157,G$118:G$152/$T$118:$T$152*Driver2!$R$58:$R$85))</f>
        <v>1.6490675617115831</v>
      </c>
      <c r="H157" s="634">
        <f t="array" aca="1" ref="H157" ca="1">SUM(IF($A$118:$A$152=$A157,H$118:H$152/$T$118:$T$152*Driver2!$R$58:$R$85))</f>
        <v>7.5997712949455449</v>
      </c>
      <c r="I157" s="634">
        <f t="array" aca="1" ref="I157" ca="1">SUM(IF($A$118:$A$152=$A157,I$118:I$152/$T$118:$T$152*Driver2!$R$58:$R$85))</f>
        <v>3.2895197583726334</v>
      </c>
      <c r="J157" s="634">
        <f t="array" aca="1" ref="J157" ca="1">SUM(IF($A$118:$A$152=$A157,J$118:J$152/$T$118:$T$152*Driver2!$R$58:$R$85))</f>
        <v>3.2286980810423032</v>
      </c>
      <c r="K157" s="634">
        <f t="array" aca="1" ref="K157" ca="1">SUM(IF($A$118:$A$152=$A157,K$118:K$152/$T$118:$T$152*Driver2!$R$58:$R$85))</f>
        <v>0</v>
      </c>
      <c r="L157" s="634">
        <f t="array" aca="1" ref="L157" ca="1">SUM(IF($A$118:$A$152=$A157,L$118:L$152/$T$118:$T$152*Driver2!$R$58:$R$85))</f>
        <v>6.1147458196780802E-2</v>
      </c>
      <c r="M157" s="634">
        <f t="array" aca="1" ref="M157" ca="1">SUM(IF($A$118:$A$152=$A157,M$118:M$152/$T$118:$T$152*Driver2!$R$58:$R$85))</f>
        <v>0.11211391236025324</v>
      </c>
      <c r="N157" s="634">
        <f t="array" aca="1" ref="N157" ca="1">SUM(IF($A$118:$A$152=$A157,N$118:N$152/$T$118:$T$152*Driver2!$R$58:$R$85))</f>
        <v>0</v>
      </c>
      <c r="O157" s="634">
        <f t="array" aca="1" ref="O157" ca="1">SUM(IF($A$118:$A$152=$A157,O$118:O$152/$T$118:$T$152*Driver2!$R$58:$R$85))</f>
        <v>0</v>
      </c>
      <c r="P157" s="634">
        <f t="array" aca="1" ref="P157" ca="1">SUM(IF($A$118:$A$152=$A157,P$118:P$152/$T$118:$T$152*Driver2!$R$58:$R$85))</f>
        <v>0</v>
      </c>
      <c r="Q157" s="634">
        <f t="array" aca="1" ref="Q157" ca="1">SUM(IF($A$118:$A$152=$A157,Q$118:Q$152/$T$118:$T$152*Driver2!$R$58:$R$85))</f>
        <v>6.2076769223333272E-2</v>
      </c>
      <c r="R157" s="634">
        <f t="array" aca="1" ref="R157" ca="1">SUM(IF($A$118:$A$152=$A157,R$118:R$152/$T$118:$T$152*Driver2!$R$58:$R$85))</f>
        <v>0</v>
      </c>
      <c r="S157" s="634">
        <f t="array" aca="1" ref="S157" ca="1">SUM(IF($A$118:$A$152=$A157,S$118:S$152/$T$118:$T$152*Driver2!$R$58:$R$85))</f>
        <v>3.3861871265064085</v>
      </c>
      <c r="T157" s="634">
        <f>SUM(C157:S157)</f>
        <v>44.812859960658287</v>
      </c>
    </row>
    <row r="158" spans="1:20" hidden="1">
      <c r="A158" s="613">
        <v>2</v>
      </c>
      <c r="B158" s="613" t="s">
        <v>879</v>
      </c>
      <c r="C158" s="630">
        <f t="array" aca="1" ref="C158" ca="1">SUM(IF($A$118:$A$152=$A158,C$118:C$152/$T$118:$T$152*Driver2!$R$58:$R$85))</f>
        <v>3.5001074758212054</v>
      </c>
      <c r="D158" s="630">
        <f t="array" aca="1" ref="D158" ca="1">SUM(IF($A$118:$A$152=$A158,D$118:D$152/$T$118:$T$152*Driver2!$R$58:$R$85))</f>
        <v>1.7498041404224514</v>
      </c>
      <c r="E158" s="630">
        <f t="array" aca="1" ref="E158" ca="1">SUM(IF($A$118:$A$152=$A158,E$118:E$152/$T$118:$T$152*Driver2!$R$58:$R$85))</f>
        <v>0.40674408273511503</v>
      </c>
      <c r="F158" s="630">
        <f t="array" aca="1" ref="F158" ca="1">SUM(IF($A$118:$A$152=$A158,F$118:F$152/$T$118:$T$152*Driver2!$R$58:$R$85))</f>
        <v>0</v>
      </c>
      <c r="G158" s="630">
        <f t="array" aca="1" ref="G158" ca="1">SUM(IF($A$118:$A$152=$A158,G$118:G$152/$T$118:$T$152*Driver2!$R$58:$R$85))</f>
        <v>2.5319217253545485</v>
      </c>
      <c r="H158" s="630">
        <f t="array" aca="1" ref="H158" ca="1">SUM(IF($A$118:$A$152=$A158,H$118:H$152/$T$118:$T$152*Driver2!$R$58:$R$85))</f>
        <v>5.4241516056993976E-2</v>
      </c>
      <c r="I158" s="630">
        <f t="array" aca="1" ref="I158" ca="1">SUM(IF($A$118:$A$152=$A158,I$118:I$152/$T$118:$T$152*Driver2!$R$58:$R$85))</f>
        <v>0.20215688491493827</v>
      </c>
      <c r="J158" s="630">
        <f t="array" aca="1" ref="J158" ca="1">SUM(IF($A$118:$A$152=$A158,J$118:J$152/$T$118:$T$152*Driver2!$R$58:$R$85))</f>
        <v>0.2107344738329435</v>
      </c>
      <c r="K158" s="630">
        <f t="array" aca="1" ref="K158" ca="1">SUM(IF($A$118:$A$152=$A158,K$118:K$152/$T$118:$T$152*Driver2!$R$58:$R$85))</f>
        <v>3.0602730782015573E-3</v>
      </c>
      <c r="L158" s="630">
        <f t="array" aca="1" ref="L158" ca="1">SUM(IF($A$118:$A$152=$A158,L$118:L$152/$T$118:$T$152*Driver2!$R$58:$R$85))</f>
        <v>1.3129287439261328</v>
      </c>
      <c r="M158" s="630">
        <f t="array" aca="1" ref="M158" ca="1">SUM(IF($A$118:$A$152=$A158,M$118:M$152/$T$118:$T$152*Driver2!$R$58:$R$85))</f>
        <v>0.14907491154041233</v>
      </c>
      <c r="N158" s="630">
        <f t="array" aca="1" ref="N158" ca="1">SUM(IF($A$118:$A$152=$A158,N$118:N$152/$T$118:$T$152*Driver2!$R$58:$R$85))</f>
        <v>0</v>
      </c>
      <c r="O158" s="630">
        <f t="array" aca="1" ref="O158" ca="1">SUM(IF($A$118:$A$152=$A158,O$118:O$152/$T$118:$T$152*Driver2!$R$58:$R$85))</f>
        <v>0</v>
      </c>
      <c r="P158" s="630">
        <f t="array" aca="1" ref="P158" ca="1">SUM(IF($A$118:$A$152=$A158,P$118:P$152/$T$118:$T$152*Driver2!$R$58:$R$85))</f>
        <v>1.5683338232296911</v>
      </c>
      <c r="Q158" s="630">
        <f t="array" aca="1" ref="Q158" ca="1">SUM(IF($A$118:$A$152=$A158,Q$118:Q$152/$T$118:$T$152*Driver2!$R$58:$R$85))</f>
        <v>1.6473754295337779</v>
      </c>
      <c r="R158" s="630">
        <f t="array" aca="1" ref="R158" ca="1">SUM(IF($A$118:$A$152=$A158,R$118:R$152/$T$118:$T$152*Driver2!$R$58:$R$85))</f>
        <v>0</v>
      </c>
      <c r="S158" s="630">
        <f t="array" aca="1" ref="S158" ca="1">SUM(IF($A$118:$A$152=$A158,S$118:S$152/$T$118:$T$152*Driver2!$R$58:$R$85))</f>
        <v>0.34511799372578444</v>
      </c>
      <c r="T158" s="630">
        <f>SUM(C158:S158)</f>
        <v>13.681601474172195</v>
      </c>
    </row>
    <row r="159" spans="1:20" hidden="1">
      <c r="A159" s="613">
        <v>3</v>
      </c>
      <c r="B159" s="613" t="s">
        <v>880</v>
      </c>
      <c r="C159" s="630">
        <f t="array" aca="1" ref="C159" ca="1">SUM(IF($A$118:$A$152=$A159,C$118:C$152/$T$118:$T$152*Driver2!$R$58:$R$85))</f>
        <v>7.7143674765582828</v>
      </c>
      <c r="D159" s="630">
        <f t="array" aca="1" ref="D159" ca="1">SUM(IF($A$118:$A$152=$A159,D$118:D$152/$T$118:$T$152*Driver2!$R$58:$R$85))</f>
        <v>4.526368983470816E-2</v>
      </c>
      <c r="E159" s="630">
        <f t="array" aca="1" ref="E159" ca="1">SUM(IF($A$118:$A$152=$A159,E$118:E$152/$T$118:$T$152*Driver2!$R$58:$R$85))</f>
        <v>0.60401233299873081</v>
      </c>
      <c r="F159" s="630">
        <f t="array" aca="1" ref="F159" ca="1">SUM(IF($A$118:$A$152=$A159,F$118:F$152/$T$118:$T$152*Driver2!$R$58:$R$85))</f>
        <v>0</v>
      </c>
      <c r="G159" s="630">
        <f t="array" aca="1" ref="G159" ca="1">SUM(IF($A$118:$A$152=$A159,G$118:G$152/$T$118:$T$152*Driver2!$R$58:$R$85))</f>
        <v>2.2862599033505657E-2</v>
      </c>
      <c r="H159" s="630">
        <f t="array" aca="1" ref="H159" ca="1">SUM(IF($A$118:$A$152=$A159,H$118:H$152/$T$118:$T$152*Driver2!$R$58:$R$85))</f>
        <v>0.28540651666473776</v>
      </c>
      <c r="I159" s="630">
        <f t="array" aca="1" ref="I159" ca="1">SUM(IF($A$118:$A$152=$A159,I$118:I$152/$T$118:$T$152*Driver2!$R$58:$R$85))</f>
        <v>0</v>
      </c>
      <c r="J159" s="630">
        <f t="array" aca="1" ref="J159" ca="1">SUM(IF($A$118:$A$152=$A159,J$118:J$152/$T$118:$T$152*Driver2!$R$58:$R$85))</f>
        <v>0</v>
      </c>
      <c r="K159" s="630">
        <f t="array" aca="1" ref="K159" ca="1">SUM(IF($A$118:$A$152=$A159,K$118:K$152/$T$118:$T$152*Driver2!$R$58:$R$85))</f>
        <v>6.5503095569269879E-3</v>
      </c>
      <c r="L159" s="630">
        <f t="array" aca="1" ref="L159" ca="1">SUM(IF($A$118:$A$152=$A159,L$118:L$152/$T$118:$T$152*Driver2!$R$58:$R$85))</f>
        <v>0.38004419912776105</v>
      </c>
      <c r="M159" s="630">
        <f t="array" aca="1" ref="M159" ca="1">SUM(IF($A$118:$A$152=$A159,M$118:M$152/$T$118:$T$152*Driver2!$R$58:$R$85))</f>
        <v>0</v>
      </c>
      <c r="N159" s="630">
        <f t="array" aca="1" ref="N159" ca="1">SUM(IF($A$118:$A$152=$A159,N$118:N$152/$T$118:$T$152*Driver2!$R$58:$R$85))</f>
        <v>0</v>
      </c>
      <c r="O159" s="630">
        <f t="array" aca="1" ref="O159" ca="1">SUM(IF($A$118:$A$152=$A159,O$118:O$152/$T$118:$T$152*Driver2!$R$58:$R$85))</f>
        <v>0</v>
      </c>
      <c r="P159" s="630">
        <f t="array" aca="1" ref="P159" ca="1">SUM(IF($A$118:$A$152=$A159,P$118:P$152/$T$118:$T$152*Driver2!$R$58:$R$85))</f>
        <v>0</v>
      </c>
      <c r="Q159" s="630">
        <f t="array" aca="1" ref="Q159" ca="1">SUM(IF($A$118:$A$152=$A159,Q$118:Q$152/$T$118:$T$152*Driver2!$R$58:$R$85))</f>
        <v>1.0521228042662038E-2</v>
      </c>
      <c r="R159" s="630">
        <f t="array" aca="1" ref="R159" ca="1">SUM(IF($A$118:$A$152=$A159,R$118:R$152/$T$118:$T$152*Driver2!$R$58:$R$85))</f>
        <v>0</v>
      </c>
      <c r="S159" s="630">
        <f t="array" aca="1" ref="S159" ca="1">SUM(IF($A$118:$A$152=$A159,S$118:S$152/$T$118:$T$152*Driver2!$R$58:$R$85))</f>
        <v>2.1542189559037381</v>
      </c>
      <c r="T159" s="630">
        <f>SUM(C159:S159)</f>
        <v>11.223247307721053</v>
      </c>
    </row>
    <row r="160" spans="1:20" hidden="1">
      <c r="A160" s="613">
        <v>4</v>
      </c>
      <c r="B160" s="613" t="s">
        <v>787</v>
      </c>
      <c r="C160" s="630">
        <f t="array" aca="1" ref="C160" ca="1">SUM(IF($A$118:$A$152=$A160,C$118:C$152/$T$118:$T$152*Driver2!$R$58:$R$85))</f>
        <v>15.265515563714391</v>
      </c>
      <c r="D160" s="630">
        <f t="array" aca="1" ref="D160" ca="1">SUM(IF($A$118:$A$152=$A160,D$118:D$152/$T$118:$T$152*Driver2!$R$58:$R$85))</f>
        <v>1.7934832866269228</v>
      </c>
      <c r="E160" s="630">
        <f t="array" aca="1" ref="E160" ca="1">SUM(IF($A$118:$A$152=$A160,E$118:E$152/$T$118:$T$152*Driver2!$R$58:$R$85))</f>
        <v>5.9154753759607264</v>
      </c>
      <c r="F160" s="630">
        <f t="array" aca="1" ref="F160" ca="1">SUM(IF($A$118:$A$152=$A160,F$118:F$152/$T$118:$T$152*Driver2!$R$58:$R$85))</f>
        <v>0</v>
      </c>
      <c r="G160" s="630">
        <f t="array" aca="1" ref="G160" ca="1">SUM(IF($A$118:$A$152=$A160,G$118:G$152/$T$118:$T$152*Driver2!$R$58:$R$85))</f>
        <v>0</v>
      </c>
      <c r="H160" s="630">
        <f t="array" aca="1" ref="H160" ca="1">SUM(IF($A$118:$A$152=$A160,H$118:H$152/$T$118:$T$152*Driver2!$R$58:$R$85))</f>
        <v>0</v>
      </c>
      <c r="I160" s="630">
        <f t="array" aca="1" ref="I160" ca="1">SUM(IF($A$118:$A$152=$A160,I$118:I$152/$T$118:$T$152*Driver2!$R$58:$R$85))</f>
        <v>0</v>
      </c>
      <c r="J160" s="630">
        <f t="array" aca="1" ref="J160" ca="1">SUM(IF($A$118:$A$152=$A160,J$118:J$152/$T$118:$T$152*Driver2!$R$58:$R$85))</f>
        <v>0</v>
      </c>
      <c r="K160" s="630">
        <f t="array" aca="1" ref="K160" ca="1">SUM(IF($A$118:$A$152=$A160,K$118:K$152/$T$118:$T$152*Driver2!$R$58:$R$85))</f>
        <v>0</v>
      </c>
      <c r="L160" s="630">
        <f t="array" aca="1" ref="L160" ca="1">SUM(IF($A$118:$A$152=$A160,L$118:L$152/$T$118:$T$152*Driver2!$R$58:$R$85))</f>
        <v>4.2939062608115615</v>
      </c>
      <c r="M160" s="630">
        <f t="array" aca="1" ref="M160" ca="1">SUM(IF($A$118:$A$152=$A160,M$118:M$152/$T$118:$T$152*Driver2!$R$58:$R$85))</f>
        <v>0.21531224929574549</v>
      </c>
      <c r="N160" s="630">
        <f t="array" aca="1" ref="N160" ca="1">SUM(IF($A$118:$A$152=$A160,N$118:N$152/$T$118:$T$152*Driver2!$R$58:$R$85))</f>
        <v>4.8694053450684179E-2</v>
      </c>
      <c r="O160" s="630">
        <f t="array" aca="1" ref="O160" ca="1">SUM(IF($A$118:$A$152=$A160,O$118:O$152/$T$118:$T$152*Driver2!$R$58:$R$85))</f>
        <v>2.4281985997184243</v>
      </c>
      <c r="P160" s="630">
        <f t="array" aca="1" ref="P160" ca="1">SUM(IF($A$118:$A$152=$A160,P$118:P$152/$T$118:$T$152*Driver2!$R$58:$R$85))</f>
        <v>0</v>
      </c>
      <c r="Q160" s="630">
        <f t="array" aca="1" ref="Q160" ca="1">SUM(IF($A$118:$A$152=$A160,Q$118:Q$152/$T$118:$T$152*Driver2!$R$58:$R$85))</f>
        <v>0.88949525586606337</v>
      </c>
      <c r="R160" s="630">
        <f t="array" aca="1" ref="R160" ca="1">SUM(IF($A$118:$A$152=$A160,R$118:R$152/$T$118:$T$152*Driver2!$R$58:$R$85))</f>
        <v>0</v>
      </c>
      <c r="S160" s="630">
        <f t="array" aca="1" ref="S160" ca="1">SUM(IF($A$118:$A$152=$A160,S$118:S$152/$T$118:$T$152*Driver2!$R$58:$R$85))</f>
        <v>16.291938718336851</v>
      </c>
      <c r="T160" s="630">
        <f>SUM(C160:S160)</f>
        <v>47.142019363781372</v>
      </c>
    </row>
    <row r="161" spans="1:24" hidden="1">
      <c r="A161" s="613">
        <v>5</v>
      </c>
      <c r="B161" s="613" t="s">
        <v>978</v>
      </c>
      <c r="C161" s="646">
        <f t="array" aca="1" ref="C161" ca="1">SUM(IF($A$118:$A$152=$A161,C$118:C$152/$T$118:$T$152*Driver2!$R$58:$R$92))</f>
        <v>72.515278284706866</v>
      </c>
      <c r="D161" s="646">
        <f t="array" aca="1" ref="D161" ca="1">SUM(IF($A$118:$A$152=$A161,D$118:D$152/$T$118:$T$152*Driver2!$R$58:$R$92))</f>
        <v>22.180228655123024</v>
      </c>
      <c r="E161" s="646">
        <f t="array" aca="1" ref="E161" ca="1">SUM(IF($A$118:$A$152=$A161,E$118:E$152/$T$118:$T$152*Driver2!$R$58:$R$92))</f>
        <v>2.8996733412993394</v>
      </c>
      <c r="F161" s="646">
        <f t="array" aca="1" ref="F161" ca="1">SUM(IF($A$118:$A$152=$A161,F$118:F$152/$T$118:$T$152*Driver2!$R$58:$R$92))</f>
        <v>0</v>
      </c>
      <c r="G161" s="646">
        <f t="array" aca="1" ref="G161" ca="1">SUM(IF($A$118:$A$152=$A161,G$118:G$152/$T$118:$T$152*Driver2!$R$58:$R$92))</f>
        <v>1.9703080592205662</v>
      </c>
      <c r="H161" s="646">
        <f t="array" aca="1" ref="H161" ca="1">SUM(IF($A$118:$A$152=$A161,H$118:H$152/$T$118:$T$152*Driver2!$R$58:$R$92))</f>
        <v>0</v>
      </c>
      <c r="I161" s="646">
        <f t="array" aca="1" ref="I161" ca="1">SUM(IF($A$118:$A$152=$A161,I$118:I$152/$T$118:$T$152*Driver2!$R$58:$R$92))</f>
        <v>0</v>
      </c>
      <c r="J161" s="646">
        <f t="array" aca="1" ref="J161" ca="1">SUM(IF($A$118:$A$152=$A161,J$118:J$152/$T$118:$T$152*Driver2!$R$58:$R$92))</f>
        <v>0</v>
      </c>
      <c r="K161" s="646">
        <f t="array" aca="1" ref="K161" ca="1">SUM(IF($A$118:$A$152=$A161,K$118:K$152/$T$118:$T$152*Driver2!$R$58:$R$92))</f>
        <v>5.4875619954698465</v>
      </c>
      <c r="L161" s="646">
        <f t="array" aca="1" ref="L161" ca="1">SUM(IF($A$118:$A$152=$A161,L$118:L$152/$T$118:$T$152*Driver2!$R$58:$R$92))</f>
        <v>6.1969895952131369</v>
      </c>
      <c r="M161" s="646">
        <f t="array" aca="1" ref="M161" ca="1">SUM(IF($A$118:$A$152=$A161,M$118:M$152/$T$118:$T$152*Driver2!$R$58:$R$92))</f>
        <v>0.81529432970675342</v>
      </c>
      <c r="N161" s="646">
        <f t="array" aca="1" ref="N161" ca="1">SUM(IF($A$118:$A$152=$A161,N$118:N$152/$T$118:$T$152*Driver2!$R$58:$R$92))</f>
        <v>0</v>
      </c>
      <c r="O161" s="646">
        <f t="array" aca="1" ref="O161" ca="1">SUM(IF($A$118:$A$152=$A161,O$118:O$152/$T$118:$T$152*Driver2!$R$58:$R$92))</f>
        <v>0</v>
      </c>
      <c r="P161" s="646">
        <f t="array" aca="1" ref="P161" ca="1">SUM(IF($A$118:$A$152=$A161,P$118:P$152/$T$118:$T$152*Driver2!$R$58:$R$92))</f>
        <v>0</v>
      </c>
      <c r="Q161" s="646">
        <f t="array" aca="1" ref="Q161" ca="1">SUM(IF($A$118:$A$152=$A161,Q$118:Q$152/$T$118:$T$152*Driver2!$R$58:$R$92))</f>
        <v>137.72136996768776</v>
      </c>
      <c r="R161" s="646">
        <f t="array" aca="1" ref="R161" ca="1">SUM(IF($A$118:$A$152=$A161,R$118:R$152/$T$118:$T$152*Driver2!$R$58:$R$92))</f>
        <v>0</v>
      </c>
      <c r="S161" s="646">
        <f t="array" aca="1" ref="S161" ca="1">SUM(IF($A$118:$A$152=$A161,S$118:S$152/$T$118:$T$152*Driver2!$R$58:$R$92))</f>
        <v>8.7810508423847047</v>
      </c>
      <c r="T161" s="646">
        <f>SUM(C161:S161)</f>
        <v>258.56775507081204</v>
      </c>
    </row>
    <row r="162" spans="1:24" hidden="1">
      <c r="B162" s="612" t="s">
        <v>415</v>
      </c>
      <c r="C162" s="630"/>
      <c r="D162" s="630"/>
      <c r="E162" s="630"/>
      <c r="F162" s="630"/>
      <c r="G162" s="630"/>
      <c r="H162" s="630"/>
      <c r="I162" s="630"/>
      <c r="J162" s="630"/>
      <c r="K162" s="630"/>
      <c r="L162" s="630"/>
      <c r="M162" s="630"/>
      <c r="N162" s="630"/>
      <c r="O162" s="630"/>
      <c r="P162" s="630"/>
      <c r="Q162" s="630"/>
      <c r="R162" s="630"/>
      <c r="S162" s="630"/>
      <c r="T162" s="630"/>
    </row>
    <row r="163" spans="1:24" hidden="1">
      <c r="B163" s="613" t="s">
        <v>568</v>
      </c>
      <c r="C163" s="634">
        <f t="array" ref="C163:S167">IF(C157:S161&gt;0,C99:S103/C157:S161,0)</f>
        <v>0.82335330417354324</v>
      </c>
      <c r="D163" s="634">
        <v>0.60991584114630626</v>
      </c>
      <c r="E163" s="634">
        <v>1.4520015168977842</v>
      </c>
      <c r="F163" s="634">
        <v>0</v>
      </c>
      <c r="G163" s="634">
        <v>0.66084066250682671</v>
      </c>
      <c r="H163" s="634">
        <v>0.50119927984323542</v>
      </c>
      <c r="I163" s="634">
        <v>0.6541678293686769</v>
      </c>
      <c r="J163" s="634">
        <v>0.50298945867237377</v>
      </c>
      <c r="K163" s="634">
        <v>0</v>
      </c>
      <c r="L163" s="634">
        <v>0.65416782936867679</v>
      </c>
      <c r="M163" s="634">
        <v>1.1399307838739603</v>
      </c>
      <c r="N163" s="634">
        <v>0</v>
      </c>
      <c r="O163" s="634">
        <v>0</v>
      </c>
      <c r="P163" s="634">
        <v>0</v>
      </c>
      <c r="Q163" s="634">
        <v>1.7851700359690992</v>
      </c>
      <c r="R163" s="634">
        <v>0</v>
      </c>
      <c r="S163" s="634">
        <v>1.7851700359690985</v>
      </c>
      <c r="T163" s="630"/>
    </row>
    <row r="164" spans="1:24" hidden="1">
      <c r="B164" s="613" t="s">
        <v>879</v>
      </c>
      <c r="C164" s="630">
        <v>0.81953497388783247</v>
      </c>
      <c r="D164" s="630">
        <v>0.58977949369284655</v>
      </c>
      <c r="E164" s="630">
        <v>1.8684915952297587</v>
      </c>
      <c r="F164" s="630">
        <v>0</v>
      </c>
      <c r="G164" s="630">
        <v>0.68546230423334686</v>
      </c>
      <c r="H164" s="630">
        <v>3.241050633895993</v>
      </c>
      <c r="I164" s="630">
        <v>3.241050633895993</v>
      </c>
      <c r="J164" s="630">
        <v>3.2410506338959921</v>
      </c>
      <c r="K164" s="630">
        <v>3.241050633895993</v>
      </c>
      <c r="L164" s="630">
        <v>0.63750748383881128</v>
      </c>
      <c r="M164" s="630">
        <v>2.2190273103755889</v>
      </c>
      <c r="N164" s="630">
        <v>0</v>
      </c>
      <c r="O164" s="630">
        <v>0</v>
      </c>
      <c r="P164" s="630">
        <v>1.0903296700434426</v>
      </c>
      <c r="Q164" s="630">
        <v>1.1956052271814688</v>
      </c>
      <c r="R164" s="630">
        <v>0</v>
      </c>
      <c r="S164" s="630">
        <v>3.241050633895993</v>
      </c>
      <c r="T164" s="630"/>
    </row>
    <row r="165" spans="1:24" hidden="1">
      <c r="B165" s="613" t="s">
        <v>880</v>
      </c>
      <c r="C165" s="630">
        <v>0.88130206142303102</v>
      </c>
      <c r="D165" s="630">
        <v>1.0339435466021978</v>
      </c>
      <c r="E165" s="630">
        <v>1.2135543596616267</v>
      </c>
      <c r="F165" s="630">
        <v>0</v>
      </c>
      <c r="G165" s="630">
        <v>1.0852221990876416</v>
      </c>
      <c r="H165" s="630">
        <v>0.82127767347142744</v>
      </c>
      <c r="I165" s="630">
        <v>0</v>
      </c>
      <c r="J165" s="630">
        <v>0</v>
      </c>
      <c r="K165" s="630">
        <v>1.5142032470070259</v>
      </c>
      <c r="L165" s="630">
        <v>0.83937947410364244</v>
      </c>
      <c r="M165" s="630">
        <v>0</v>
      </c>
      <c r="N165" s="630">
        <v>0</v>
      </c>
      <c r="O165" s="630">
        <v>0</v>
      </c>
      <c r="P165" s="630">
        <v>0</v>
      </c>
      <c r="Q165" s="630">
        <v>1.5142032470070259</v>
      </c>
      <c r="R165" s="630">
        <v>0</v>
      </c>
      <c r="S165" s="630">
        <v>1.5142032470070261</v>
      </c>
      <c r="T165" s="630"/>
    </row>
    <row r="166" spans="1:24" hidden="1">
      <c r="B166" s="613" t="s">
        <v>787</v>
      </c>
      <c r="C166" s="630">
        <v>1.0704889373771742</v>
      </c>
      <c r="D166" s="630">
        <v>0.88877077072806443</v>
      </c>
      <c r="E166" s="630">
        <v>1.066216417371185</v>
      </c>
      <c r="F166" s="630">
        <v>0</v>
      </c>
      <c r="G166" s="630">
        <v>0</v>
      </c>
      <c r="H166" s="630">
        <v>0</v>
      </c>
      <c r="I166" s="630">
        <v>0</v>
      </c>
      <c r="J166" s="630">
        <v>0</v>
      </c>
      <c r="K166" s="630">
        <v>0</v>
      </c>
      <c r="L166" s="630">
        <v>0.93399601521079878</v>
      </c>
      <c r="M166" s="630">
        <v>0.97532444478601021</v>
      </c>
      <c r="N166" s="630">
        <v>0.98312186510691246</v>
      </c>
      <c r="O166" s="630">
        <v>1.3804556139297353</v>
      </c>
      <c r="P166" s="630">
        <v>0</v>
      </c>
      <c r="Q166" s="630">
        <v>0.88926792445884106</v>
      </c>
      <c r="R166" s="630">
        <v>0</v>
      </c>
      <c r="S166" s="630">
        <v>0.88926792445884084</v>
      </c>
      <c r="T166" s="630"/>
    </row>
    <row r="167" spans="1:24" hidden="1">
      <c r="B167" s="613" t="s">
        <v>978</v>
      </c>
      <c r="C167" s="646">
        <v>0.94072970322020344</v>
      </c>
      <c r="D167" s="646">
        <v>0.79219195046222313</v>
      </c>
      <c r="E167" s="646">
        <v>0.57075422132149434</v>
      </c>
      <c r="F167" s="646">
        <v>0</v>
      </c>
      <c r="G167" s="646">
        <v>0.98178317392927639</v>
      </c>
      <c r="H167" s="646">
        <v>0</v>
      </c>
      <c r="I167" s="646">
        <v>0</v>
      </c>
      <c r="J167" s="646">
        <v>0</v>
      </c>
      <c r="K167" s="646">
        <v>1.1204248453276149</v>
      </c>
      <c r="L167" s="646">
        <v>0.6582233255887382</v>
      </c>
      <c r="M167" s="646">
        <v>0.52250884677834564</v>
      </c>
      <c r="N167" s="646">
        <v>0</v>
      </c>
      <c r="O167" s="646">
        <v>0</v>
      </c>
      <c r="P167" s="646">
        <v>0</v>
      </c>
      <c r="Q167" s="646">
        <v>1.0995083038712699</v>
      </c>
      <c r="R167" s="646">
        <v>0</v>
      </c>
      <c r="S167" s="646">
        <v>1.1204248453276147</v>
      </c>
      <c r="T167" s="630"/>
    </row>
    <row r="168" spans="1:24" hidden="1"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30"/>
      <c r="T168" s="630"/>
    </row>
    <row r="169" spans="1:24" hidden="1"/>
    <row r="170" spans="1:24" hidden="1">
      <c r="B170" s="612" t="s">
        <v>80</v>
      </c>
    </row>
    <row r="171" spans="1:24" hidden="1">
      <c r="C171" s="613" t="s">
        <v>905</v>
      </c>
      <c r="D171" s="613" t="s">
        <v>906</v>
      </c>
      <c r="E171" s="613" t="s">
        <v>907</v>
      </c>
      <c r="F171" s="613" t="s">
        <v>908</v>
      </c>
      <c r="G171" s="613" t="s">
        <v>909</v>
      </c>
      <c r="H171" s="613" t="s">
        <v>910</v>
      </c>
      <c r="I171" s="613" t="s">
        <v>911</v>
      </c>
      <c r="J171" s="613" t="s">
        <v>912</v>
      </c>
      <c r="K171" s="613" t="s">
        <v>1150</v>
      </c>
      <c r="L171" s="613" t="s">
        <v>913</v>
      </c>
      <c r="M171" s="613" t="s">
        <v>826</v>
      </c>
      <c r="N171" s="613" t="s">
        <v>914</v>
      </c>
      <c r="O171" s="613" t="s">
        <v>915</v>
      </c>
      <c r="P171" s="613" t="s">
        <v>916</v>
      </c>
      <c r="Q171" s="613" t="s">
        <v>917</v>
      </c>
      <c r="R171" s="613" t="s">
        <v>950</v>
      </c>
      <c r="S171" s="613" t="s">
        <v>946</v>
      </c>
      <c r="T171" s="613" t="s">
        <v>888</v>
      </c>
      <c r="V171" s="613" t="s">
        <v>257</v>
      </c>
      <c r="X171" s="613" t="s">
        <v>258</v>
      </c>
    </row>
    <row r="172" spans="1:24" hidden="1">
      <c r="A172" s="613" t="str">
        <f t="shared" ref="A172:A199" si="69">MID(B172,1,3)</f>
        <v>IIS</v>
      </c>
      <c r="B172" s="613" t="s">
        <v>961</v>
      </c>
      <c r="C172" s="738">
        <f ca="1">Driver2!$R58*C118/$T118*INDEX($B$163:$S$167,$A118,C$4)</f>
        <v>0</v>
      </c>
      <c r="D172" s="738">
        <f ca="1">Driver2!$R58*D118/$T118*INDEX($B$163:$S$167,$A118,D$4)</f>
        <v>1.4626551455204235</v>
      </c>
      <c r="E172" s="738">
        <f ca="1">Driver2!$R58*E118/$T118*INDEX($B$163:$S$167,$A118,E$4)</f>
        <v>0</v>
      </c>
      <c r="F172" s="738">
        <f ca="1">Driver2!$R58*F118/$T118*INDEX($B$163:$S$167,$A118,F$4)</f>
        <v>0</v>
      </c>
      <c r="G172" s="738">
        <f ca="1">Driver2!$R58*G118/$T118*INDEX($B$163:$S$167,$A118,G$4)</f>
        <v>0.23441142632375905</v>
      </c>
      <c r="H172" s="738">
        <f ca="1">Driver2!$R58*H118/$T118*INDEX($B$163:$S$167,$A118,H$4)</f>
        <v>2.084038749242942</v>
      </c>
      <c r="I172" s="738">
        <f ca="1">Driver2!$R58*I118/$T118*INDEX($B$163:$S$167,$A118,I$4)</f>
        <v>1.7572156777930681</v>
      </c>
      <c r="J172" s="738">
        <f ca="1">Driver2!$R58*J118/$T118*INDEX($B$163:$S$167,$A118,J$4)</f>
        <v>1.5034031231328127</v>
      </c>
      <c r="K172" s="738">
        <f ca="1">Driver2!$R58*K118/$T118*INDEX($B$163:$S$167,$A118,K$4)</f>
        <v>0</v>
      </c>
      <c r="L172" s="738">
        <f ca="1">Driver2!$R58*L118/$T118*INDEX($B$163:$S$167,$A118,L$4)</f>
        <v>3.2664121237482996E-2</v>
      </c>
      <c r="M172" s="738">
        <f ca="1">Driver2!$R58*M118/$T118*INDEX($B$163:$S$167,$A118,M$4)</f>
        <v>0</v>
      </c>
      <c r="N172" s="738">
        <f ca="1">Driver2!$R58*N118/$T118*INDEX($B$163:$S$167,$A118,N$4)</f>
        <v>0</v>
      </c>
      <c r="O172" s="738">
        <f ca="1">Driver2!$R58*O118/$T118*INDEX($B$163:$S$167,$A118,O$4)</f>
        <v>0</v>
      </c>
      <c r="P172" s="738">
        <f ca="1">Driver2!$R58*P118/$T118*INDEX($B$163:$S$167,$A118,P$4)</f>
        <v>0</v>
      </c>
      <c r="Q172" s="738">
        <f ca="1">Driver2!$R58*Q118/$T118*INDEX($B$163:$S$167,$A118,Q$4)</f>
        <v>0</v>
      </c>
      <c r="R172" s="738">
        <f ca="1">Driver2!$R58*R118/$T118*INDEX($B$163:$S$167,$A118,R$4)</f>
        <v>0</v>
      </c>
      <c r="S172" s="738">
        <f ca="1">Driver2!$R58*S118/$T118*INDEX($B$163:$S$167,$A118,S$4)</f>
        <v>0</v>
      </c>
      <c r="T172" s="738">
        <f t="shared" ref="T172:T206" si="70">SUM(C172:S172)</f>
        <v>7.0743882432504881</v>
      </c>
      <c r="V172" s="613">
        <f ca="1">VLOOKUP($B172,Driver2!$E$58:$M$93,9,FALSE)</f>
        <v>12.636000000000001</v>
      </c>
      <c r="W172" s="613" t="s">
        <v>213</v>
      </c>
      <c r="X172" s="613">
        <f t="shared" ref="X172:X206" si="71">IF(T172&gt;0,V172/T172)</f>
        <v>1.7861615118530878</v>
      </c>
    </row>
    <row r="173" spans="1:24" hidden="1">
      <c r="A173" s="613" t="str">
        <f t="shared" si="69"/>
        <v>IIS</v>
      </c>
      <c r="B173" s="613" t="s">
        <v>368</v>
      </c>
      <c r="C173" s="738">
        <f ca="1">Driver2!$R59*C119/$T119*INDEX($B$163:$S$167,$A119,C$4)</f>
        <v>0</v>
      </c>
      <c r="D173" s="738">
        <f ca="1">Driver2!$R59*D119/$T119*INDEX($B$163:$S$167,$A119,D$4)</f>
        <v>0</v>
      </c>
      <c r="E173" s="738">
        <f ca="1">Driver2!$R59*E119/$T119*INDEX($B$163:$S$167,$A119,E$4)</f>
        <v>0</v>
      </c>
      <c r="F173" s="738">
        <f ca="1">Driver2!$R59*F119/$T119*INDEX($B$163:$S$167,$A119,F$4)</f>
        <v>0</v>
      </c>
      <c r="G173" s="738">
        <f ca="1">Driver2!$R59*G119/$T119*INDEX($B$163:$S$167,$A119,G$4)</f>
        <v>0</v>
      </c>
      <c r="H173" s="738">
        <f ca="1">Driver2!$R59*H119/$T119*INDEX($B$163:$S$167,$A119,H$4)</f>
        <v>0</v>
      </c>
      <c r="I173" s="738">
        <f ca="1">Driver2!$R59*I119/$T119*INDEX($B$163:$S$167,$A119,I$4)</f>
        <v>0</v>
      </c>
      <c r="J173" s="738">
        <f ca="1">Driver2!$R59*J119/$T119*INDEX($B$163:$S$167,$A119,J$4)</f>
        <v>0</v>
      </c>
      <c r="K173" s="738">
        <f ca="1">Driver2!$R59*K119/$T119*INDEX($B$163:$S$167,$A119,K$4)</f>
        <v>0</v>
      </c>
      <c r="L173" s="738">
        <f ca="1">Driver2!$R59*L119/$T119*INDEX($B$163:$S$167,$A119,L$4)</f>
        <v>0</v>
      </c>
      <c r="M173" s="738">
        <f ca="1">Driver2!$R59*M119/$T119*INDEX($B$163:$S$167,$A119,M$4)</f>
        <v>0</v>
      </c>
      <c r="N173" s="738">
        <f ca="1">Driver2!$R59*N119/$T119*INDEX($B$163:$S$167,$A119,N$4)</f>
        <v>0</v>
      </c>
      <c r="O173" s="738">
        <f ca="1">Driver2!$R59*O119/$T119*INDEX($B$163:$S$167,$A119,O$4)</f>
        <v>0</v>
      </c>
      <c r="P173" s="738">
        <f ca="1">Driver2!$R59*P119/$T119*INDEX($B$163:$S$167,$A119,P$4)</f>
        <v>0</v>
      </c>
      <c r="Q173" s="738">
        <f ca="1">Driver2!$R59*Q119/$T119*INDEX($B$163:$S$167,$A119,Q$4)</f>
        <v>0</v>
      </c>
      <c r="R173" s="738">
        <f ca="1">Driver2!$R59*R119/$T119*INDEX($B$163:$S$167,$A119,R$4)</f>
        <v>0</v>
      </c>
      <c r="S173" s="738">
        <f ca="1">Driver2!$R59*S119/$T119*INDEX($B$163:$S$167,$A119,S$4)</f>
        <v>0</v>
      </c>
      <c r="T173" s="738">
        <f t="shared" si="70"/>
        <v>0</v>
      </c>
      <c r="V173" s="613">
        <f ca="1">VLOOKUP($B173,Driver2!$E$58:$M$93,9,FALSE)</f>
        <v>0</v>
      </c>
      <c r="W173" s="613" t="s">
        <v>367</v>
      </c>
      <c r="X173" s="613" t="b">
        <f t="shared" si="71"/>
        <v>0</v>
      </c>
    </row>
    <row r="174" spans="1:24" hidden="1">
      <c r="A174" s="613" t="str">
        <f t="shared" si="69"/>
        <v>IIS</v>
      </c>
      <c r="B174" s="613" t="s">
        <v>366</v>
      </c>
      <c r="C174" s="738">
        <f ca="1">Driver2!$R60*C120/$T120*INDEX($B$163:$S$167,$A120,C$4)</f>
        <v>2.06728559189603</v>
      </c>
      <c r="D174" s="738">
        <f ca="1">Driver2!$R60*D120/$T120*INDEX($B$163:$S$167,$A120,D$4)</f>
        <v>0.68928282018612419</v>
      </c>
      <c r="E174" s="738">
        <f ca="1">Driver2!$R60*E120/$T120*INDEX($B$163:$S$167,$A120,E$4)</f>
        <v>0</v>
      </c>
      <c r="F174" s="738">
        <f ca="1">Driver2!$R60*F120/$T120*INDEX($B$163:$S$167,$A120,F$4)</f>
        <v>0</v>
      </c>
      <c r="G174" s="738">
        <f ca="1">Driver2!$R60*G120/$T120*INDEX($B$163:$S$167,$A120,G$4)</f>
        <v>0.11046743965256603</v>
      </c>
      <c r="H174" s="738">
        <f ca="1">Driver2!$R60*H120/$T120*INDEX($B$163:$S$167,$A120,H$4)</f>
        <v>0</v>
      </c>
      <c r="I174" s="738">
        <f ca="1">Driver2!$R60*I120/$T120*INDEX($B$163:$S$167,$A120,I$4)</f>
        <v>0</v>
      </c>
      <c r="J174" s="738">
        <f ca="1">Driver2!$R60*J120/$T120*INDEX($B$163:$S$167,$A120,J$4)</f>
        <v>0</v>
      </c>
      <c r="K174" s="738">
        <f ca="1">Driver2!$R60*K120/$T120*INDEX($B$163:$S$167,$A120,K$4)</f>
        <v>0</v>
      </c>
      <c r="L174" s="738">
        <f ca="1">Driver2!$R60*L120/$T120*INDEX($B$163:$S$167,$A120,L$4)</f>
        <v>0</v>
      </c>
      <c r="M174" s="738">
        <f ca="1">Driver2!$R60*M120/$T120*INDEX($B$163:$S$167,$A120,M$4)</f>
        <v>4.142277058118881E-2</v>
      </c>
      <c r="N174" s="738">
        <f ca="1">Driver2!$R60*N120/$T120*INDEX($B$163:$S$167,$A120,N$4)</f>
        <v>0</v>
      </c>
      <c r="O174" s="738">
        <f ca="1">Driver2!$R60*O120/$T120*INDEX($B$163:$S$167,$A120,O$4)</f>
        <v>0</v>
      </c>
      <c r="P174" s="738">
        <f ca="1">Driver2!$R60*P120/$T120*INDEX($B$163:$S$167,$A120,P$4)</f>
        <v>0</v>
      </c>
      <c r="Q174" s="738">
        <f ca="1">Driver2!$R60*Q120/$T120*INDEX($B$163:$S$167,$A120,Q$4)</f>
        <v>0</v>
      </c>
      <c r="R174" s="738">
        <f ca="1">Driver2!$R60*R120/$T120*INDEX($B$163:$S$167,$A120,R$4)</f>
        <v>0</v>
      </c>
      <c r="S174" s="738">
        <f ca="1">Driver2!$R60*S120/$T120*INDEX($B$163:$S$167,$A120,S$4)</f>
        <v>0</v>
      </c>
      <c r="T174" s="738">
        <f t="shared" si="70"/>
        <v>2.9084586223159095</v>
      </c>
      <c r="V174" s="613">
        <f ca="1">VLOOKUP($B174,Driver2!$E$58:$M$93,9,FALSE)</f>
        <v>3.8444399999999987</v>
      </c>
      <c r="W174" s="613" t="s">
        <v>365</v>
      </c>
      <c r="X174" s="613">
        <f t="shared" si="71"/>
        <v>1.3218135442954311</v>
      </c>
    </row>
    <row r="175" spans="1:24" hidden="1">
      <c r="A175" s="613" t="str">
        <f t="shared" si="69"/>
        <v>IIS</v>
      </c>
      <c r="B175" s="613" t="s">
        <v>410</v>
      </c>
      <c r="C175" s="738">
        <f ca="1">Driver2!$R61*C121/$T121*INDEX($B$163:$S$167,$A121,C$4)</f>
        <v>7.4771691836491447</v>
      </c>
      <c r="D175" s="738">
        <f ca="1">Driver2!$R61*D121/$T121*INDEX($B$163:$S$167,$A121,D$4)</f>
        <v>0</v>
      </c>
      <c r="E175" s="738">
        <f ca="1">Driver2!$R61*E121/$T121*INDEX($B$163:$S$167,$A121,E$4)</f>
        <v>0</v>
      </c>
      <c r="F175" s="738">
        <f ca="1">Driver2!$R61*F121/$T121*INDEX($B$163:$S$167,$A121,F$4)</f>
        <v>0</v>
      </c>
      <c r="G175" s="738">
        <f ca="1">Driver2!$R61*G121/$T121*INDEX($B$163:$S$167,$A121,G$4)</f>
        <v>0.66591648714359908</v>
      </c>
      <c r="H175" s="738">
        <f ca="1">Driver2!$R61*H121/$T121*INDEX($B$163:$S$167,$A121,H$4)</f>
        <v>1.6915262252863965</v>
      </c>
      <c r="I175" s="738">
        <f ca="1">Driver2!$R61*I121/$T121*INDEX($B$163:$S$167,$A121,I$4)</f>
        <v>0</v>
      </c>
      <c r="J175" s="738">
        <f ca="1">Driver2!$R61*J121/$T121*INDEX($B$163:$S$167,$A121,J$4)</f>
        <v>0</v>
      </c>
      <c r="K175" s="738">
        <f ca="1">Driver2!$R61*K121/$T121*INDEX($B$163:$S$167,$A121,K$4)</f>
        <v>0</v>
      </c>
      <c r="L175" s="738">
        <f ca="1">Driver2!$R61*L121/$T121*INDEX($B$163:$S$167,$A121,L$4)</f>
        <v>0</v>
      </c>
      <c r="M175" s="738">
        <f ca="1">Driver2!$R61*M121/$T121*INDEX($B$163:$S$167,$A121,M$4)</f>
        <v>0</v>
      </c>
      <c r="N175" s="738">
        <f ca="1">Driver2!$R61*N121/$T121*INDEX($B$163:$S$167,$A121,N$4)</f>
        <v>0</v>
      </c>
      <c r="O175" s="738">
        <f ca="1">Driver2!$R61*O121/$T121*INDEX($B$163:$S$167,$A121,O$4)</f>
        <v>0</v>
      </c>
      <c r="P175" s="738">
        <f ca="1">Driver2!$R61*P121/$T121*INDEX($B$163:$S$167,$A121,P$4)</f>
        <v>0</v>
      </c>
      <c r="Q175" s="738">
        <f ca="1">Driver2!$R61*Q121/$T121*INDEX($B$163:$S$167,$A121,Q$4)</f>
        <v>0</v>
      </c>
      <c r="R175" s="738">
        <f ca="1">Driver2!$R61*R121/$T121*INDEX($B$163:$S$167,$A121,R$4)</f>
        <v>0</v>
      </c>
      <c r="S175" s="738">
        <f ca="1">Driver2!$R61*S121/$T121*INDEX($B$163:$S$167,$A121,S$4)</f>
        <v>0</v>
      </c>
      <c r="T175" s="738">
        <f t="shared" si="70"/>
        <v>9.8346118960791404</v>
      </c>
      <c r="V175" s="613">
        <f ca="1">VLOOKUP($B175,Driver2!$E$58:$M$93,9,FALSE)</f>
        <v>13.464</v>
      </c>
      <c r="W175" s="613" t="s">
        <v>409</v>
      </c>
      <c r="X175" s="613">
        <f t="shared" si="71"/>
        <v>1.3690423315400808</v>
      </c>
    </row>
    <row r="176" spans="1:24" hidden="1">
      <c r="A176" s="613" t="str">
        <f t="shared" si="69"/>
        <v>IIS</v>
      </c>
      <c r="B176" s="613" t="s">
        <v>1286</v>
      </c>
      <c r="C176" s="738">
        <f ca="1">Driver2!$R62*C122/$T122*INDEX($B$163:$S$167,$A122,C$4)</f>
        <v>0</v>
      </c>
      <c r="D176" s="738">
        <f ca="1">Driver2!$R62*D122/$T122*INDEX($B$163:$S$167,$A122,D$4)</f>
        <v>0</v>
      </c>
      <c r="E176" s="738">
        <f ca="1">Driver2!$R62*E122/$T122*INDEX($B$163:$S$167,$A122,E$4)</f>
        <v>0</v>
      </c>
      <c r="F176" s="738">
        <f ca="1">Driver2!$R62*F122/$T122*INDEX($B$163:$S$167,$A122,F$4)</f>
        <v>0</v>
      </c>
      <c r="G176" s="738">
        <f ca="1">Driver2!$R62*G122/$T122*INDEX($B$163:$S$167,$A122,G$4)</f>
        <v>0</v>
      </c>
      <c r="H176" s="738">
        <f ca="1">Driver2!$R62*H122/$T122*INDEX($B$163:$S$167,$A122,H$4)</f>
        <v>0</v>
      </c>
      <c r="I176" s="738">
        <f ca="1">Driver2!$R62*I122/$T122*INDEX($B$163:$S$167,$A122,I$4)</f>
        <v>0</v>
      </c>
      <c r="J176" s="738">
        <f ca="1">Driver2!$R62*J122/$T122*INDEX($B$163:$S$167,$A122,J$4)</f>
        <v>0</v>
      </c>
      <c r="K176" s="738">
        <f ca="1">Driver2!$R62*K122/$T122*INDEX($B$163:$S$167,$A122,K$4)</f>
        <v>0</v>
      </c>
      <c r="L176" s="738">
        <f ca="1">Driver2!$R62*L122/$T122*INDEX($B$163:$S$167,$A122,L$4)</f>
        <v>0</v>
      </c>
      <c r="M176" s="738">
        <f ca="1">Driver2!$R62*M122/$T122*INDEX($B$163:$S$167,$A122,M$4)</f>
        <v>0</v>
      </c>
      <c r="N176" s="738">
        <f ca="1">Driver2!$R62*N122/$T122*INDEX($B$163:$S$167,$A122,N$4)</f>
        <v>0</v>
      </c>
      <c r="O176" s="738">
        <f ca="1">Driver2!$R62*O122/$T122*INDEX($B$163:$S$167,$A122,O$4)</f>
        <v>0</v>
      </c>
      <c r="P176" s="738">
        <f ca="1">Driver2!$R62*P122/$T122*INDEX($B$163:$S$167,$A122,P$4)</f>
        <v>0</v>
      </c>
      <c r="Q176" s="738">
        <f ca="1">Driver2!$R62*Q122/$T122*INDEX($B$163:$S$167,$A122,Q$4)</f>
        <v>0</v>
      </c>
      <c r="R176" s="738">
        <f ca="1">Driver2!$R62*R122/$T122*INDEX($B$163:$S$167,$A122,R$4)</f>
        <v>0</v>
      </c>
      <c r="S176" s="738">
        <f ca="1">Driver2!$R62*S122/$T122*INDEX($B$163:$S$167,$A122,S$4)</f>
        <v>0</v>
      </c>
      <c r="T176" s="738">
        <f t="shared" si="70"/>
        <v>0</v>
      </c>
      <c r="V176" s="613">
        <f ca="1">VLOOKUP($B176,Driver2!$E$58:$M$93,9,FALSE)</f>
        <v>0</v>
      </c>
      <c r="W176" s="613" t="s">
        <v>1285</v>
      </c>
      <c r="X176" s="613" t="b">
        <f t="shared" si="71"/>
        <v>0</v>
      </c>
    </row>
    <row r="177" spans="1:24" hidden="1">
      <c r="A177" s="613" t="str">
        <f t="shared" si="69"/>
        <v>IIS</v>
      </c>
      <c r="B177" s="613" t="s">
        <v>962</v>
      </c>
      <c r="C177" s="738">
        <f ca="1">Driver2!$R63*C123/$T123*INDEX($B$163:$S$167,$A123,C$4)</f>
        <v>5.6314338841204297</v>
      </c>
      <c r="D177" s="738">
        <f ca="1">Driver2!$R63*D123/$T123*INDEX($B$163:$S$167,$A123,D$4)</f>
        <v>0</v>
      </c>
      <c r="E177" s="738">
        <f ca="1">Driver2!$R63*E123/$T123*INDEX($B$163:$S$167,$A123,E$4)</f>
        <v>2.3853286431072087</v>
      </c>
      <c r="F177" s="738">
        <f ca="1">Driver2!$R63*F123/$T123*INDEX($B$163:$S$167,$A123,F$4)</f>
        <v>0</v>
      </c>
      <c r="G177" s="738">
        <f ca="1">Driver2!$R63*G123/$T123*INDEX($B$163:$S$167,$A123,G$4)</f>
        <v>0</v>
      </c>
      <c r="H177" s="738">
        <f ca="1">Driver2!$R63*H123/$T123*INDEX($B$163:$S$167,$A123,H$4)</f>
        <v>0</v>
      </c>
      <c r="I177" s="738">
        <f ca="1">Driver2!$R63*I123/$T123*INDEX($B$163:$S$167,$A123,I$4)</f>
        <v>0</v>
      </c>
      <c r="J177" s="738">
        <f ca="1">Driver2!$R63*J123/$T123*INDEX($B$163:$S$167,$A123,J$4)</f>
        <v>0</v>
      </c>
      <c r="K177" s="738">
        <f ca="1">Driver2!$R63*K123/$T123*INDEX($B$163:$S$167,$A123,K$4)</f>
        <v>0</v>
      </c>
      <c r="L177" s="738">
        <f ca="1">Driver2!$R63*L123/$T123*INDEX($B$163:$S$167,$A123,L$4)</f>
        <v>0</v>
      </c>
      <c r="M177" s="738">
        <f ca="1">Driver2!$R63*M123/$T123*INDEX($B$163:$S$167,$A123,M$4)</f>
        <v>6.2688106229598334E-2</v>
      </c>
      <c r="N177" s="738">
        <f ca="1">Driver2!$R63*N123/$T123*INDEX($B$163:$S$167,$A123,N$4)</f>
        <v>0</v>
      </c>
      <c r="O177" s="738">
        <f ca="1">Driver2!$R63*O123/$T123*INDEX($B$163:$S$167,$A123,O$4)</f>
        <v>0</v>
      </c>
      <c r="P177" s="738">
        <f ca="1">Driver2!$R63*P123/$T123*INDEX($B$163:$S$167,$A123,P$4)</f>
        <v>0</v>
      </c>
      <c r="Q177" s="738">
        <f ca="1">Driver2!$R63*Q123/$T123*INDEX($B$163:$S$167,$A123,Q$4)</f>
        <v>0</v>
      </c>
      <c r="R177" s="738">
        <f ca="1">Driver2!$R63*R123/$T123*INDEX($B$163:$S$167,$A123,R$4)</f>
        <v>0</v>
      </c>
      <c r="S177" s="738">
        <f ca="1">Driver2!$R63*S123/$T123*INDEX($B$163:$S$167,$A123,S$4)</f>
        <v>0</v>
      </c>
      <c r="T177" s="738">
        <f t="shared" si="70"/>
        <v>8.0794506334572365</v>
      </c>
      <c r="V177" s="613">
        <f ca="1">VLOOKUP($B177,Driver2!$E$58:$M$93,9,FALSE)</f>
        <v>8.5374118484441937</v>
      </c>
      <c r="W177" s="613" t="s">
        <v>224</v>
      </c>
      <c r="X177" s="613">
        <f t="shared" si="71"/>
        <v>1.0566822220672438</v>
      </c>
    </row>
    <row r="178" spans="1:24" hidden="1">
      <c r="A178" s="613" t="str">
        <f t="shared" si="69"/>
        <v>IIS</v>
      </c>
      <c r="B178" s="613" t="s">
        <v>963</v>
      </c>
      <c r="C178" s="738">
        <f ca="1">Driver2!$R64*C124/$T124*INDEX($B$163:$S$167,$A124,C$4)</f>
        <v>0</v>
      </c>
      <c r="D178" s="738">
        <f ca="1">Driver2!$R64*D124/$T124*INDEX($B$163:$S$167,$A124,D$4)</f>
        <v>0.16426103429345243</v>
      </c>
      <c r="E178" s="738">
        <f ca="1">Driver2!$R64*E124/$T124*INDEX($B$163:$S$167,$A124,E$4)</f>
        <v>2.2536712568927912</v>
      </c>
      <c r="F178" s="738">
        <f ca="1">Driver2!$R64*F124/$T124*INDEX($B$163:$S$167,$A124,F$4)</f>
        <v>0</v>
      </c>
      <c r="G178" s="738">
        <f ca="1">Driver2!$R64*G124/$T124*INDEX($B$163:$S$167,$A124,G$4)</f>
        <v>7.8975546880075784E-2</v>
      </c>
      <c r="H178" s="738">
        <f ca="1">Driver2!$R64*H124/$T124*INDEX($B$163:$S$167,$A124,H$4)</f>
        <v>3.3434925470660938E-2</v>
      </c>
      <c r="I178" s="738">
        <f ca="1">Driver2!$R64*I124/$T124*INDEX($B$163:$S$167,$A124,I$4)</f>
        <v>0.39468232220693206</v>
      </c>
      <c r="J178" s="738">
        <f ca="1">Driver2!$R64*J124/$T124*INDEX($B$163:$S$167,$A124,J$4)</f>
        <v>0.12059797686718737</v>
      </c>
      <c r="K178" s="738">
        <f ca="1">Driver2!$R64*K124/$T124*INDEX($B$163:$S$167,$A124,K$4)</f>
        <v>0</v>
      </c>
      <c r="L178" s="738">
        <f ca="1">Driver2!$R64*L124/$T124*INDEX($B$163:$S$167,$A124,L$4)</f>
        <v>7.3365787625170095E-3</v>
      </c>
      <c r="M178" s="738">
        <f ca="1">Driver2!$R64*M124/$T124*INDEX($B$163:$S$167,$A124,M$4)</f>
        <v>2.3691223189212823E-2</v>
      </c>
      <c r="N178" s="738">
        <f ca="1">Driver2!$R64*N124/$T124*INDEX($B$163:$S$167,$A124,N$4)</f>
        <v>0</v>
      </c>
      <c r="O178" s="738">
        <f ca="1">Driver2!$R64*O124/$T124*INDEX($B$163:$S$167,$A124,O$4)</f>
        <v>0</v>
      </c>
      <c r="P178" s="738">
        <f ca="1">Driver2!$R64*P124/$T124*INDEX($B$163:$S$167,$A124,P$4)</f>
        <v>0</v>
      </c>
      <c r="Q178" s="738">
        <f ca="1">Driver2!$R64*Q124/$T124*INDEX($B$163:$S$167,$A124,Q$4)</f>
        <v>0.11081758834726334</v>
      </c>
      <c r="R178" s="738">
        <f ca="1">Driver2!$R64*R124/$T124*INDEX($B$163:$S$167,$A124,R$4)</f>
        <v>0</v>
      </c>
      <c r="S178" s="738">
        <f ca="1">Driver2!$R64*S124/$T124*INDEX($B$163:$S$167,$A124,S$4)</f>
        <v>6.044919794423544</v>
      </c>
      <c r="T178" s="738">
        <f t="shared" si="70"/>
        <v>9.2323882473336365</v>
      </c>
      <c r="V178" s="613">
        <f ca="1">VLOOKUP($B178,Driver2!$E$58:$M$93,9,FALSE)</f>
        <v>6.3310081122140991</v>
      </c>
      <c r="W178" s="613" t="s">
        <v>223</v>
      </c>
      <c r="X178" s="613">
        <f t="shared" si="71"/>
        <v>0.68573893803074504</v>
      </c>
    </row>
    <row r="179" spans="1:24" hidden="1">
      <c r="A179" s="613" t="str">
        <f t="shared" si="69"/>
        <v>INM</v>
      </c>
      <c r="B179" s="613" t="s">
        <v>964</v>
      </c>
      <c r="C179" s="738">
        <f ca="1">Driver2!$R65*C125/$T125*INDEX($B$163:$S$167,$A125,C$4)</f>
        <v>0</v>
      </c>
      <c r="D179" s="738">
        <f ca="1">Driver2!$R65*D125/$T125*INDEX($B$163:$S$167,$A125,D$4)</f>
        <v>0</v>
      </c>
      <c r="E179" s="738">
        <f ca="1">Driver2!$R65*E125/$T125*INDEX($B$163:$S$167,$A125,E$4)</f>
        <v>0</v>
      </c>
      <c r="F179" s="738">
        <f ca="1">Driver2!$R65*F125/$T125*INDEX($B$163:$S$167,$A125,F$4)</f>
        <v>0</v>
      </c>
      <c r="G179" s="738">
        <f ca="1">Driver2!$R65*G125/$T125*INDEX($B$163:$S$167,$A125,G$4)</f>
        <v>0</v>
      </c>
      <c r="H179" s="738">
        <f ca="1">Driver2!$R65*H125/$T125*INDEX($B$163:$S$167,$A125,H$4)</f>
        <v>0</v>
      </c>
      <c r="I179" s="738">
        <f ca="1">Driver2!$R65*I125/$T125*INDEX($B$163:$S$167,$A125,I$4)</f>
        <v>0</v>
      </c>
      <c r="J179" s="738">
        <f ca="1">Driver2!$R65*J125/$T125*INDEX($B$163:$S$167,$A125,J$4)</f>
        <v>0</v>
      </c>
      <c r="K179" s="738">
        <f ca="1">Driver2!$R65*K125/$T125*INDEX($B$163:$S$167,$A125,K$4)</f>
        <v>0</v>
      </c>
      <c r="L179" s="738">
        <f ca="1">Driver2!$R65*L125/$T125*INDEX($B$163:$S$167,$A125,L$4)</f>
        <v>0</v>
      </c>
      <c r="M179" s="738">
        <f ca="1">Driver2!$R65*M125/$T125*INDEX($B$163:$S$167,$A125,M$4)</f>
        <v>0</v>
      </c>
      <c r="N179" s="738">
        <f ca="1">Driver2!$R65*N125/$T125*INDEX($B$163:$S$167,$A125,N$4)</f>
        <v>0</v>
      </c>
      <c r="O179" s="738">
        <f ca="1">Driver2!$R65*O125/$T125*INDEX($B$163:$S$167,$A125,O$4)</f>
        <v>0</v>
      </c>
      <c r="P179" s="738">
        <f ca="1">Driver2!$R65*P125/$T125*INDEX($B$163:$S$167,$A125,P$4)</f>
        <v>0</v>
      </c>
      <c r="Q179" s="738">
        <f ca="1">Driver2!$R65*Q125/$T125*INDEX($B$163:$S$167,$A125,Q$4)</f>
        <v>0</v>
      </c>
      <c r="R179" s="738">
        <f ca="1">Driver2!$R65*R125/$T125*INDEX($B$163:$S$167,$A125,R$4)</f>
        <v>0</v>
      </c>
      <c r="S179" s="738">
        <f ca="1">Driver2!$R65*S125/$T125*INDEX($B$163:$S$167,$A125,S$4)</f>
        <v>0</v>
      </c>
      <c r="T179" s="738">
        <f t="shared" si="70"/>
        <v>0</v>
      </c>
      <c r="V179" s="613">
        <f ca="1">VLOOKUP($B179,Driver2!$E$58:$M$93,9,FALSE)</f>
        <v>0</v>
      </c>
      <c r="W179" s="613" t="s">
        <v>215</v>
      </c>
      <c r="X179" s="613" t="b">
        <f t="shared" si="71"/>
        <v>0</v>
      </c>
    </row>
    <row r="180" spans="1:24" hidden="1">
      <c r="A180" s="613" t="str">
        <f t="shared" si="69"/>
        <v>INM</v>
      </c>
      <c r="B180" s="613" t="s">
        <v>965</v>
      </c>
      <c r="C180" s="738">
        <f ca="1">Driver2!$R66*C126/$T126*INDEX($B$163:$S$167,$A126,C$4)</f>
        <v>0</v>
      </c>
      <c r="D180" s="738">
        <f ca="1">Driver2!$R66*D126/$T126*INDEX($B$163:$S$167,$A126,D$4)</f>
        <v>0.15240061404863264</v>
      </c>
      <c r="E180" s="738">
        <f ca="1">Driver2!$R66*E126/$T126*INDEX($B$163:$S$167,$A126,E$4)</f>
        <v>0</v>
      </c>
      <c r="F180" s="738">
        <f ca="1">Driver2!$R66*F126/$T126*INDEX($B$163:$S$167,$A126,F$4)</f>
        <v>0</v>
      </c>
      <c r="G180" s="738">
        <f ca="1">Driver2!$R66*G126/$T126*INDEX($B$163:$S$167,$A126,G$4)</f>
        <v>0.49694475053724085</v>
      </c>
      <c r="H180" s="738">
        <f ca="1">Driver2!$R66*H126/$T126*INDEX($B$163:$S$167,$A126,H$4)</f>
        <v>0</v>
      </c>
      <c r="I180" s="738">
        <f ca="1">Driver2!$R66*I126/$T126*INDEX($B$163:$S$167,$A126,I$4)</f>
        <v>0</v>
      </c>
      <c r="J180" s="738">
        <f ca="1">Driver2!$R66*J126/$T126*INDEX($B$163:$S$167,$A126,J$4)</f>
        <v>0</v>
      </c>
      <c r="K180" s="738">
        <f ca="1">Driver2!$R66*K126/$T126*INDEX($B$163:$S$167,$A126,K$4)</f>
        <v>0</v>
      </c>
      <c r="L180" s="738">
        <f ca="1">Driver2!$R66*L126/$T126*INDEX($B$163:$S$167,$A126,L$4)</f>
        <v>0.1495112615600897</v>
      </c>
      <c r="M180" s="738">
        <f ca="1">Driver2!$R66*M126/$T126*INDEX($B$163:$S$167,$A126,M$4)</f>
        <v>0</v>
      </c>
      <c r="N180" s="738">
        <f ca="1">Driver2!$R66*N126/$T126*INDEX($B$163:$S$167,$A126,N$4)</f>
        <v>0</v>
      </c>
      <c r="O180" s="738">
        <f ca="1">Driver2!$R66*O126/$T126*INDEX($B$163:$S$167,$A126,O$4)</f>
        <v>0</v>
      </c>
      <c r="P180" s="738">
        <f ca="1">Driver2!$R66*P126/$T126*INDEX($B$163:$S$167,$A126,P$4)</f>
        <v>1.7037144139067275</v>
      </c>
      <c r="Q180" s="738">
        <f ca="1">Driver2!$R66*Q126/$T126*INDEX($B$163:$S$167,$A126,Q$4)</f>
        <v>1.8663138211704018</v>
      </c>
      <c r="R180" s="738">
        <f ca="1">Driver2!$R66*R126/$T126*INDEX($B$163:$S$167,$A126,R$4)</f>
        <v>0</v>
      </c>
      <c r="S180" s="738">
        <f ca="1">Driver2!$R66*S126/$T126*INDEX($B$163:$S$167,$A126,S$4)</f>
        <v>0</v>
      </c>
      <c r="T180" s="738">
        <f t="shared" si="70"/>
        <v>4.3688848612230924</v>
      </c>
      <c r="V180" s="613">
        <f ca="1">VLOOKUP($B180,Driver2!$E$58:$M$93,9,FALSE)</f>
        <v>4.3414513747200001</v>
      </c>
      <c r="W180" s="613" t="s">
        <v>217</v>
      </c>
      <c r="X180" s="613">
        <f t="shared" si="71"/>
        <v>0.99372071194949918</v>
      </c>
    </row>
    <row r="181" spans="1:24" hidden="1">
      <c r="A181" s="613" t="str">
        <f t="shared" si="69"/>
        <v>INM</v>
      </c>
      <c r="B181" s="613" t="s">
        <v>412</v>
      </c>
      <c r="C181" s="738">
        <f ca="1">Driver2!$R67*C127/$T127*INDEX($B$163:$S$167,$A127,C$4)</f>
        <v>0</v>
      </c>
      <c r="D181" s="738">
        <f ca="1">Driver2!$R67*D127/$T127*INDEX($B$163:$S$167,$A127,D$4)</f>
        <v>0.32149306098177355</v>
      </c>
      <c r="E181" s="738">
        <f ca="1">Driver2!$R67*E127/$T127*INDEX($B$163:$S$167,$A127,E$4)</f>
        <v>0</v>
      </c>
      <c r="F181" s="738">
        <f ca="1">Driver2!$R67*F127/$T127*INDEX($B$163:$S$167,$A127,F$4)</f>
        <v>0</v>
      </c>
      <c r="G181" s="738">
        <f ca="1">Driver2!$R67*G127/$T127*INDEX($B$163:$S$167,$A127,G$4)</f>
        <v>0.81535835294266135</v>
      </c>
      <c r="H181" s="738">
        <f ca="1">Driver2!$R67*H127/$T127*INDEX($B$163:$S$167,$A127,H$4)</f>
        <v>0</v>
      </c>
      <c r="I181" s="738">
        <f ca="1">Driver2!$R67*I127/$T127*INDEX($B$163:$S$167,$A127,I$4)</f>
        <v>0</v>
      </c>
      <c r="J181" s="738">
        <f ca="1">Driver2!$R67*J127/$T127*INDEX($B$163:$S$167,$A127,J$4)</f>
        <v>0</v>
      </c>
      <c r="K181" s="738">
        <f ca="1">Driver2!$R67*K127/$T127*INDEX($B$163:$S$167,$A127,K$4)</f>
        <v>0</v>
      </c>
      <c r="L181" s="738">
        <f ca="1">Driver2!$R67*L127/$T127*INDEX($B$163:$S$167,$A127,L$4)</f>
        <v>0.23362807164650823</v>
      </c>
      <c r="M181" s="738">
        <f ca="1">Driver2!$R67*M127/$T127*INDEX($B$163:$S$167,$A127,M$4)</f>
        <v>0</v>
      </c>
      <c r="N181" s="738">
        <f ca="1">Driver2!$R67*N127/$T127*INDEX($B$163:$S$167,$A127,N$4)</f>
        <v>0</v>
      </c>
      <c r="O181" s="738">
        <f ca="1">Driver2!$R67*O127/$T127*INDEX($B$163:$S$167,$A127,O$4)</f>
        <v>0</v>
      </c>
      <c r="P181" s="738">
        <f ca="1">Driver2!$R67*P127/$T127*INDEX($B$163:$S$167,$A127,P$4)</f>
        <v>0</v>
      </c>
      <c r="Q181" s="738">
        <f ca="1">Driver2!$R67*Q127/$T127*INDEX($B$163:$S$167,$A127,Q$4)</f>
        <v>0</v>
      </c>
      <c r="R181" s="738">
        <f ca="1">Driver2!$R67*R127/$T127*INDEX($B$163:$S$167,$A127,R$4)</f>
        <v>0</v>
      </c>
      <c r="S181" s="738">
        <f ca="1">Driver2!$R67*S127/$T127*INDEX($B$163:$S$167,$A127,S$4)</f>
        <v>0</v>
      </c>
      <c r="T181" s="738">
        <f t="shared" si="70"/>
        <v>1.370479485570943</v>
      </c>
      <c r="V181" s="613">
        <f ca="1">VLOOKUP($B181,Driver2!$E$58:$M$93,9,FALSE)</f>
        <v>2.1010797000000001</v>
      </c>
      <c r="W181" s="613" t="s">
        <v>411</v>
      </c>
      <c r="X181" s="613">
        <f t="shared" si="71"/>
        <v>1.5330982492778347</v>
      </c>
    </row>
    <row r="182" spans="1:24" hidden="1">
      <c r="A182" s="613" t="str">
        <f t="shared" si="69"/>
        <v>INM</v>
      </c>
      <c r="B182" s="613" t="s">
        <v>362</v>
      </c>
      <c r="C182" s="738">
        <f ca="1">Driver2!$R68*C128/$T128*INDEX($B$163:$S$167,$A128,C$4)</f>
        <v>0.41560686524606644</v>
      </c>
      <c r="D182" s="738">
        <f ca="1">Driver2!$R68*D128/$T128*INDEX($B$163:$S$167,$A128,D$4)</f>
        <v>0.23550626414811487</v>
      </c>
      <c r="E182" s="738">
        <f ca="1">Driver2!$R68*E128/$T128*INDEX($B$163:$S$167,$A128,E$4)</f>
        <v>0</v>
      </c>
      <c r="F182" s="738">
        <f ca="1">Driver2!$R68*F128/$T128*INDEX($B$163:$S$167,$A128,F$4)</f>
        <v>0</v>
      </c>
      <c r="G182" s="738">
        <f ca="1">Driver2!$R68*G128/$T128*INDEX($B$163:$S$167,$A128,G$4)</f>
        <v>0.13962434996214035</v>
      </c>
      <c r="H182" s="738">
        <f ca="1">Driver2!$R68*H128/$T128*INDEX($B$163:$S$167,$A128,H$4)</f>
        <v>0</v>
      </c>
      <c r="I182" s="738">
        <f ca="1">Driver2!$R68*I128/$T128*INDEX($B$163:$S$167,$A128,I$4)</f>
        <v>0</v>
      </c>
      <c r="J182" s="738">
        <f ca="1">Driver2!$R68*J128/$T128*INDEX($B$163:$S$167,$A128,J$4)</f>
        <v>0</v>
      </c>
      <c r="K182" s="738">
        <f ca="1">Driver2!$R68*K128/$T128*INDEX($B$163:$S$167,$A128,K$4)</f>
        <v>0</v>
      </c>
      <c r="L182" s="738">
        <f ca="1">Driver2!$R68*L128/$T128*INDEX($B$163:$S$167,$A128,L$4)</f>
        <v>0.1190212847743609</v>
      </c>
      <c r="M182" s="738">
        <f ca="1">Driver2!$R68*M128/$T128*INDEX($B$163:$S$167,$A128,M$4)</f>
        <v>0</v>
      </c>
      <c r="N182" s="738">
        <f ca="1">Driver2!$R68*N128/$T128*INDEX($B$163:$S$167,$A128,N$4)</f>
        <v>0</v>
      </c>
      <c r="O182" s="738">
        <f ca="1">Driver2!$R68*O128/$T128*INDEX($B$163:$S$167,$A128,O$4)</f>
        <v>0</v>
      </c>
      <c r="P182" s="738">
        <f ca="1">Driver2!$R68*P128/$T128*INDEX($B$163:$S$167,$A128,P$4)</f>
        <v>0</v>
      </c>
      <c r="Q182" s="738">
        <f ca="1">Driver2!$R68*Q128/$T128*INDEX($B$163:$S$167,$A128,Q$4)</f>
        <v>0</v>
      </c>
      <c r="R182" s="738">
        <f ca="1">Driver2!$R68*R128/$T128*INDEX($B$163:$S$167,$A128,R$4)</f>
        <v>0</v>
      </c>
      <c r="S182" s="738">
        <f ca="1">Driver2!$R68*S128/$T128*INDEX($B$163:$S$167,$A128,S$4)</f>
        <v>0</v>
      </c>
      <c r="T182" s="738">
        <f t="shared" si="70"/>
        <v>0.90975876413068257</v>
      </c>
      <c r="V182" s="613">
        <f ca="1">VLOOKUP($B182,Driver2!$E$58:$M$93,9,FALSE)</f>
        <v>1.2968291906601888</v>
      </c>
      <c r="W182" s="613" t="s">
        <v>361</v>
      </c>
      <c r="X182" s="613">
        <f t="shared" si="71"/>
        <v>1.4254649054129973</v>
      </c>
    </row>
    <row r="183" spans="1:24" hidden="1">
      <c r="A183" s="613" t="str">
        <f t="shared" si="69"/>
        <v>INM</v>
      </c>
      <c r="B183" s="613" t="s">
        <v>364</v>
      </c>
      <c r="C183" s="738">
        <f ca="1">Driver2!$R69*C129/$T129*INDEX($B$163:$S$167,$A129,C$4)</f>
        <v>1.0587813713911258</v>
      </c>
      <c r="D183" s="738">
        <f ca="1">Driver2!$R69*D129/$T129*INDEX($B$163:$S$167,$A129,D$4)</f>
        <v>0.31416358215157991</v>
      </c>
      <c r="E183" s="738">
        <f ca="1">Driver2!$R69*E129/$T129*INDEX($B$163:$S$167,$A129,E$4)</f>
        <v>0</v>
      </c>
      <c r="F183" s="738">
        <f ca="1">Driver2!$R69*F129/$T129*INDEX($B$163:$S$167,$A129,F$4)</f>
        <v>0</v>
      </c>
      <c r="G183" s="738">
        <f ca="1">Driver2!$R69*G129/$T129*INDEX($B$163:$S$167,$A129,G$4)</f>
        <v>0.25610451758150843</v>
      </c>
      <c r="H183" s="738">
        <f ca="1">Driver2!$R69*H129/$T129*INDEX($B$163:$S$167,$A129,H$4)</f>
        <v>0</v>
      </c>
      <c r="I183" s="738">
        <f ca="1">Driver2!$R69*I129/$T129*INDEX($B$163:$S$167,$A129,I$4)</f>
        <v>0</v>
      </c>
      <c r="J183" s="738">
        <f ca="1">Driver2!$R69*J129/$T129*INDEX($B$163:$S$167,$A129,J$4)</f>
        <v>0</v>
      </c>
      <c r="K183" s="738">
        <f ca="1">Driver2!$R69*K129/$T129*INDEX($B$163:$S$167,$A129,K$4)</f>
        <v>0</v>
      </c>
      <c r="L183" s="738">
        <f ca="1">Driver2!$R69*L129/$T129*INDEX($B$163:$S$167,$A129,L$4)</f>
        <v>0.32104935100476545</v>
      </c>
      <c r="M183" s="738">
        <f ca="1">Driver2!$R69*M129/$T129*INDEX($B$163:$S$167,$A129,M$4)</f>
        <v>0</v>
      </c>
      <c r="N183" s="738">
        <f ca="1">Driver2!$R69*N129/$T129*INDEX($B$163:$S$167,$A129,N$4)</f>
        <v>0</v>
      </c>
      <c r="O183" s="738">
        <f ca="1">Driver2!$R69*O129/$T129*INDEX($B$163:$S$167,$A129,O$4)</f>
        <v>0</v>
      </c>
      <c r="P183" s="738">
        <f ca="1">Driver2!$R69*P129/$T129*INDEX($B$163:$S$167,$A129,P$4)</f>
        <v>0</v>
      </c>
      <c r="Q183" s="738">
        <f ca="1">Driver2!$R69*Q129/$T129*INDEX($B$163:$S$167,$A129,Q$4)</f>
        <v>0</v>
      </c>
      <c r="R183" s="738">
        <f ca="1">Driver2!$R69*R129/$T129*INDEX($B$163:$S$167,$A129,R$4)</f>
        <v>0</v>
      </c>
      <c r="S183" s="738">
        <f ca="1">Driver2!$R69*S129/$T129*INDEX($B$163:$S$167,$A129,S$4)</f>
        <v>0</v>
      </c>
      <c r="T183" s="738">
        <f t="shared" si="70"/>
        <v>1.9500988221289794</v>
      </c>
      <c r="V183" s="613">
        <f ca="1">VLOOKUP($B183,Driver2!$E$58:$M$93,9,FALSE)</f>
        <v>2.7018331495673777</v>
      </c>
      <c r="W183" s="613" t="s">
        <v>363</v>
      </c>
      <c r="X183" s="613">
        <f t="shared" si="71"/>
        <v>1.3854852476746322</v>
      </c>
    </row>
    <row r="184" spans="1:24" hidden="1">
      <c r="A184" s="613" t="str">
        <f t="shared" si="69"/>
        <v>INM</v>
      </c>
      <c r="B184" s="613" t="s">
        <v>966</v>
      </c>
      <c r="C184" s="738">
        <f ca="1">Driver2!$R70*C130/$T130*INDEX($B$163:$S$167,$A130,C$4)</f>
        <v>1.3940722521645466</v>
      </c>
      <c r="D184" s="738">
        <f ca="1">Driver2!$R70*D130/$T130*INDEX($B$163:$S$167,$A130,D$4)</f>
        <v>0</v>
      </c>
      <c r="E184" s="738">
        <f ca="1">Driver2!$R70*E130/$T130*INDEX($B$163:$S$167,$A130,E$4)</f>
        <v>0.49933221727547988</v>
      </c>
      <c r="F184" s="738">
        <f ca="1">Driver2!$R70*F130/$T130*INDEX($B$163:$S$167,$A130,F$4)</f>
        <v>0</v>
      </c>
      <c r="G184" s="738">
        <f ca="1">Driver2!$R70*G130/$T130*INDEX($B$163:$S$167,$A130,G$4)</f>
        <v>0</v>
      </c>
      <c r="H184" s="738">
        <f ca="1">Driver2!$R70*H130/$T130*INDEX($B$163:$S$167,$A130,H$4)</f>
        <v>0</v>
      </c>
      <c r="I184" s="738">
        <f ca="1">Driver2!$R70*I130/$T130*INDEX($B$163:$S$167,$A130,I$4)</f>
        <v>0</v>
      </c>
      <c r="J184" s="738">
        <f ca="1">Driver2!$R70*J130/$T130*INDEX($B$163:$S$167,$A130,J$4)</f>
        <v>0</v>
      </c>
      <c r="K184" s="738">
        <f ca="1">Driver2!$R70*K130/$T130*INDEX($B$163:$S$167,$A130,K$4)</f>
        <v>0</v>
      </c>
      <c r="L184" s="738">
        <f ca="1">Driver2!$R70*L130/$T130*INDEX($B$163:$S$167,$A130,L$4)</f>
        <v>0</v>
      </c>
      <c r="M184" s="738">
        <f ca="1">Driver2!$R70*M130/$T130*INDEX($B$163:$S$167,$A130,M$4)</f>
        <v>0.16183564242165546</v>
      </c>
      <c r="N184" s="738">
        <f ca="1">Driver2!$R70*N130/$T130*INDEX($B$163:$S$167,$A130,N$4)</f>
        <v>0</v>
      </c>
      <c r="O184" s="738">
        <f ca="1">Driver2!$R70*O130/$T130*INDEX($B$163:$S$167,$A130,O$4)</f>
        <v>0</v>
      </c>
      <c r="P184" s="738">
        <f ca="1">Driver2!$R70*P130/$T130*INDEX($B$163:$S$167,$A130,P$4)</f>
        <v>0</v>
      </c>
      <c r="Q184" s="738">
        <f ca="1">Driver2!$R70*Q130/$T130*INDEX($B$163:$S$167,$A130,Q$4)</f>
        <v>0</v>
      </c>
      <c r="R184" s="738">
        <f ca="1">Driver2!$R70*R130/$T130*INDEX($B$163:$S$167,$A130,R$4)</f>
        <v>0</v>
      </c>
      <c r="S184" s="738">
        <f ca="1">Driver2!$R70*S130/$T130*INDEX($B$163:$S$167,$A130,S$4)</f>
        <v>0</v>
      </c>
      <c r="T184" s="738">
        <f t="shared" si="70"/>
        <v>2.0552401118616821</v>
      </c>
      <c r="V184" s="613">
        <f ca="1">VLOOKUP($B184,Driver2!$E$58:$M$93,9,FALSE)</f>
        <v>2.0412218198865215</v>
      </c>
      <c r="W184" s="613" t="s">
        <v>239</v>
      </c>
      <c r="X184" s="613">
        <f t="shared" si="71"/>
        <v>0.99317924368337551</v>
      </c>
    </row>
    <row r="185" spans="1:24" hidden="1">
      <c r="A185" s="613" t="str">
        <f t="shared" si="69"/>
        <v>INM</v>
      </c>
      <c r="B185" s="613" t="s">
        <v>967</v>
      </c>
      <c r="C185" s="738">
        <f ca="1">Driver2!$R71*C131/$T131*INDEX($B$163:$S$167,$A131,C$4)</f>
        <v>0</v>
      </c>
      <c r="D185" s="738">
        <f ca="1">Driver2!$R71*D131/$T131*INDEX($B$163:$S$167,$A131,D$4)</f>
        <v>8.4350786698988642E-3</v>
      </c>
      <c r="E185" s="738">
        <f ca="1">Driver2!$R71*E131/$T131*INDEX($B$163:$S$167,$A131,E$4)</f>
        <v>0.26066568272452018</v>
      </c>
      <c r="F185" s="738">
        <f ca="1">Driver2!$R71*F131/$T131*INDEX($B$163:$S$167,$A131,F$4)</f>
        <v>0</v>
      </c>
      <c r="G185" s="738">
        <f ca="1">Driver2!$R71*G131/$T131*INDEX($B$163:$S$167,$A131,G$4)</f>
        <v>2.7504928976449242E-2</v>
      </c>
      <c r="H185" s="738">
        <f ca="1">Driver2!$R71*H131/$T131*INDEX($B$163:$S$167,$A131,H$4)</f>
        <v>0.1757995</v>
      </c>
      <c r="I185" s="738">
        <f ca="1">Driver2!$R71*I131/$T131*INDEX($B$163:$S$167,$A131,I$4)</f>
        <v>0.65520070000000008</v>
      </c>
      <c r="J185" s="738">
        <f ca="1">Driver2!$R71*J131/$T131*INDEX($B$163:$S$167,$A131,J$4)</f>
        <v>0.68300109999999981</v>
      </c>
      <c r="K185" s="738">
        <f ca="1">Driver2!$R71*K131/$T131*INDEX($B$163:$S$167,$A131,K$4)</f>
        <v>9.9184999999999968E-3</v>
      </c>
      <c r="L185" s="738">
        <f ca="1">Driver2!$R71*L131/$T131*INDEX($B$163:$S$167,$A131,L$4)</f>
        <v>1.3791931014275529E-2</v>
      </c>
      <c r="M185" s="738">
        <f ca="1">Driver2!$R71*M131/$T131*INDEX($B$163:$S$167,$A131,M$4)</f>
        <v>0.16896565757834456</v>
      </c>
      <c r="N185" s="738">
        <f ca="1">Driver2!$R71*N131/$T131*INDEX($B$163:$S$167,$A131,N$4)</f>
        <v>0</v>
      </c>
      <c r="O185" s="738">
        <f ca="1">Driver2!$R71*O131/$T131*INDEX($B$163:$S$167,$A131,O$4)</f>
        <v>0</v>
      </c>
      <c r="P185" s="738">
        <f ca="1">Driver2!$R71*P131/$T131*INDEX($B$163:$S$167,$A131,P$4)</f>
        <v>6.2864860932725468E-3</v>
      </c>
      <c r="Q185" s="738">
        <f ca="1">Driver2!$R71*Q131/$T131*INDEX($B$163:$S$167,$A131,Q$4)</f>
        <v>0.10329685351050032</v>
      </c>
      <c r="R185" s="738">
        <f ca="1">Driver2!$R71*R131/$T131*INDEX($B$163:$S$167,$A131,R$4)</f>
        <v>0</v>
      </c>
      <c r="S185" s="738">
        <f ca="1">Driver2!$R71*S131/$T131*INDEX($B$163:$S$167,$A131,S$4)</f>
        <v>1.118544892333867</v>
      </c>
      <c r="T185" s="738">
        <f t="shared" si="70"/>
        <v>3.2314113109011284</v>
      </c>
      <c r="V185" s="613">
        <f ca="1">VLOOKUP($B185,Driver2!$E$58:$M$93,9,FALSE)</f>
        <v>1.1991862393381074</v>
      </c>
      <c r="W185" s="613" t="s">
        <v>240</v>
      </c>
      <c r="X185" s="613">
        <f t="shared" si="71"/>
        <v>0.37110294046835407</v>
      </c>
    </row>
    <row r="186" spans="1:24" hidden="1">
      <c r="A186" s="613" t="str">
        <f t="shared" si="69"/>
        <v>INF</v>
      </c>
      <c r="B186" s="613" t="s">
        <v>259</v>
      </c>
      <c r="C186" s="738">
        <f ca="1">Driver2!$R72*C132/$T132*INDEX($B$163:$S$167,$A132,C$4)</f>
        <v>0</v>
      </c>
      <c r="D186" s="738">
        <f ca="1">Driver2!$R72*D132/$T132*INDEX($B$163:$S$167,$A132,D$4)</f>
        <v>0</v>
      </c>
      <c r="E186" s="738">
        <f ca="1">Driver2!$R72*E132/$T132*INDEX($B$163:$S$167,$A132,E$4)</f>
        <v>0</v>
      </c>
      <c r="F186" s="738">
        <f ca="1">Driver2!$R72*F132/$T132*INDEX($B$163:$S$167,$A132,F$4)</f>
        <v>0</v>
      </c>
      <c r="G186" s="738">
        <f ca="1">Driver2!$R72*G132/$T132*INDEX($B$163:$S$167,$A132,G$4)</f>
        <v>0</v>
      </c>
      <c r="H186" s="738">
        <f ca="1">Driver2!$R72*H132/$T132*INDEX($B$163:$S$167,$A132,H$4)</f>
        <v>0</v>
      </c>
      <c r="I186" s="738">
        <f ca="1">Driver2!$R72*I132/$T132*INDEX($B$163:$S$167,$A132,I$4)</f>
        <v>0</v>
      </c>
      <c r="J186" s="738">
        <f ca="1">Driver2!$R72*J132/$T132*INDEX($B$163:$S$167,$A132,J$4)</f>
        <v>0</v>
      </c>
      <c r="K186" s="738">
        <f ca="1">Driver2!$R72*K132/$T132*INDEX($B$163:$S$167,$A132,K$4)</f>
        <v>0</v>
      </c>
      <c r="L186" s="738">
        <f ca="1">Driver2!$R72*L132/$T132*INDEX($B$163:$S$167,$A132,L$4)</f>
        <v>0</v>
      </c>
      <c r="M186" s="738">
        <f ca="1">Driver2!$R72*M132/$T132*INDEX($B$163:$S$167,$A132,M$4)</f>
        <v>0</v>
      </c>
      <c r="N186" s="738">
        <f ca="1">Driver2!$R72*N132/$T132*INDEX($B$163:$S$167,$A132,N$4)</f>
        <v>0</v>
      </c>
      <c r="O186" s="738">
        <f ca="1">Driver2!$R72*O132/$T132*INDEX($B$163:$S$167,$A132,O$4)</f>
        <v>0</v>
      </c>
      <c r="P186" s="738">
        <f ca="1">Driver2!$R72*P132/$T132*INDEX($B$163:$S$167,$A132,P$4)</f>
        <v>0</v>
      </c>
      <c r="Q186" s="738">
        <f ca="1">Driver2!$R72*Q132/$T132*INDEX($B$163:$S$167,$A132,Q$4)</f>
        <v>0</v>
      </c>
      <c r="R186" s="738">
        <f ca="1">Driver2!$R72*R132/$T132*INDEX($B$163:$S$167,$A132,R$4)</f>
        <v>0</v>
      </c>
      <c r="S186" s="738">
        <f ca="1">Driver2!$R72*S132/$T132*INDEX($B$163:$S$167,$A132,S$4)</f>
        <v>0</v>
      </c>
      <c r="T186" s="738">
        <f t="shared" si="70"/>
        <v>0</v>
      </c>
      <c r="V186" s="613">
        <f ca="1">VLOOKUP($B186,Driver2!$E$58:$M$93,9,FALSE)</f>
        <v>0</v>
      </c>
      <c r="W186" s="613" t="s">
        <v>221</v>
      </c>
      <c r="X186" s="613" t="b">
        <f t="shared" si="71"/>
        <v>0</v>
      </c>
    </row>
    <row r="187" spans="1:24" hidden="1">
      <c r="A187" s="613" t="str">
        <f t="shared" si="69"/>
        <v>INF</v>
      </c>
      <c r="B187" s="613" t="s">
        <v>370</v>
      </c>
      <c r="C187" s="738">
        <f ca="1">Driver2!$R73*C133/$T133*INDEX($B$163:$S$167,$A133,C$4)</f>
        <v>1.7544863133076296</v>
      </c>
      <c r="D187" s="738">
        <f ca="1">Driver2!$R73*D133/$T133*INDEX($B$163:$S$167,$A133,D$4)</f>
        <v>1.2929768316236281E-2</v>
      </c>
      <c r="E187" s="738">
        <f ca="1">Driver2!$R73*E133/$T133*INDEX($B$163:$S$167,$A133,E$4)</f>
        <v>0</v>
      </c>
      <c r="F187" s="738">
        <f ca="1">Driver2!$R73*F133/$T133*INDEX($B$163:$S$167,$A133,F$4)</f>
        <v>0</v>
      </c>
      <c r="G187" s="738">
        <f ca="1">Driver2!$R73*G133/$T133*INDEX($B$163:$S$167,$A133,G$4)</f>
        <v>1.2679075162848948E-2</v>
      </c>
      <c r="H187" s="738">
        <f ca="1">Driver2!$R73*H133/$T133*INDEX($B$163:$S$167,$A133,H$4)</f>
        <v>0.17707773613957412</v>
      </c>
      <c r="I187" s="738">
        <f ca="1">Driver2!$R73*I133/$T133*INDEX($B$163:$S$167,$A133,I$4)</f>
        <v>0</v>
      </c>
      <c r="J187" s="738">
        <f ca="1">Driver2!$R73*J133/$T133*INDEX($B$163:$S$167,$A133,J$4)</f>
        <v>0</v>
      </c>
      <c r="K187" s="738">
        <f ca="1">Driver2!$R73*K133/$T133*INDEX($B$163:$S$167,$A133,K$4)</f>
        <v>0</v>
      </c>
      <c r="L187" s="738">
        <f ca="1">Driver2!$R73*L133/$T133*INDEX($B$163:$S$167,$A133,L$4)</f>
        <v>0.17774524862493499</v>
      </c>
      <c r="M187" s="738">
        <f ca="1">Driver2!$R73*M133/$T133*INDEX($B$163:$S$167,$A133,M$4)</f>
        <v>0</v>
      </c>
      <c r="N187" s="738">
        <f ca="1">Driver2!$R73*N133/$T133*INDEX($B$163:$S$167,$A133,N$4)</f>
        <v>0</v>
      </c>
      <c r="O187" s="738">
        <f ca="1">Driver2!$R73*O133/$T133*INDEX($B$163:$S$167,$A133,O$4)</f>
        <v>0</v>
      </c>
      <c r="P187" s="738">
        <f ca="1">Driver2!$R73*P133/$T133*INDEX($B$163:$S$167,$A133,P$4)</f>
        <v>0</v>
      </c>
      <c r="Q187" s="738">
        <f ca="1">Driver2!$R73*Q133/$T133*INDEX($B$163:$S$167,$A133,Q$4)</f>
        <v>0</v>
      </c>
      <c r="R187" s="738">
        <f ca="1">Driver2!$R73*R133/$T133*INDEX($B$163:$S$167,$A133,R$4)</f>
        <v>0</v>
      </c>
      <c r="S187" s="738">
        <f ca="1">Driver2!$R73*S133/$T133*INDEX($B$163:$S$167,$A133,S$4)</f>
        <v>0</v>
      </c>
      <c r="T187" s="738">
        <f t="shared" si="70"/>
        <v>2.1349181415512239</v>
      </c>
      <c r="V187" s="613">
        <f ca="1">VLOOKUP($B187,Driver2!$E$58:$M$93,9,FALSE)</f>
        <v>2.4423479517043418</v>
      </c>
      <c r="W187" s="613" t="s">
        <v>369</v>
      </c>
      <c r="X187" s="613">
        <f t="shared" si="71"/>
        <v>1.144000748398597</v>
      </c>
    </row>
    <row r="188" spans="1:24" hidden="1">
      <c r="A188" s="613" t="str">
        <f t="shared" si="69"/>
        <v>INF</v>
      </c>
      <c r="B188" s="613" t="s">
        <v>417</v>
      </c>
      <c r="C188" s="738">
        <f ca="1">Driver2!$R74*C134/$T134*INDEX($B$163:$S$167,$A134,C$4)</f>
        <v>3.4042086713005077</v>
      </c>
      <c r="D188" s="738">
        <f ca="1">Driver2!$R74*D134/$T134*INDEX($B$163:$S$167,$A134,D$4)</f>
        <v>7.6656169948753723E-3</v>
      </c>
      <c r="E188" s="738">
        <f ca="1">Driver2!$R74*E134/$T134*INDEX($B$163:$S$167,$A134,E$4)</f>
        <v>0</v>
      </c>
      <c r="F188" s="738">
        <f ca="1">Driver2!$R74*F134/$T134*INDEX($B$163:$S$167,$A134,F$4)</f>
        <v>0</v>
      </c>
      <c r="G188" s="738">
        <f ca="1">Driver2!$R74*G134/$T134*INDEX($B$163:$S$167,$A134,G$4)</f>
        <v>0</v>
      </c>
      <c r="H188" s="738">
        <f ca="1">Driver2!$R74*H134/$T134*INDEX($B$163:$S$167,$A134,H$4)</f>
        <v>0</v>
      </c>
      <c r="I188" s="738">
        <f ca="1">Driver2!$R74*I134/$T134*INDEX($B$163:$S$167,$A134,I$4)</f>
        <v>0</v>
      </c>
      <c r="J188" s="738">
        <f ca="1">Driver2!$R74*J134/$T134*INDEX($B$163:$S$167,$A134,J$4)</f>
        <v>0</v>
      </c>
      <c r="K188" s="738">
        <f ca="1">Driver2!$R74*K134/$T134*INDEX($B$163:$S$167,$A134,K$4)</f>
        <v>0</v>
      </c>
      <c r="L188" s="738">
        <f ca="1">Driver2!$R74*L134/$T134*INDEX($B$163:$S$167,$A134,L$4)</f>
        <v>5.2689536474783E-2</v>
      </c>
      <c r="M188" s="738">
        <f ca="1">Driver2!$R74*M134/$T134*INDEX($B$163:$S$167,$A134,M$4)</f>
        <v>0</v>
      </c>
      <c r="N188" s="738">
        <f ca="1">Driver2!$R74*N134/$T134*INDEX($B$163:$S$167,$A134,N$4)</f>
        <v>0</v>
      </c>
      <c r="O188" s="738">
        <f ca="1">Driver2!$R74*O134/$T134*INDEX($B$163:$S$167,$A134,O$4)</f>
        <v>0</v>
      </c>
      <c r="P188" s="738">
        <f ca="1">Driver2!$R74*P134/$T134*INDEX($B$163:$S$167,$A134,P$4)</f>
        <v>0</v>
      </c>
      <c r="Q188" s="738">
        <f ca="1">Driver2!$R74*Q134/$T134*INDEX($B$163:$S$167,$A134,Q$4)</f>
        <v>0</v>
      </c>
      <c r="R188" s="738">
        <f ca="1">Driver2!$R74*R134/$T134*INDEX($B$163:$S$167,$A134,R$4)</f>
        <v>0</v>
      </c>
      <c r="S188" s="738">
        <f ca="1">Driver2!$R74*S134/$T134*INDEX($B$163:$S$167,$A134,S$4)</f>
        <v>0</v>
      </c>
      <c r="T188" s="738">
        <f t="shared" si="70"/>
        <v>3.464563824770166</v>
      </c>
      <c r="V188" s="613">
        <f ca="1">VLOOKUP($B188,Driver2!$E$58:$M$93,9,FALSE)</f>
        <v>3.9328896000000002</v>
      </c>
      <c r="W188" s="613" t="s">
        <v>404</v>
      </c>
      <c r="X188" s="613">
        <f t="shared" si="71"/>
        <v>1.1351759698815485</v>
      </c>
    </row>
    <row r="189" spans="1:24" hidden="1">
      <c r="A189" s="613" t="str">
        <f t="shared" si="69"/>
        <v>INF</v>
      </c>
      <c r="B189" s="613" t="s">
        <v>418</v>
      </c>
      <c r="C189" s="738">
        <f ca="1">Driver2!$R75*C135/$T135*INDEX($B$163:$S$167,$A135,C$4)</f>
        <v>0.16171180277779681</v>
      </c>
      <c r="D189" s="738">
        <f ca="1">Driver2!$R75*D135/$T135*INDEX($B$163:$S$167,$A135,D$4)</f>
        <v>7.6470152479250564E-3</v>
      </c>
      <c r="E189" s="738">
        <f ca="1">Driver2!$R75*E135/$T135*INDEX($B$163:$S$167,$A135,E$4)</f>
        <v>0.13260742858226823</v>
      </c>
      <c r="F189" s="738">
        <f ca="1">Driver2!$R75*F135/$T135*INDEX($B$163:$S$167,$A135,F$4)</f>
        <v>0</v>
      </c>
      <c r="G189" s="738">
        <f ca="1">Driver2!$R75*G135/$T135*INDEX($B$163:$S$167,$A135,G$4)</f>
        <v>0</v>
      </c>
      <c r="H189" s="738">
        <f ca="1">Driver2!$R75*H135/$T135*INDEX($B$163:$S$167,$A135,H$4)</f>
        <v>1.4961224309321383E-2</v>
      </c>
      <c r="I189" s="738">
        <f ca="1">Driver2!$R75*I135/$T135*INDEX($B$163:$S$167,$A135,I$4)</f>
        <v>0</v>
      </c>
      <c r="J189" s="738">
        <f ca="1">Driver2!$R75*J135/$T135*INDEX($B$163:$S$167,$A135,J$4)</f>
        <v>0</v>
      </c>
      <c r="K189" s="738">
        <f ca="1">Driver2!$R75*K135/$T135*INDEX($B$163:$S$167,$A135,K$4)</f>
        <v>0</v>
      </c>
      <c r="L189" s="738">
        <f ca="1">Driver2!$R75*L135/$T135*INDEX($B$163:$S$167,$A135,L$4)</f>
        <v>3.7544055404255885E-2</v>
      </c>
      <c r="M189" s="738">
        <f ca="1">Driver2!$R75*M135/$T135*INDEX($B$163:$S$167,$A135,M$4)</f>
        <v>0</v>
      </c>
      <c r="N189" s="738">
        <f ca="1">Driver2!$R75*N135/$T135*INDEX($B$163:$S$167,$A135,N$4)</f>
        <v>0</v>
      </c>
      <c r="O189" s="738">
        <f ca="1">Driver2!$R75*O135/$T135*INDEX($B$163:$S$167,$A135,O$4)</f>
        <v>0</v>
      </c>
      <c r="P189" s="738">
        <f ca="1">Driver2!$R75*P135/$T135*INDEX($B$163:$S$167,$A135,P$4)</f>
        <v>0</v>
      </c>
      <c r="Q189" s="738">
        <f ca="1">Driver2!$R75*Q135/$T135*INDEX($B$163:$S$167,$A135,Q$4)</f>
        <v>0</v>
      </c>
      <c r="R189" s="738">
        <f ca="1">Driver2!$R75*R135/$T135*INDEX($B$163:$S$167,$A135,R$4)</f>
        <v>0</v>
      </c>
      <c r="S189" s="738">
        <f ca="1">Driver2!$R75*S135/$T135*INDEX($B$163:$S$167,$A135,S$4)</f>
        <v>0</v>
      </c>
      <c r="T189" s="738">
        <f t="shared" si="70"/>
        <v>0.35447152632156737</v>
      </c>
      <c r="V189" s="613">
        <f ca="1">VLOOKUP($B189,Driver2!$E$58:$M$93,9,FALSE)</f>
        <v>0.36310517259454594</v>
      </c>
      <c r="W189" s="613" t="s">
        <v>405</v>
      </c>
      <c r="X189" s="613">
        <f t="shared" si="71"/>
        <v>1.0243563886853535</v>
      </c>
    </row>
    <row r="190" spans="1:24" hidden="1">
      <c r="A190" s="613" t="str">
        <f t="shared" si="69"/>
        <v>INF</v>
      </c>
      <c r="B190" s="613" t="s">
        <v>968</v>
      </c>
      <c r="C190" s="738">
        <f ca="1">Driver2!$R76*C136/$T136*INDEX($B$163:$S$167,$A136,C$4)</f>
        <v>1.4782811722796663</v>
      </c>
      <c r="D190" s="738">
        <f ca="1">Driver2!$R76*D136/$T136*INDEX($B$163:$S$167,$A136,D$4)</f>
        <v>0</v>
      </c>
      <c r="E190" s="738">
        <f ca="1">Driver2!$R76*E136/$T136*INDEX($B$163:$S$167,$A136,E$4)</f>
        <v>0.22494894021816816</v>
      </c>
      <c r="F190" s="738">
        <f ca="1">Driver2!$R76*F136/$T136*INDEX($B$163:$S$167,$A136,F$4)</f>
        <v>0</v>
      </c>
      <c r="G190" s="738">
        <f ca="1">Driver2!$R76*G136/$T136*INDEX($B$163:$S$167,$A136,G$4)</f>
        <v>0</v>
      </c>
      <c r="H190" s="738">
        <f ca="1">Driver2!$R76*H136/$T136*INDEX($B$163:$S$167,$A136,H$4)</f>
        <v>0</v>
      </c>
      <c r="I190" s="738">
        <f ca="1">Driver2!$R76*I136/$T136*INDEX($B$163:$S$167,$A136,I$4)</f>
        <v>0</v>
      </c>
      <c r="J190" s="738">
        <f ca="1">Driver2!$R76*J136/$T136*INDEX($B$163:$S$167,$A136,J$4)</f>
        <v>0</v>
      </c>
      <c r="K190" s="738">
        <f ca="1">Driver2!$R76*K136/$T136*INDEX($B$163:$S$167,$A136,K$4)</f>
        <v>0</v>
      </c>
      <c r="L190" s="738">
        <f ca="1">Driver2!$R76*L136/$T136*INDEX($B$163:$S$167,$A136,L$4)</f>
        <v>0</v>
      </c>
      <c r="M190" s="738">
        <f ca="1">Driver2!$R76*M136/$T136*INDEX($B$163:$S$167,$A136,M$4)</f>
        <v>0</v>
      </c>
      <c r="N190" s="738">
        <f ca="1">Driver2!$R76*N136/$T136*INDEX($B$163:$S$167,$A136,N$4)</f>
        <v>0</v>
      </c>
      <c r="O190" s="738">
        <f ca="1">Driver2!$R76*O136/$T136*INDEX($B$163:$S$167,$A136,O$4)</f>
        <v>0</v>
      </c>
      <c r="P190" s="738">
        <f ca="1">Driver2!$R76*P136/$T136*INDEX($B$163:$S$167,$A136,P$4)</f>
        <v>0</v>
      </c>
      <c r="Q190" s="738">
        <f ca="1">Driver2!$R76*Q136/$T136*INDEX($B$163:$S$167,$A136,Q$4)</f>
        <v>0</v>
      </c>
      <c r="R190" s="738">
        <f ca="1">Driver2!$R76*R136/$T136*INDEX($B$163:$S$167,$A136,R$4)</f>
        <v>0</v>
      </c>
      <c r="S190" s="738">
        <f ca="1">Driver2!$R76*S136/$T136*INDEX($B$163:$S$167,$A136,S$4)</f>
        <v>0</v>
      </c>
      <c r="T190" s="738">
        <f t="shared" si="70"/>
        <v>1.7032301124978344</v>
      </c>
      <c r="V190" s="613">
        <f ca="1">VLOOKUP($B190,Driver2!$E$58:$M$93,9,FALSE)</f>
        <v>1.8627467984019057</v>
      </c>
      <c r="W190" s="613" t="s">
        <v>235</v>
      </c>
      <c r="X190" s="613">
        <f t="shared" si="71"/>
        <v>1.0936553932047006</v>
      </c>
    </row>
    <row r="191" spans="1:24" hidden="1">
      <c r="A191" s="613" t="str">
        <f t="shared" si="69"/>
        <v>INF</v>
      </c>
      <c r="B191" s="613" t="s">
        <v>969</v>
      </c>
      <c r="C191" s="738">
        <f ca="1">Driver2!$R77*C137/$T137*INDEX($B$163:$S$167,$A137,C$4)</f>
        <v>0</v>
      </c>
      <c r="D191" s="738">
        <f ca="1">Driver2!$R77*D137/$T137*INDEX($B$163:$S$167,$A137,D$4)</f>
        <v>1.8557699440963287E-2</v>
      </c>
      <c r="E191" s="738">
        <f ca="1">Driver2!$R77*E137/$T137*INDEX($B$163:$S$167,$A137,E$4)</f>
        <v>0.3754454311995637</v>
      </c>
      <c r="F191" s="738">
        <f ca="1">Driver2!$R77*F137/$T137*INDEX($B$163:$S$167,$A137,F$4)</f>
        <v>0</v>
      </c>
      <c r="G191" s="738">
        <f ca="1">Driver2!$R77*G137/$T137*INDEX($B$163:$S$167,$A137,G$4)</f>
        <v>1.2131924837151052E-2</v>
      </c>
      <c r="H191" s="738">
        <f ca="1">Driver2!$R77*H137/$T137*INDEX($B$163:$S$167,$A137,H$4)</f>
        <v>4.2359039551104469E-2</v>
      </c>
      <c r="I191" s="738">
        <f ca="1">Driver2!$R77*I137/$T137*INDEX($B$163:$S$167,$A137,I$4)</f>
        <v>0</v>
      </c>
      <c r="J191" s="738">
        <f ca="1">Driver2!$R77*J137/$T137*INDEX($B$163:$S$167,$A137,J$4)</f>
        <v>0</v>
      </c>
      <c r="K191" s="738">
        <f ca="1">Driver2!$R77*K137/$T137*INDEX($B$163:$S$167,$A137,K$4)</f>
        <v>9.9184999999999985E-3</v>
      </c>
      <c r="L191" s="738">
        <f ca="1">Driver2!$R77*L137/$T137*INDEX($B$163:$S$167,$A137,L$4)</f>
        <v>5.1022459496026122E-2</v>
      </c>
      <c r="M191" s="738">
        <f ca="1">Driver2!$R77*M137/$T137*INDEX($B$163:$S$167,$A137,M$4)</f>
        <v>0</v>
      </c>
      <c r="N191" s="738">
        <f ca="1">Driver2!$R77*N137/$T137*INDEX($B$163:$S$167,$A137,N$4)</f>
        <v>0</v>
      </c>
      <c r="O191" s="738">
        <f ca="1">Driver2!$R77*O137/$T137*INDEX($B$163:$S$167,$A137,O$4)</f>
        <v>0</v>
      </c>
      <c r="P191" s="738">
        <f ca="1">Driver2!$R77*P137/$T137*INDEX($B$163:$S$167,$A137,P$4)</f>
        <v>0</v>
      </c>
      <c r="Q191" s="738">
        <f ca="1">Driver2!$R77*Q137/$T137*INDEX($B$163:$S$167,$A137,Q$4)</f>
        <v>1.5931277664700233E-2</v>
      </c>
      <c r="R191" s="738">
        <f ca="1">Driver2!$R77*R137/$T137*INDEX($B$163:$S$167,$A137,R$4)</f>
        <v>0</v>
      </c>
      <c r="S191" s="738">
        <f ca="1">Driver2!$R77*S137/$T137*INDEX($B$163:$S$167,$A137,S$4)</f>
        <v>3.2619253377935258</v>
      </c>
      <c r="T191" s="738">
        <f t="shared" si="70"/>
        <v>3.7872916699830346</v>
      </c>
      <c r="V191" s="613">
        <f ca="1">VLOOKUP($B191,Driver2!$E$58:$M$93,9,FALSE)</f>
        <v>2.6221577850202591</v>
      </c>
      <c r="W191" s="613" t="s">
        <v>236</v>
      </c>
      <c r="X191" s="613">
        <f t="shared" si="71"/>
        <v>0.69235696996952056</v>
      </c>
    </row>
    <row r="192" spans="1:24" hidden="1">
      <c r="A192" s="613" t="str">
        <f t="shared" si="69"/>
        <v>ICH</v>
      </c>
      <c r="B192" s="613" t="s">
        <v>360</v>
      </c>
      <c r="C192" s="738">
        <f ca="1">Driver2!$R78*C138/$T138*INDEX($B$163:$S$167,$A138,C$4)</f>
        <v>0.1436599163540199</v>
      </c>
      <c r="D192" s="738">
        <f ca="1">Driver2!$R78*D138/$T138*INDEX($B$163:$S$167,$A138,D$4)</f>
        <v>3.1604998064449268E-2</v>
      </c>
      <c r="E192" s="738">
        <f ca="1">Driver2!$R78*E138/$T138*INDEX($B$163:$S$167,$A138,E$4)</f>
        <v>0.50472859245664259</v>
      </c>
      <c r="F192" s="738">
        <f ca="1">Driver2!$R78*F138/$T138*INDEX($B$163:$S$167,$A138,F$4)</f>
        <v>0</v>
      </c>
      <c r="G192" s="738">
        <f ca="1">Driver2!$R78*G138/$T138*INDEX($B$163:$S$167,$A138,G$4)</f>
        <v>0</v>
      </c>
      <c r="H192" s="738">
        <f ca="1">Driver2!$R78*H138/$T138*INDEX($B$163:$S$167,$A138,H$4)</f>
        <v>0</v>
      </c>
      <c r="I192" s="738">
        <f ca="1">Driver2!$R78*I138/$T138*INDEX($B$163:$S$167,$A138,I$4)</f>
        <v>0</v>
      </c>
      <c r="J192" s="738">
        <f ca="1">Driver2!$R78*J138/$T138*INDEX($B$163:$S$167,$A138,J$4)</f>
        <v>0</v>
      </c>
      <c r="K192" s="738">
        <f ca="1">Driver2!$R78*K138/$T138*INDEX($B$163:$S$167,$A138,K$4)</f>
        <v>0</v>
      </c>
      <c r="L192" s="738">
        <f ca="1">Driver2!$R78*L138/$T138*INDEX($B$163:$S$167,$A138,L$4)</f>
        <v>6.6973941408085436E-2</v>
      </c>
      <c r="M192" s="738">
        <f ca="1">Driver2!$R78*M138/$T138*INDEX($B$163:$S$167,$A138,M$4)</f>
        <v>9.7193037753671181E-3</v>
      </c>
      <c r="N192" s="738">
        <f ca="1">Driver2!$R78*N138/$T138*INDEX($B$163:$S$167,$A138,N$4)</f>
        <v>2.3852564054484752E-3</v>
      </c>
      <c r="O192" s="738">
        <f ca="1">Driver2!$R78*O138/$T138*INDEX($B$163:$S$167,$A138,O$4)</f>
        <v>2.0166565462288299</v>
      </c>
      <c r="P192" s="738">
        <f ca="1">Driver2!$R78*P138/$T138*INDEX($B$163:$S$167,$A138,P$4)</f>
        <v>0</v>
      </c>
      <c r="Q192" s="738">
        <f ca="1">Driver2!$R78*Q138/$T138*INDEX($B$163:$S$167,$A138,Q$4)</f>
        <v>0</v>
      </c>
      <c r="R192" s="738">
        <f ca="1">Driver2!$R78*R138/$T138*INDEX($B$163:$S$167,$A138,R$4)</f>
        <v>0</v>
      </c>
      <c r="S192" s="738">
        <f ca="1">Driver2!$R78*S138/$T138*INDEX($B$163:$S$167,$A138,S$4)</f>
        <v>0</v>
      </c>
      <c r="T192" s="738">
        <f t="shared" si="70"/>
        <v>2.7757285546928427</v>
      </c>
      <c r="V192" s="613">
        <f ca="1">VLOOKUP($B192,Driver2!$E$58:$M$93,9,FALSE)</f>
        <v>2.1881048040731428</v>
      </c>
      <c r="W192" s="613" t="s">
        <v>359</v>
      </c>
      <c r="X192" s="613">
        <f t="shared" si="71"/>
        <v>0.78829927385146448</v>
      </c>
    </row>
    <row r="193" spans="1:24" hidden="1">
      <c r="A193" s="613" t="str">
        <f t="shared" si="69"/>
        <v>ICH</v>
      </c>
      <c r="B193" s="613" t="s">
        <v>972</v>
      </c>
      <c r="C193" s="738">
        <f ca="1">Driver2!$R79*C139/$T139*INDEX($B$163:$S$167,$A139,C$4)</f>
        <v>2.2611513596921189E-2</v>
      </c>
      <c r="D193" s="738">
        <f ca="1">Driver2!$R79*D139/$T139*INDEX($B$163:$S$167,$A139,D$4)</f>
        <v>3.7308780779039068E-3</v>
      </c>
      <c r="E193" s="738">
        <f ca="1">Driver2!$R79*E139/$T139*INDEX($B$163:$S$167,$A139,E$4)</f>
        <v>7.944232267937637E-2</v>
      </c>
      <c r="F193" s="738">
        <f ca="1">Driver2!$R79*F139/$T139*INDEX($B$163:$S$167,$A139,F$4)</f>
        <v>0</v>
      </c>
      <c r="G193" s="738">
        <f ca="1">Driver2!$R79*G139/$T139*INDEX($B$163:$S$167,$A139,G$4)</f>
        <v>0</v>
      </c>
      <c r="H193" s="738">
        <f ca="1">Driver2!$R79*H139/$T139*INDEX($B$163:$S$167,$A139,H$4)</f>
        <v>0</v>
      </c>
      <c r="I193" s="738">
        <f ca="1">Driver2!$R79*I139/$T139*INDEX($B$163:$S$167,$A139,I$4)</f>
        <v>0</v>
      </c>
      <c r="J193" s="738">
        <f ca="1">Driver2!$R79*J139/$T139*INDEX($B$163:$S$167,$A139,J$4)</f>
        <v>0</v>
      </c>
      <c r="K193" s="738">
        <f ca="1">Driver2!$R79*K139/$T139*INDEX($B$163:$S$167,$A139,K$4)</f>
        <v>0</v>
      </c>
      <c r="L193" s="738">
        <f ca="1">Driver2!$R79*L139/$T139*INDEX($B$163:$S$167,$A139,L$4)</f>
        <v>1.0541438594857927E-2</v>
      </c>
      <c r="M193" s="738">
        <f ca="1">Driver2!$R79*M139/$T139*INDEX($B$163:$S$167,$A139,M$4)</f>
        <v>1.5297807143904237E-3</v>
      </c>
      <c r="N193" s="738">
        <f ca="1">Driver2!$R79*N139/$T139*INDEX($B$163:$S$167,$A139,N$4)</f>
        <v>7.5086021226730834E-4</v>
      </c>
      <c r="O193" s="738">
        <f ca="1">Driver2!$R79*O139/$T139*INDEX($B$163:$S$167,$A139,O$4)</f>
        <v>0.31741391804101055</v>
      </c>
      <c r="P193" s="738">
        <f ca="1">Driver2!$R79*P139/$T139*INDEX($B$163:$S$167,$A139,P$4)</f>
        <v>0</v>
      </c>
      <c r="Q193" s="738">
        <f ca="1">Driver2!$R79*Q139/$T139*INDEX($B$163:$S$167,$A139,Q$4)</f>
        <v>0</v>
      </c>
      <c r="R193" s="738">
        <f ca="1">Driver2!$R79*R139/$T139*INDEX($B$163:$S$167,$A139,R$4)</f>
        <v>0</v>
      </c>
      <c r="S193" s="738">
        <f ca="1">Driver2!$R79*S139/$T139*INDEX($B$163:$S$167,$A139,S$4)</f>
        <v>0</v>
      </c>
      <c r="T193" s="738">
        <f t="shared" si="70"/>
        <v>0.43602071191672764</v>
      </c>
      <c r="V193" s="613">
        <f ca="1">VLOOKUP($B193,Driver2!$E$58:$M$93,9,FALSE)</f>
        <v>0.34338181903516063</v>
      </c>
      <c r="W193" s="613" t="s">
        <v>253</v>
      </c>
      <c r="X193" s="613">
        <f t="shared" si="71"/>
        <v>0.78753556803682434</v>
      </c>
    </row>
    <row r="194" spans="1:24" hidden="1">
      <c r="A194" s="613" t="str">
        <f t="shared" si="69"/>
        <v>ICH</v>
      </c>
      <c r="B194" s="613" t="s">
        <v>358</v>
      </c>
      <c r="C194" s="738">
        <f ca="1">Driver2!$R80*C140/$T140*INDEX($B$163:$S$167,$A140,C$4)</f>
        <v>0.13518787028154591</v>
      </c>
      <c r="D194" s="738">
        <f ca="1">Driver2!$R80*D140/$T140*INDEX($B$163:$S$167,$A140,D$4)</f>
        <v>0.11152934532003475</v>
      </c>
      <c r="E194" s="738">
        <f ca="1">Driver2!$R80*E140/$T140*INDEX($B$163:$S$167,$A140,E$4)</f>
        <v>0</v>
      </c>
      <c r="F194" s="738">
        <f ca="1">Driver2!$R80*F140/$T140*INDEX($B$163:$S$167,$A140,F$4)</f>
        <v>0</v>
      </c>
      <c r="G194" s="738">
        <f ca="1">Driver2!$R80*G140/$T140*INDEX($B$163:$S$167,$A140,G$4)</f>
        <v>0</v>
      </c>
      <c r="H194" s="738">
        <f ca="1">Driver2!$R80*H140/$T140*INDEX($B$163:$S$167,$A140,H$4)</f>
        <v>0</v>
      </c>
      <c r="I194" s="738">
        <f ca="1">Driver2!$R80*I140/$T140*INDEX($B$163:$S$167,$A140,I$4)</f>
        <v>0</v>
      </c>
      <c r="J194" s="738">
        <f ca="1">Driver2!$R80*J140/$T140*INDEX($B$163:$S$167,$A140,J$4)</f>
        <v>0</v>
      </c>
      <c r="K194" s="738">
        <f ca="1">Driver2!$R80*K140/$T140*INDEX($B$163:$S$167,$A140,K$4)</f>
        <v>0</v>
      </c>
      <c r="L194" s="738">
        <f ca="1">Driver2!$R80*L140/$T140*INDEX($B$163:$S$167,$A140,L$4)</f>
        <v>0</v>
      </c>
      <c r="M194" s="738">
        <f ca="1">Driver2!$R80*M140/$T140*INDEX($B$163:$S$167,$A140,M$4)</f>
        <v>0</v>
      </c>
      <c r="N194" s="738">
        <f ca="1">Driver2!$R80*N140/$T140*INDEX($B$163:$S$167,$A140,N$4)</f>
        <v>0</v>
      </c>
      <c r="O194" s="738">
        <f ca="1">Driver2!$R80*O140/$T140*INDEX($B$163:$S$167,$A140,O$4)</f>
        <v>0.37954568051143767</v>
      </c>
      <c r="P194" s="738">
        <f ca="1">Driver2!$R80*P140/$T140*INDEX($B$163:$S$167,$A140,P$4)</f>
        <v>0</v>
      </c>
      <c r="Q194" s="738">
        <f ca="1">Driver2!$R80*Q140/$T140*INDEX($B$163:$S$167,$A140,Q$4)</f>
        <v>0</v>
      </c>
      <c r="R194" s="738">
        <f ca="1">Driver2!$R80*R140/$T140*INDEX($B$163:$S$167,$A140,R$4)</f>
        <v>0</v>
      </c>
      <c r="S194" s="738">
        <f ca="1">Driver2!$R80*S140/$T140*INDEX($B$163:$S$167,$A140,S$4)</f>
        <v>0</v>
      </c>
      <c r="T194" s="738">
        <f t="shared" si="70"/>
        <v>0.62626289611301833</v>
      </c>
      <c r="V194" s="613">
        <f ca="1">VLOOKUP($B194,Driver2!$E$58:$M$93,9,FALSE)</f>
        <v>0.52671561428571423</v>
      </c>
      <c r="W194" s="613" t="s">
        <v>357</v>
      </c>
      <c r="X194" s="613">
        <f t="shared" si="71"/>
        <v>0.84104553783218328</v>
      </c>
    </row>
    <row r="195" spans="1:24" hidden="1">
      <c r="A195" s="613" t="str">
        <f t="shared" si="69"/>
        <v>ICH</v>
      </c>
      <c r="B195" s="613" t="s">
        <v>541</v>
      </c>
      <c r="C195" s="738">
        <f ca="1">Driver2!$R81*C141/$T141*INDEX($B$163:$S$167,$A141,C$4)</f>
        <v>0.9249024418938786</v>
      </c>
      <c r="D195" s="738">
        <f ca="1">Driver2!$R81*D141/$T141*INDEX($B$163:$S$167,$A141,D$4)</f>
        <v>0</v>
      </c>
      <c r="E195" s="738">
        <f ca="1">Driver2!$R81*E141/$T141*INDEX($B$163:$S$167,$A141,E$4)</f>
        <v>0</v>
      </c>
      <c r="F195" s="738">
        <f ca="1">Driver2!$R81*F141/$T141*INDEX($B$163:$S$167,$A141,F$4)</f>
        <v>0</v>
      </c>
      <c r="G195" s="738">
        <f ca="1">Driver2!$R81*G141/$T141*INDEX($B$163:$S$167,$A141,G$4)</f>
        <v>0</v>
      </c>
      <c r="H195" s="738">
        <f ca="1">Driver2!$R81*H141/$T141*INDEX($B$163:$S$167,$A141,H$4)</f>
        <v>0</v>
      </c>
      <c r="I195" s="738">
        <f ca="1">Driver2!$R81*I141/$T141*INDEX($B$163:$S$167,$A141,I$4)</f>
        <v>0</v>
      </c>
      <c r="J195" s="738">
        <f ca="1">Driver2!$R81*J141/$T141*INDEX($B$163:$S$167,$A141,J$4)</f>
        <v>0</v>
      </c>
      <c r="K195" s="738">
        <f ca="1">Driver2!$R81*K141/$T141*INDEX($B$163:$S$167,$A141,K$4)</f>
        <v>0</v>
      </c>
      <c r="L195" s="738">
        <f ca="1">Driver2!$R81*L141/$T141*INDEX($B$163:$S$167,$A141,L$4)</f>
        <v>0</v>
      </c>
      <c r="M195" s="738">
        <f ca="1">Driver2!$R81*M141/$T141*INDEX($B$163:$S$167,$A141,M$4)</f>
        <v>0</v>
      </c>
      <c r="N195" s="738">
        <f ca="1">Driver2!$R81*N141/$T141*INDEX($B$163:$S$167,$A141,N$4)</f>
        <v>0</v>
      </c>
      <c r="O195" s="738">
        <f ca="1">Driver2!$R81*O141/$T141*INDEX($B$163:$S$167,$A141,O$4)</f>
        <v>0</v>
      </c>
      <c r="P195" s="738">
        <f ca="1">Driver2!$R81*P141/$T141*INDEX($B$163:$S$167,$A141,P$4)</f>
        <v>0</v>
      </c>
      <c r="Q195" s="738">
        <f ca="1">Driver2!$R81*Q141/$T141*INDEX($B$163:$S$167,$A141,Q$4)</f>
        <v>0</v>
      </c>
      <c r="R195" s="738">
        <f ca="1">Driver2!$R81*R141/$T141*INDEX($B$163:$S$167,$A141,R$4)</f>
        <v>0</v>
      </c>
      <c r="S195" s="738">
        <f ca="1">Driver2!$R81*S141/$T141*INDEX($B$163:$S$167,$A141,S$4)</f>
        <v>0</v>
      </c>
      <c r="T195" s="738">
        <f t="shared" si="70"/>
        <v>0.9249024418938786</v>
      </c>
      <c r="V195" s="613">
        <f ca="1">VLOOKUP($B195,Driver2!$E$58:$M$93,9,FALSE)</f>
        <v>0.8640000000000001</v>
      </c>
      <c r="W195" s="613" t="s">
        <v>540</v>
      </c>
      <c r="X195" s="613">
        <f t="shared" si="71"/>
        <v>0.93415257746625524</v>
      </c>
    </row>
    <row r="196" spans="1:24" hidden="1">
      <c r="A196" s="613" t="str">
        <f t="shared" si="69"/>
        <v>ICH</v>
      </c>
      <c r="B196" s="613" t="s">
        <v>356</v>
      </c>
      <c r="C196" s="738">
        <f ca="1">Driver2!$R82*C142/$T142*INDEX($B$163:$S$167,$A142,C$4)</f>
        <v>0</v>
      </c>
      <c r="D196" s="738">
        <f ca="1">Driver2!$R82*D142/$T142*INDEX($B$163:$S$167,$A142,D$4)</f>
        <v>0</v>
      </c>
      <c r="E196" s="738">
        <f ca="1">Driver2!$R82*E142/$T142*INDEX($B$163:$S$167,$A142,E$4)</f>
        <v>0</v>
      </c>
      <c r="F196" s="738">
        <f ca="1">Driver2!$R82*F142/$T142*INDEX($B$163:$S$167,$A142,F$4)</f>
        <v>0</v>
      </c>
      <c r="G196" s="738">
        <f ca="1">Driver2!$R82*G142/$T142*INDEX($B$163:$S$167,$A142,G$4)</f>
        <v>0</v>
      </c>
      <c r="H196" s="738">
        <f ca="1">Driver2!$R82*H142/$T142*INDEX($B$163:$S$167,$A142,H$4)</f>
        <v>0</v>
      </c>
      <c r="I196" s="738">
        <f ca="1">Driver2!$R82*I142/$T142*INDEX($B$163:$S$167,$A142,I$4)</f>
        <v>0</v>
      </c>
      <c r="J196" s="738">
        <f ca="1">Driver2!$R82*J142/$T142*INDEX($B$163:$S$167,$A142,J$4)</f>
        <v>0</v>
      </c>
      <c r="K196" s="738">
        <f ca="1">Driver2!$R82*K142/$T142*INDEX($B$163:$S$167,$A142,K$4)</f>
        <v>0</v>
      </c>
      <c r="L196" s="738">
        <f ca="1">Driver2!$R82*L142/$T142*INDEX($B$163:$S$167,$A142,L$4)</f>
        <v>0</v>
      </c>
      <c r="M196" s="738">
        <f ca="1">Driver2!$R82*M142/$T142*INDEX($B$163:$S$167,$A142,M$4)</f>
        <v>0</v>
      </c>
      <c r="N196" s="738">
        <f ca="1">Driver2!$R82*N142/$T142*INDEX($B$163:$S$167,$A142,N$4)</f>
        <v>0</v>
      </c>
      <c r="O196" s="738">
        <f ca="1">Driver2!$R82*O142/$T142*INDEX($B$163:$S$167,$A142,O$4)</f>
        <v>0</v>
      </c>
      <c r="P196" s="738">
        <f ca="1">Driver2!$R82*P142/$T142*INDEX($B$163:$S$167,$A142,P$4)</f>
        <v>0</v>
      </c>
      <c r="Q196" s="738">
        <f ca="1">Driver2!$R82*Q142/$T142*INDEX($B$163:$S$167,$A142,Q$4)</f>
        <v>0</v>
      </c>
      <c r="R196" s="738">
        <f ca="1">Driver2!$R82*R142/$T142*INDEX($B$163:$S$167,$A142,R$4)</f>
        <v>0</v>
      </c>
      <c r="S196" s="738">
        <f ca="1">Driver2!$R82*S142/$T142*INDEX($B$163:$S$167,$A142,S$4)</f>
        <v>0</v>
      </c>
      <c r="T196" s="738">
        <f t="shared" si="70"/>
        <v>0</v>
      </c>
      <c r="V196" s="613">
        <f ca="1">VLOOKUP($B196,Driver2!$E$58:$M$93,9,FALSE)</f>
        <v>0</v>
      </c>
      <c r="W196" s="613" t="s">
        <v>354</v>
      </c>
      <c r="X196" s="613" t="b">
        <f t="shared" si="71"/>
        <v>0</v>
      </c>
    </row>
    <row r="197" spans="1:24" hidden="1">
      <c r="A197" s="613" t="str">
        <f t="shared" si="69"/>
        <v>ICH</v>
      </c>
      <c r="B197" s="613" t="s">
        <v>536</v>
      </c>
      <c r="C197" s="738">
        <f ca="1">Driver2!$R83*C143/$T143*INDEX($B$163:$S$167,$A143,C$4)</f>
        <v>4.7958139591117108</v>
      </c>
      <c r="D197" s="738">
        <f ca="1">Driver2!$R83*D143/$T143*INDEX($B$163:$S$167,$A143,D$4)</f>
        <v>0.32971029502774529</v>
      </c>
      <c r="E197" s="738">
        <f ca="1">Driver2!$R83*E143/$T143*INDEX($B$163:$S$167,$A143,E$4)</f>
        <v>4.2123518005212857</v>
      </c>
      <c r="F197" s="738">
        <f ca="1">Driver2!$R83*F143/$T143*INDEX($B$163:$S$167,$A143,F$4)</f>
        <v>0</v>
      </c>
      <c r="G197" s="738">
        <f ca="1">Driver2!$R83*G143/$T143*INDEX($B$163:$S$167,$A143,G$4)</f>
        <v>0</v>
      </c>
      <c r="H197" s="738">
        <f ca="1">Driver2!$R83*H143/$T143*INDEX($B$163:$S$167,$A143,H$4)</f>
        <v>0</v>
      </c>
      <c r="I197" s="738">
        <f ca="1">Driver2!$R83*I143/$T143*INDEX($B$163:$S$167,$A143,I$4)</f>
        <v>0</v>
      </c>
      <c r="J197" s="738">
        <f ca="1">Driver2!$R83*J143/$T143*INDEX($B$163:$S$167,$A143,J$4)</f>
        <v>0</v>
      </c>
      <c r="K197" s="738">
        <f ca="1">Driver2!$R83*K143/$T143*INDEX($B$163:$S$167,$A143,K$4)</f>
        <v>0</v>
      </c>
      <c r="L197" s="738">
        <f ca="1">Driver2!$R83*L143/$T143*INDEX($B$163:$S$167,$A143,L$4)</f>
        <v>1.5650586459835898</v>
      </c>
      <c r="M197" s="738">
        <f ca="1">Driver2!$R83*M143/$T143*INDEX($B$163:$S$167,$A143,M$4)</f>
        <v>8.11151327066892E-2</v>
      </c>
      <c r="N197" s="738">
        <f ca="1">Driver2!$R83*N143/$T143*INDEX($B$163:$S$167,$A143,N$4)</f>
        <v>2.7869542106597603E-2</v>
      </c>
      <c r="O197" s="738">
        <f ca="1">Driver2!$R83*O143/$T143*INDEX($B$163:$S$167,$A143,O$4)</f>
        <v>0.33661127823939468</v>
      </c>
      <c r="P197" s="738">
        <f ca="1">Driver2!$R83*P143/$T143*INDEX($B$163:$S$167,$A143,P$4)</f>
        <v>0</v>
      </c>
      <c r="Q197" s="738">
        <f ca="1">Driver2!$R83*Q143/$T143*INDEX($B$163:$S$167,$A143,Q$4)</f>
        <v>0</v>
      </c>
      <c r="R197" s="738">
        <f ca="1">Driver2!$R83*R143/$T143*INDEX($B$163:$S$167,$A143,R$4)</f>
        <v>0</v>
      </c>
      <c r="S197" s="738">
        <f ca="1">Driver2!$R83*S143/$T143*INDEX($B$163:$S$167,$A143,S$4)</f>
        <v>0</v>
      </c>
      <c r="T197" s="738">
        <f t="shared" si="70"/>
        <v>11.348530653697015</v>
      </c>
      <c r="V197" s="613">
        <f ca="1">VLOOKUP($B197,Driver2!$E$58:$M$93,9,FALSE)</f>
        <v>10.832757658251042</v>
      </c>
      <c r="W197" s="613" t="s">
        <v>535</v>
      </c>
      <c r="X197" s="613">
        <f t="shared" si="71"/>
        <v>0.95455156167922506</v>
      </c>
    </row>
    <row r="198" spans="1:24" hidden="1">
      <c r="A198" s="613" t="str">
        <f t="shared" si="69"/>
        <v>ICH</v>
      </c>
      <c r="B198" s="613" t="s">
        <v>973</v>
      </c>
      <c r="C198" s="738">
        <f ca="1">Driver2!$R84*C144/$T144*INDEX($B$163:$S$167,$A144,C$4)</f>
        <v>10.319389833077258</v>
      </c>
      <c r="D198" s="738">
        <f ca="1">Driver2!$R84*D144/$T144*INDEX($B$163:$S$167,$A144,D$4)</f>
        <v>0</v>
      </c>
      <c r="E198" s="738">
        <f ca="1">Driver2!$R84*E144/$T144*INDEX($B$163:$S$167,$A144,E$4)</f>
        <v>1.5106542467470048</v>
      </c>
      <c r="F198" s="738">
        <f ca="1">Driver2!$R84*F144/$T144*INDEX($B$163:$S$167,$A144,F$4)</f>
        <v>0</v>
      </c>
      <c r="G198" s="738">
        <f ca="1">Driver2!$R84*G144/$T144*INDEX($B$163:$S$167,$A144,G$4)</f>
        <v>0</v>
      </c>
      <c r="H198" s="738">
        <f ca="1">Driver2!$R84*H144/$T144*INDEX($B$163:$S$167,$A144,H$4)</f>
        <v>0</v>
      </c>
      <c r="I198" s="738">
        <f ca="1">Driver2!$R84*I144/$T144*INDEX($B$163:$S$167,$A144,I$4)</f>
        <v>0</v>
      </c>
      <c r="J198" s="738">
        <f ca="1">Driver2!$R84*J144/$T144*INDEX($B$163:$S$167,$A144,J$4)</f>
        <v>0</v>
      </c>
      <c r="K198" s="738">
        <f ca="1">Driver2!$R84*K144/$T144*INDEX($B$163:$S$167,$A144,K$4)</f>
        <v>0</v>
      </c>
      <c r="L198" s="738">
        <f ca="1">Driver2!$R84*L144/$T144*INDEX($B$163:$S$167,$A144,L$4)</f>
        <v>0</v>
      </c>
      <c r="M198" s="738">
        <f ca="1">Driver2!$R84*M144/$T144*INDEX($B$163:$S$167,$A144,M$4)</f>
        <v>1.4544953211605306E-2</v>
      </c>
      <c r="N198" s="738">
        <f ca="1">Driver2!$R84*N144/$T144*INDEX($B$163:$S$167,$A144,N$4)</f>
        <v>0</v>
      </c>
      <c r="O198" s="738">
        <f ca="1">Driver2!$R84*O144/$T144*INDEX($B$163:$S$167,$A144,O$4)</f>
        <v>0.30179296569694819</v>
      </c>
      <c r="P198" s="738">
        <f ca="1">Driver2!$R84*P144/$T144*INDEX($B$163:$S$167,$A144,P$4)</f>
        <v>0</v>
      </c>
      <c r="Q198" s="738">
        <f ca="1">Driver2!$R84*Q144/$T144*INDEX($B$163:$S$167,$A144,Q$4)</f>
        <v>0</v>
      </c>
      <c r="R198" s="738">
        <f ca="1">Driver2!$R84*R144/$T144*INDEX($B$163:$S$167,$A144,R$4)</f>
        <v>0</v>
      </c>
      <c r="S198" s="738">
        <f ca="1">Driver2!$R84*S144/$T144*INDEX($B$163:$S$167,$A144,S$4)</f>
        <v>0</v>
      </c>
      <c r="T198" s="738">
        <f t="shared" si="70"/>
        <v>12.146381998732815</v>
      </c>
      <c r="V198" s="613">
        <f ca="1">VLOOKUP($B198,Driver2!$E$58:$M$93,9,FALSE)</f>
        <v>11.290252340911994</v>
      </c>
      <c r="W198" s="613" t="s">
        <v>227</v>
      </c>
      <c r="X198" s="613">
        <f t="shared" si="71"/>
        <v>0.92951566500130345</v>
      </c>
    </row>
    <row r="199" spans="1:24" hidden="1">
      <c r="A199" s="613" t="str">
        <f t="shared" si="69"/>
        <v>ICH</v>
      </c>
      <c r="B199" s="613" t="s">
        <v>974</v>
      </c>
      <c r="C199" s="738">
        <f ca="1">Driver2!$R85*C145/$T145*INDEX($B$163:$S$167,$A145,C$4)</f>
        <v>0</v>
      </c>
      <c r="D199" s="738">
        <f ca="1">Driver2!$R85*D145/$T145*INDEX($B$163:$S$167,$A145,D$4)</f>
        <v>1.1174200064531792</v>
      </c>
      <c r="E199" s="738">
        <f ca="1">Driver2!$R85*E145/$T145*INDEX($B$163:$S$167,$A145,E$4)</f>
        <v>0</v>
      </c>
      <c r="F199" s="738">
        <f ca="1">Driver2!$R85*F145/$T145*INDEX($B$163:$S$167,$A145,F$4)</f>
        <v>0</v>
      </c>
      <c r="G199" s="738">
        <f ca="1">Driver2!$R85*G145/$T145*INDEX($B$163:$S$167,$A145,G$4)</f>
        <v>0</v>
      </c>
      <c r="H199" s="738">
        <f ca="1">Driver2!$R85*H145/$T145*INDEX($B$163:$S$167,$A145,H$4)</f>
        <v>0</v>
      </c>
      <c r="I199" s="738">
        <f ca="1">Driver2!$R85*I145/$T145*INDEX($B$163:$S$167,$A145,I$4)</f>
        <v>0</v>
      </c>
      <c r="J199" s="738">
        <f ca="1">Driver2!$R85*J145/$T145*INDEX($B$163:$S$167,$A145,J$4)</f>
        <v>0</v>
      </c>
      <c r="K199" s="738">
        <f ca="1">Driver2!$R85*K145/$T145*INDEX($B$163:$S$167,$A145,K$4)</f>
        <v>0</v>
      </c>
      <c r="L199" s="738">
        <f ca="1">Driver2!$R85*L145/$T145*INDEX($B$163:$S$167,$A145,L$4)</f>
        <v>2.3679173113001659</v>
      </c>
      <c r="M199" s="738">
        <f ca="1">Driver2!$R85*M145/$T145*INDEX($B$163:$S$167,$A145,M$4)</f>
        <v>0.10309012959194798</v>
      </c>
      <c r="N199" s="738">
        <f ca="1">Driver2!$R85*N145/$T145*INDEX($B$163:$S$167,$A145,N$4)</f>
        <v>1.6866529923738927E-2</v>
      </c>
      <c r="O199" s="738">
        <f ca="1">Driver2!$R85*O145/$T145*INDEX($B$163:$S$167,$A145,O$4)</f>
        <v>0</v>
      </c>
      <c r="P199" s="738">
        <f ca="1">Driver2!$R85*P145/$T145*INDEX($B$163:$S$167,$A145,P$4)</f>
        <v>0</v>
      </c>
      <c r="Q199" s="738">
        <f ca="1">Driver2!$R85*Q145/$T145*INDEX($B$163:$S$167,$A145,Q$4)</f>
        <v>0.79099960000000002</v>
      </c>
      <c r="R199" s="738">
        <f ca="1">Driver2!$R85*R145/$T145*INDEX($B$163:$S$167,$A145,R$4)</f>
        <v>0</v>
      </c>
      <c r="S199" s="738">
        <f ca="1">Driver2!$R85*S145/$T145*INDEX($B$163:$S$167,$A145,S$4)</f>
        <v>14.48789852946604</v>
      </c>
      <c r="T199" s="738">
        <f t="shared" si="70"/>
        <v>18.884192106735071</v>
      </c>
      <c r="V199" s="613">
        <f ca="1">VLOOKUP($B199,Driver2!$E$58:$M$93,9,FALSE)</f>
        <v>21.096807127224317</v>
      </c>
      <c r="W199" s="613" t="s">
        <v>228</v>
      </c>
      <c r="X199" s="613">
        <f t="shared" si="71"/>
        <v>1.11716757635081</v>
      </c>
    </row>
    <row r="200" spans="1:24" hidden="1">
      <c r="A200" s="613" t="s">
        <v>978</v>
      </c>
      <c r="B200" s="613" t="s">
        <v>341</v>
      </c>
      <c r="C200" s="738">
        <f ca="1">Driver2!$R86*C146/$T146*INDEX($B$163:$S$167,$A146,C$4)</f>
        <v>0</v>
      </c>
      <c r="D200" s="738">
        <f ca="1">Driver2!$R86*D146/$T146*INDEX($B$163:$S$167,$A146,D$4)</f>
        <v>2.0207740734243664</v>
      </c>
      <c r="E200" s="738">
        <f ca="1">Driver2!$R86*E146/$T146*INDEX($B$163:$S$167,$A146,E$4)</f>
        <v>1.1317132410534554</v>
      </c>
      <c r="F200" s="738">
        <f ca="1">Driver2!$R86*F146/$T146*INDEX($B$163:$S$167,$A146,F$4)</f>
        <v>0</v>
      </c>
      <c r="G200" s="738">
        <f ca="1">Driver2!$R86*G146/$T146*INDEX($B$163:$S$167,$A146,G$4)</f>
        <v>0</v>
      </c>
      <c r="H200" s="738">
        <f ca="1">Driver2!$R86*H146/$T146*INDEX($B$163:$S$167,$A146,H$4)</f>
        <v>0</v>
      </c>
      <c r="I200" s="738">
        <f ca="1">Driver2!$R86*I146/$T146*INDEX($B$163:$S$167,$A146,I$4)</f>
        <v>0</v>
      </c>
      <c r="J200" s="738">
        <f ca="1">Driver2!$R86*J146/$T146*INDEX($B$163:$S$167,$A146,J$4)</f>
        <v>0</v>
      </c>
      <c r="K200" s="738">
        <f ca="1">Driver2!$R86*K146/$T146*INDEX($B$163:$S$167,$A146,K$4)</f>
        <v>0</v>
      </c>
      <c r="L200" s="738">
        <f ca="1">Driver2!$R86*L146/$T146*INDEX($B$163:$S$167,$A146,L$4)</f>
        <v>0</v>
      </c>
      <c r="M200" s="738">
        <f ca="1">Driver2!$R86*M146/$T146*INDEX($B$163:$S$167,$A146,M$4)</f>
        <v>0.31575558204273807</v>
      </c>
      <c r="N200" s="738">
        <f ca="1">Driver2!$R86*N146/$T146*INDEX($B$163:$S$167,$A146,N$4)</f>
        <v>0</v>
      </c>
      <c r="O200" s="738">
        <f ca="1">Driver2!$R86*O146/$T146*INDEX($B$163:$S$167,$A146,O$4)</f>
        <v>0</v>
      </c>
      <c r="P200" s="738">
        <f ca="1">Driver2!$R86*P146/$T146*INDEX($B$163:$S$167,$A146,P$4)</f>
        <v>0</v>
      </c>
      <c r="Q200" s="738">
        <f ca="1">Driver2!$R86*Q146/$T146*INDEX($B$163:$S$167,$A146,Q$4)</f>
        <v>0</v>
      </c>
      <c r="R200" s="738">
        <f ca="1">Driver2!$R86*R146/$T146*INDEX($B$163:$S$167,$A146,R$4)</f>
        <v>0</v>
      </c>
      <c r="S200" s="738">
        <f ca="1">Driver2!$R86*S146/$T146*INDEX($B$163:$S$167,$A146,S$4)</f>
        <v>0</v>
      </c>
      <c r="T200" s="738">
        <f t="shared" si="70"/>
        <v>3.4682428965205601</v>
      </c>
      <c r="V200" s="613">
        <f ca="1">VLOOKUP($B200,Driver2!$E$58:$M$93,9,FALSE)</f>
        <v>5.1380090000000003</v>
      </c>
      <c r="W200" s="613" t="s">
        <v>454</v>
      </c>
      <c r="X200" s="613">
        <f t="shared" si="71"/>
        <v>1.481444395130052</v>
      </c>
    </row>
    <row r="201" spans="1:24" hidden="1">
      <c r="A201" s="613" t="s">
        <v>978</v>
      </c>
      <c r="B201" s="613" t="s">
        <v>342</v>
      </c>
      <c r="C201" s="738">
        <f ca="1">Driver2!$R87*C147/$T147*INDEX($B$163:$S$167,$A147,C$4)</f>
        <v>0</v>
      </c>
      <c r="D201" s="738">
        <f ca="1">Driver2!$R87*D147/$T147*INDEX($B$163:$S$167,$A147,D$4)</f>
        <v>0</v>
      </c>
      <c r="E201" s="738">
        <f ca="1">Driver2!$R87*E147/$T147*INDEX($B$163:$S$167,$A147,E$4)</f>
        <v>0</v>
      </c>
      <c r="F201" s="738">
        <f ca="1">Driver2!$R87*F147/$T147*INDEX($B$163:$S$167,$A147,F$4)</f>
        <v>0</v>
      </c>
      <c r="G201" s="738">
        <f ca="1">Driver2!$R87*G147/$T147*INDEX($B$163:$S$167,$A147,G$4)</f>
        <v>0</v>
      </c>
      <c r="H201" s="738">
        <f ca="1">Driver2!$R87*H147/$T147*INDEX($B$163:$S$167,$A147,H$4)</f>
        <v>0</v>
      </c>
      <c r="I201" s="738">
        <f ca="1">Driver2!$R87*I147/$T147*INDEX($B$163:$S$167,$A147,I$4)</f>
        <v>0</v>
      </c>
      <c r="J201" s="738">
        <f ca="1">Driver2!$R87*J147/$T147*INDEX($B$163:$S$167,$A147,J$4)</f>
        <v>0</v>
      </c>
      <c r="K201" s="738">
        <f ca="1">Driver2!$R87*K147/$T147*INDEX($B$163:$S$167,$A147,K$4)</f>
        <v>0</v>
      </c>
      <c r="L201" s="738">
        <f ca="1">Driver2!$R87*L147/$T147*INDEX($B$163:$S$167,$A147,L$4)</f>
        <v>0</v>
      </c>
      <c r="M201" s="738">
        <f ca="1">Driver2!$R87*M147/$T147*INDEX($B$163:$S$167,$A147,M$4)</f>
        <v>0</v>
      </c>
      <c r="N201" s="738">
        <f ca="1">Driver2!$R87*N147/$T147*INDEX($B$163:$S$167,$A147,N$4)</f>
        <v>0</v>
      </c>
      <c r="O201" s="738">
        <f ca="1">Driver2!$R87*O147/$T147*INDEX($B$163:$S$167,$A147,O$4)</f>
        <v>0</v>
      </c>
      <c r="P201" s="738">
        <f ca="1">Driver2!$R87*P147/$T147*INDEX($B$163:$S$167,$A147,P$4)</f>
        <v>0</v>
      </c>
      <c r="Q201" s="738">
        <f ca="1">Driver2!$R87*Q147/$T147*INDEX($B$163:$S$167,$A147,Q$4)</f>
        <v>0</v>
      </c>
      <c r="R201" s="738">
        <f ca="1">Driver2!$R87*R147/$T147*INDEX($B$163:$S$167,$A147,R$4)</f>
        <v>0</v>
      </c>
      <c r="S201" s="738">
        <f ca="1">Driver2!$R87*S147/$T147*INDEX($B$163:$S$167,$A147,S$4)</f>
        <v>0</v>
      </c>
      <c r="T201" s="738">
        <f t="shared" si="70"/>
        <v>0</v>
      </c>
      <c r="V201" s="613">
        <f ca="1">VLOOKUP($B201,Driver2!$E$58:$M$93,9,FALSE)</f>
        <v>0</v>
      </c>
      <c r="W201" s="613" t="s">
        <v>340</v>
      </c>
      <c r="X201" s="613" t="b">
        <f t="shared" si="71"/>
        <v>0</v>
      </c>
    </row>
    <row r="202" spans="1:24" hidden="1">
      <c r="A202" s="613" t="s">
        <v>978</v>
      </c>
      <c r="B202" s="613" t="s">
        <v>343</v>
      </c>
      <c r="C202" s="738">
        <f ca="1">Driver2!$R88*C148/$T148*INDEX($B$163:$S$167,$A148,C$4)</f>
        <v>0</v>
      </c>
      <c r="D202" s="738">
        <f ca="1">Driver2!$R88*D148/$T148*INDEX($B$163:$S$167,$A148,D$4)</f>
        <v>5.5552673154660575</v>
      </c>
      <c r="E202" s="738">
        <f ca="1">Driver2!$R88*E148/$T148*INDEX($B$163:$S$167,$A148,E$4)</f>
        <v>0</v>
      </c>
      <c r="F202" s="738">
        <f ca="1">Driver2!$R88*F148/$T148*INDEX($B$163:$S$167,$A148,F$4)</f>
        <v>0</v>
      </c>
      <c r="G202" s="738">
        <f ca="1">Driver2!$R88*G148/$T148*INDEX($B$163:$S$167,$A148,G$4)</f>
        <v>0.36357888024721019</v>
      </c>
      <c r="H202" s="738">
        <f ca="1">Driver2!$R88*H148/$T148*INDEX($B$163:$S$167,$A148,H$4)</f>
        <v>0</v>
      </c>
      <c r="I202" s="738">
        <f ca="1">Driver2!$R88*I148/$T148*INDEX($B$163:$S$167,$A148,I$4)</f>
        <v>0</v>
      </c>
      <c r="J202" s="738">
        <f ca="1">Driver2!$R88*J148/$T148*INDEX($B$163:$S$167,$A148,J$4)</f>
        <v>0</v>
      </c>
      <c r="K202" s="738">
        <f ca="1">Driver2!$R88*K148/$T148*INDEX($B$163:$S$167,$A148,K$4)</f>
        <v>0</v>
      </c>
      <c r="L202" s="738">
        <f ca="1">Driver2!$R88*L148/$T148*INDEX($B$163:$S$167,$A148,L$4)</f>
        <v>2.5558805223737147</v>
      </c>
      <c r="M202" s="738">
        <f ca="1">Driver2!$R88*M148/$T148*INDEX($B$163:$S$167,$A148,M$4)</f>
        <v>0</v>
      </c>
      <c r="N202" s="738">
        <f ca="1">Driver2!$R88*N148/$T148*INDEX($B$163:$S$167,$A148,N$4)</f>
        <v>0</v>
      </c>
      <c r="O202" s="738">
        <f ca="1">Driver2!$R88*O148/$T148*INDEX($B$163:$S$167,$A148,O$4)</f>
        <v>0</v>
      </c>
      <c r="P202" s="738">
        <f ca="1">Driver2!$R88*P148/$T148*INDEX($B$163:$S$167,$A148,P$4)</f>
        <v>0</v>
      </c>
      <c r="Q202" s="738">
        <f ca="1">Driver2!$R88*Q148/$T148*INDEX($B$163:$S$167,$A148,Q$4)</f>
        <v>4.2938302110319908</v>
      </c>
      <c r="R202" s="738">
        <f ca="1">Driver2!$R88*R148/$T148*INDEX($B$163:$S$167,$A148,R$4)</f>
        <v>0</v>
      </c>
      <c r="S202" s="738">
        <f ca="1">Driver2!$R88*S148/$T148*INDEX($B$163:$S$167,$A148,S$4)</f>
        <v>0</v>
      </c>
      <c r="T202" s="738">
        <f t="shared" si="70"/>
        <v>12.768556929118972</v>
      </c>
      <c r="V202" s="613">
        <f ca="1">VLOOKUP($B202,Driver2!$E$58:$M$93,9,FALSE)</f>
        <v>15.171078511560696</v>
      </c>
      <c r="W202" s="613" t="s">
        <v>248</v>
      </c>
      <c r="X202" s="613">
        <f t="shared" si="71"/>
        <v>1.188159209829164</v>
      </c>
    </row>
    <row r="203" spans="1:24" hidden="1">
      <c r="A203" s="613" t="s">
        <v>978</v>
      </c>
      <c r="B203" s="613" t="s">
        <v>344</v>
      </c>
      <c r="C203" s="738">
        <f ca="1">Driver2!$R89*C149/$T149*INDEX($B$163:$S$167,$A149,C$4)</f>
        <v>0</v>
      </c>
      <c r="D203" s="738">
        <f ca="1">Driver2!$R89*D149/$T149*INDEX($B$163:$S$167,$A149,D$4)</f>
        <v>0.16678186590657954</v>
      </c>
      <c r="E203" s="738">
        <f ca="1">Driver2!$R89*E149/$T149*INDEX($B$163:$S$167,$A149,E$4)</f>
        <v>5.9778833783385416E-2</v>
      </c>
      <c r="F203" s="738">
        <f ca="1">Driver2!$R89*F149/$T149*INDEX($B$163:$S$167,$A149,F$4)</f>
        <v>0</v>
      </c>
      <c r="G203" s="738">
        <f ca="1">Driver2!$R89*G149/$T149*INDEX($B$163:$S$167,$A149,G$4)</f>
        <v>0</v>
      </c>
      <c r="H203" s="738">
        <f ca="1">Driver2!$R89*H149/$T149*INDEX($B$163:$S$167,$A149,H$4)</f>
        <v>0</v>
      </c>
      <c r="I203" s="738">
        <f ca="1">Driver2!$R89*I149/$T149*INDEX($B$163:$S$167,$A149,I$4)</f>
        <v>0</v>
      </c>
      <c r="J203" s="738">
        <f ca="1">Driver2!$R89*J149/$T149*INDEX($B$163:$S$167,$A149,J$4)</f>
        <v>0</v>
      </c>
      <c r="K203" s="738">
        <f ca="1">Driver2!$R89*K149/$T149*INDEX($B$163:$S$167,$A149,K$4)</f>
        <v>0</v>
      </c>
      <c r="L203" s="738">
        <f ca="1">Driver2!$R89*L149/$T149*INDEX($B$163:$S$167,$A149,L$4)</f>
        <v>0</v>
      </c>
      <c r="M203" s="738">
        <f ca="1">Driver2!$R89*M149/$T149*INDEX($B$163:$S$167,$A149,M$4)</f>
        <v>1.7870030811684649E-2</v>
      </c>
      <c r="N203" s="738">
        <f ca="1">Driver2!$R89*N149/$T149*INDEX($B$163:$S$167,$A149,N$4)</f>
        <v>0</v>
      </c>
      <c r="O203" s="738">
        <f ca="1">Driver2!$R89*O149/$T149*INDEX($B$163:$S$167,$A149,O$4)</f>
        <v>0</v>
      </c>
      <c r="P203" s="738">
        <f ca="1">Driver2!$R89*P149/$T149*INDEX($B$163:$S$167,$A149,P$4)</f>
        <v>0</v>
      </c>
      <c r="Q203" s="738">
        <f ca="1">Driver2!$R89*Q149/$T149*INDEX($B$163:$S$167,$A149,Q$4)</f>
        <v>0</v>
      </c>
      <c r="R203" s="738">
        <f ca="1">Driver2!$R89*R149/$T149*INDEX($B$163:$S$167,$A149,R$4)</f>
        <v>0</v>
      </c>
      <c r="S203" s="738">
        <f ca="1">Driver2!$R89*S149/$T149*INDEX($B$163:$S$167,$A149,S$4)</f>
        <v>0</v>
      </c>
      <c r="T203" s="738">
        <f t="shared" si="70"/>
        <v>0.2444307305016496</v>
      </c>
      <c r="V203" s="613">
        <f ca="1">VLOOKUP($B203,Driver2!$E$58:$M$93,9,FALSE)</f>
        <v>0.34946913600000112</v>
      </c>
      <c r="W203" s="613" t="s">
        <v>339</v>
      </c>
      <c r="X203" s="613">
        <f t="shared" si="71"/>
        <v>1.4297266766857806</v>
      </c>
    </row>
    <row r="204" spans="1:24" hidden="1">
      <c r="A204" s="613" t="s">
        <v>978</v>
      </c>
      <c r="B204" s="613" t="s">
        <v>345</v>
      </c>
      <c r="C204" s="738">
        <f ca="1">Driver2!$R90*C150/$T150*INDEX($B$163:$S$167,$A150,C$4)</f>
        <v>0</v>
      </c>
      <c r="D204" s="738">
        <f ca="1">Driver2!$R90*D150/$T150*INDEX($B$163:$S$167,$A150,D$4)</f>
        <v>0</v>
      </c>
      <c r="E204" s="738">
        <f ca="1">Driver2!$R90*E150/$T150*INDEX($B$163:$S$167,$A150,E$4)</f>
        <v>0</v>
      </c>
      <c r="F204" s="738">
        <f ca="1">Driver2!$R90*F150/$T150*INDEX($B$163:$S$167,$A150,F$4)</f>
        <v>0</v>
      </c>
      <c r="G204" s="738">
        <f ca="1">Driver2!$R90*G150/$T150*INDEX($B$163:$S$167,$A150,G$4)</f>
        <v>0</v>
      </c>
      <c r="H204" s="738">
        <f ca="1">Driver2!$R90*H150/$T150*INDEX($B$163:$S$167,$A150,H$4)</f>
        <v>0</v>
      </c>
      <c r="I204" s="738">
        <f ca="1">Driver2!$R90*I150/$T150*INDEX($B$163:$S$167,$A150,I$4)</f>
        <v>0</v>
      </c>
      <c r="J204" s="738">
        <f ca="1">Driver2!$R90*J150/$T150*INDEX($B$163:$S$167,$A150,J$4)</f>
        <v>0</v>
      </c>
      <c r="K204" s="738">
        <f ca="1">Driver2!$R90*K150/$T150*INDEX($B$163:$S$167,$A150,K$4)</f>
        <v>0</v>
      </c>
      <c r="L204" s="738">
        <f ca="1">Driver2!$R90*L150/$T150*INDEX($B$163:$S$167,$A150,L$4)</f>
        <v>0</v>
      </c>
      <c r="M204" s="738">
        <f ca="1">Driver2!$R90*M150/$T150*INDEX($B$163:$S$167,$A150,M$4)</f>
        <v>0</v>
      </c>
      <c r="N204" s="738">
        <f ca="1">Driver2!$R90*N150/$T150*INDEX($B$163:$S$167,$A150,N$4)</f>
        <v>0</v>
      </c>
      <c r="O204" s="738">
        <f ca="1">Driver2!$R90*O150/$T150*INDEX($B$163:$S$167,$A150,O$4)</f>
        <v>0</v>
      </c>
      <c r="P204" s="738">
        <f ca="1">Driver2!$R90*P150/$T150*INDEX($B$163:$S$167,$A150,P$4)</f>
        <v>0</v>
      </c>
      <c r="Q204" s="738">
        <f ca="1">Driver2!$R90*Q150/$T150*INDEX($B$163:$S$167,$A150,Q$4)</f>
        <v>0</v>
      </c>
      <c r="R204" s="738">
        <f ca="1">Driver2!$R90*R150/$T150*INDEX($B$163:$S$167,$A150,R$4)</f>
        <v>0</v>
      </c>
      <c r="S204" s="738">
        <f ca="1">Driver2!$R90*S150/$T150*INDEX($B$163:$S$167,$A150,S$4)</f>
        <v>0</v>
      </c>
      <c r="T204" s="738">
        <f t="shared" si="70"/>
        <v>0</v>
      </c>
      <c r="V204" s="613">
        <f ca="1">VLOOKUP($B204,Driver2!$E$58:$M$93,9,FALSE)</f>
        <v>0</v>
      </c>
      <c r="W204" s="613" t="s">
        <v>346</v>
      </c>
      <c r="X204" s="613" t="b">
        <f t="shared" si="71"/>
        <v>0</v>
      </c>
    </row>
    <row r="205" spans="1:24" hidden="1">
      <c r="A205" s="613" t="s">
        <v>978</v>
      </c>
      <c r="B205" s="613" t="s">
        <v>970</v>
      </c>
      <c r="C205" s="738">
        <f ca="1">Driver2!$R91*C151/$T151*INDEX($B$163:$S$167,$A151,C$4)</f>
        <v>68.217276219702754</v>
      </c>
      <c r="D205" s="738">
        <f ca="1">Driver2!$R91*D151/$T151*INDEX($B$163:$S$167,$A151,D$4)</f>
        <v>0</v>
      </c>
      <c r="E205" s="738">
        <f ca="1">Driver2!$R91*E151/$T151*INDEX($B$163:$S$167,$A151,E$4)</f>
        <v>0</v>
      </c>
      <c r="F205" s="738">
        <f ca="1">Driver2!$R91*F151/$T151*INDEX($B$163:$S$167,$A151,F$4)</f>
        <v>0</v>
      </c>
      <c r="G205" s="738">
        <f ca="1">Driver2!$R91*G151/$T151*INDEX($B$163:$S$167,$A151,G$4)</f>
        <v>0</v>
      </c>
      <c r="H205" s="738">
        <f ca="1">Driver2!$R91*H151/$T151*INDEX($B$163:$S$167,$A151,H$4)</f>
        <v>0</v>
      </c>
      <c r="I205" s="738">
        <f ca="1">Driver2!$R91*I151/$T151*INDEX($B$163:$S$167,$A151,I$4)</f>
        <v>0</v>
      </c>
      <c r="J205" s="738">
        <f ca="1">Driver2!$R91*J151/$T151*INDEX($B$163:$S$167,$A151,J$4)</f>
        <v>0</v>
      </c>
      <c r="K205" s="738">
        <f ca="1">Driver2!$R91*K151/$T151*INDEX($B$163:$S$167,$A151,K$4)</f>
        <v>0</v>
      </c>
      <c r="L205" s="738">
        <f ca="1">Driver2!$R91*L151/$T151*INDEX($B$163:$S$167,$A151,L$4)</f>
        <v>0</v>
      </c>
      <c r="M205" s="738">
        <f ca="1">Driver2!$R91*M151/$T151*INDEX($B$163:$S$167,$A151,M$4)</f>
        <v>0</v>
      </c>
      <c r="N205" s="738">
        <f ca="1">Driver2!$R91*N151/$T151*INDEX($B$163:$S$167,$A151,N$4)</f>
        <v>0</v>
      </c>
      <c r="O205" s="738">
        <f ca="1">Driver2!$R91*O151/$T151*INDEX($B$163:$S$167,$A151,O$4)</f>
        <v>0</v>
      </c>
      <c r="P205" s="738">
        <f ca="1">Driver2!$R91*P151/$T151*INDEX($B$163:$S$167,$A151,P$4)</f>
        <v>0</v>
      </c>
      <c r="Q205" s="738">
        <f ca="1">Driver2!$R91*Q151/$T151*INDEX($B$163:$S$167,$A151,Q$4)</f>
        <v>0</v>
      </c>
      <c r="R205" s="738">
        <f ca="1">Driver2!$R91*R151/$T151*INDEX($B$163:$S$167,$A151,R$4)</f>
        <v>0</v>
      </c>
      <c r="S205" s="738">
        <f ca="1">Driver2!$R91*S151/$T151*INDEX($B$163:$S$167,$A151,S$4)</f>
        <v>0</v>
      </c>
      <c r="T205" s="738">
        <f t="shared" si="70"/>
        <v>68.217276219702754</v>
      </c>
      <c r="V205" s="613">
        <f ca="1">VLOOKUP($B205,Driver2!$E$58:$M$93,9,FALSE)</f>
        <v>72.515278284706866</v>
      </c>
      <c r="W205" s="613" t="s">
        <v>231</v>
      </c>
      <c r="X205" s="613">
        <f t="shared" si="71"/>
        <v>1.0630045980018585</v>
      </c>
    </row>
    <row r="206" spans="1:24" hidden="1">
      <c r="A206" s="613" t="s">
        <v>978</v>
      </c>
      <c r="B206" s="613" t="s">
        <v>971</v>
      </c>
      <c r="C206" s="738">
        <f ca="1">Driver2!$R92*C152/$T152*INDEX($B$163:$S$167,$A152,C$4)</f>
        <v>0</v>
      </c>
      <c r="D206" s="738">
        <f ca="1">Driver2!$R92*D152/$T152*INDEX($B$163:$S$167,$A152,D$4)</f>
        <v>9.8281753452029967</v>
      </c>
      <c r="E206" s="738">
        <f ca="1">Driver2!$R92*E152/$T152*INDEX($B$163:$S$167,$A152,E$4)</f>
        <v>0.46350872516315916</v>
      </c>
      <c r="F206" s="738">
        <f ca="1">Driver2!$R92*F152/$T152*INDEX($B$163:$S$167,$A152,F$4)</f>
        <v>0</v>
      </c>
      <c r="G206" s="738">
        <f ca="1">Driver2!$R92*G152/$T152*INDEX($B$163:$S$167,$A152,G$4)</f>
        <v>1.5708364197527902</v>
      </c>
      <c r="H206" s="738">
        <f ca="1">Driver2!$R92*H152/$T152*INDEX($B$163:$S$167,$A152,H$4)</f>
        <v>0</v>
      </c>
      <c r="I206" s="738">
        <f ca="1">Driver2!$R92*I152/$T152*INDEX($B$163:$S$167,$A152,I$4)</f>
        <v>0</v>
      </c>
      <c r="J206" s="738">
        <f ca="1">Driver2!$R92*J152/$T152*INDEX($B$163:$S$167,$A152,J$4)</f>
        <v>0</v>
      </c>
      <c r="K206" s="738">
        <f ca="1">Driver2!$R92*K152/$T152*INDEX($B$163:$S$167,$A152,K$4)</f>
        <v>6.148400800000001</v>
      </c>
      <c r="L206" s="738">
        <f ca="1">Driver2!$R92*L152/$T152*INDEX($B$163:$S$167,$A152,L$4)</f>
        <v>1.5231225776262847</v>
      </c>
      <c r="M206" s="738">
        <f ca="1">Driver2!$R92*M152/$T152*INDEX($B$163:$S$167,$A152,M$4)</f>
        <v>9.2372887145577287E-2</v>
      </c>
      <c r="N206" s="738">
        <f ca="1">Driver2!$R92*N152/$T152*INDEX($B$163:$S$167,$A152,N$4)</f>
        <v>0</v>
      </c>
      <c r="O206" s="738">
        <f ca="1">Driver2!$R92*O152/$T152*INDEX($B$163:$S$167,$A152,O$4)</f>
        <v>0</v>
      </c>
      <c r="P206" s="738">
        <f ca="1">Driver2!$R92*P152/$T152*INDEX($B$163:$S$167,$A152,P$4)</f>
        <v>0</v>
      </c>
      <c r="Q206" s="738">
        <f ca="1">Driver2!$R92*Q152/$T152*INDEX($B$163:$S$167,$A152,Q$4)</f>
        <v>147.13195968896801</v>
      </c>
      <c r="R206" s="738">
        <f ca="1">Driver2!$R92*R152/$T152*INDEX($B$163:$S$167,$A152,R$4)</f>
        <v>0</v>
      </c>
      <c r="S206" s="738">
        <f ca="1">Driver2!$R92*S152/$T152*INDEX($B$163:$S$167,$A152,S$4)</f>
        <v>9.8385075318928035</v>
      </c>
      <c r="T206" s="738">
        <f t="shared" si="70"/>
        <v>176.59688397575164</v>
      </c>
      <c r="V206" s="613">
        <f ca="1">VLOOKUP($B206,Driver2!$E$58:$M$93,9,FALSE)</f>
        <v>165.39392013854444</v>
      </c>
      <c r="W206" s="613" t="s">
        <v>232</v>
      </c>
      <c r="X206" s="613">
        <f t="shared" si="71"/>
        <v>0.93656193934460663</v>
      </c>
    </row>
    <row r="207" spans="1:24" hidden="1">
      <c r="K207" s="738">
        <f>SUM(T200,T202:T203)</f>
        <v>16.481230556141181</v>
      </c>
    </row>
    <row r="208" spans="1:24" hidden="1">
      <c r="B208" s="612" t="s">
        <v>676</v>
      </c>
    </row>
    <row r="209" spans="1:21" hidden="1">
      <c r="C209" s="613" t="s">
        <v>905</v>
      </c>
      <c r="D209" s="613" t="s">
        <v>906</v>
      </c>
      <c r="E209" s="613" t="s">
        <v>907</v>
      </c>
      <c r="F209" s="613" t="s">
        <v>908</v>
      </c>
      <c r="G209" s="613" t="s">
        <v>909</v>
      </c>
      <c r="H209" s="613" t="s">
        <v>910</v>
      </c>
      <c r="I209" s="613" t="s">
        <v>911</v>
      </c>
      <c r="J209" s="613" t="s">
        <v>912</v>
      </c>
      <c r="K209" s="613" t="s">
        <v>1150</v>
      </c>
      <c r="L209" s="613" t="s">
        <v>913</v>
      </c>
      <c r="M209" s="613" t="s">
        <v>826</v>
      </c>
      <c r="N209" s="613" t="s">
        <v>914</v>
      </c>
      <c r="O209" s="613" t="s">
        <v>915</v>
      </c>
      <c r="P209" s="613" t="s">
        <v>916</v>
      </c>
      <c r="Q209" s="613" t="s">
        <v>917</v>
      </c>
      <c r="R209" s="613" t="s">
        <v>950</v>
      </c>
      <c r="S209" s="613" t="s">
        <v>946</v>
      </c>
      <c r="T209" s="613" t="s">
        <v>888</v>
      </c>
      <c r="U209" s="613" t="s">
        <v>382</v>
      </c>
    </row>
    <row r="210" spans="1:21" hidden="1">
      <c r="B210" s="655" t="s">
        <v>50</v>
      </c>
      <c r="C210" s="751">
        <f ca="1">Driver2!$X$29</f>
        <v>0.86</v>
      </c>
      <c r="D210" s="751">
        <v>0.35</v>
      </c>
      <c r="E210" s="751">
        <v>0.35</v>
      </c>
      <c r="F210" s="751"/>
      <c r="G210" s="751"/>
      <c r="H210" s="751"/>
      <c r="I210" s="751"/>
      <c r="J210" s="751"/>
      <c r="K210" s="751"/>
      <c r="L210" s="751"/>
      <c r="M210" s="751">
        <v>0.35</v>
      </c>
      <c r="N210" s="751"/>
      <c r="O210" s="751">
        <v>0.35</v>
      </c>
      <c r="P210" s="751"/>
      <c r="Q210" s="751"/>
      <c r="R210" s="751"/>
      <c r="S210" s="751"/>
      <c r="T210" s="751"/>
      <c r="U210" s="751"/>
    </row>
    <row r="211" spans="1:21" hidden="1">
      <c r="A211" s="613" t="s">
        <v>579</v>
      </c>
      <c r="B211" s="613" t="s">
        <v>962</v>
      </c>
      <c r="C211" s="738">
        <f t="shared" ref="C211:L215" si="72">VLOOKUP($B211,$B$172:$T$206,C$4,FALSE)</f>
        <v>5.6314338841204297</v>
      </c>
      <c r="D211" s="738">
        <f t="shared" si="72"/>
        <v>0</v>
      </c>
      <c r="E211" s="738">
        <f t="shared" si="72"/>
        <v>2.3853286431072087</v>
      </c>
      <c r="F211" s="738">
        <f t="shared" si="72"/>
        <v>0</v>
      </c>
      <c r="G211" s="738">
        <f t="shared" si="72"/>
        <v>0</v>
      </c>
      <c r="H211" s="738">
        <f t="shared" si="72"/>
        <v>0</v>
      </c>
      <c r="I211" s="738">
        <f t="shared" si="72"/>
        <v>0</v>
      </c>
      <c r="J211" s="738">
        <f t="shared" si="72"/>
        <v>0</v>
      </c>
      <c r="K211" s="738">
        <f t="shared" si="72"/>
        <v>0</v>
      </c>
      <c r="L211" s="738">
        <f t="shared" si="72"/>
        <v>0</v>
      </c>
      <c r="M211" s="738">
        <f t="shared" ref="M211:T215" si="73">VLOOKUP($B211,$B$172:$T$206,M$4,FALSE)</f>
        <v>6.2688106229598334E-2</v>
      </c>
      <c r="N211" s="738">
        <f t="shared" si="73"/>
        <v>0</v>
      </c>
      <c r="O211" s="738">
        <f t="shared" si="73"/>
        <v>0</v>
      </c>
      <c r="P211" s="738">
        <f t="shared" si="73"/>
        <v>0</v>
      </c>
      <c r="Q211" s="738">
        <f t="shared" si="73"/>
        <v>0</v>
      </c>
      <c r="R211" s="738">
        <f t="shared" si="73"/>
        <v>0</v>
      </c>
      <c r="S211" s="738">
        <f t="shared" si="73"/>
        <v>0</v>
      </c>
      <c r="T211" s="738">
        <f t="shared" si="73"/>
        <v>8.0794506334572365</v>
      </c>
      <c r="U211" s="738">
        <f>SUMPRODUCT($C$210:$S$210,$C211:$S211)</f>
        <v>5.6998390026114523</v>
      </c>
    </row>
    <row r="212" spans="1:21" hidden="1">
      <c r="A212" s="613" t="s">
        <v>653</v>
      </c>
      <c r="B212" s="613" t="s">
        <v>966</v>
      </c>
      <c r="C212" s="738">
        <f t="shared" si="72"/>
        <v>1.3940722521645466</v>
      </c>
      <c r="D212" s="738">
        <f t="shared" si="72"/>
        <v>0</v>
      </c>
      <c r="E212" s="738">
        <f t="shared" si="72"/>
        <v>0.49933221727547988</v>
      </c>
      <c r="F212" s="738">
        <f t="shared" si="72"/>
        <v>0</v>
      </c>
      <c r="G212" s="738">
        <f t="shared" si="72"/>
        <v>0</v>
      </c>
      <c r="H212" s="738">
        <f t="shared" si="72"/>
        <v>0</v>
      </c>
      <c r="I212" s="738">
        <f t="shared" si="72"/>
        <v>0</v>
      </c>
      <c r="J212" s="738">
        <f t="shared" si="72"/>
        <v>0</v>
      </c>
      <c r="K212" s="738">
        <f t="shared" si="72"/>
        <v>0</v>
      </c>
      <c r="L212" s="738">
        <f t="shared" si="72"/>
        <v>0</v>
      </c>
      <c r="M212" s="738">
        <f t="shared" si="73"/>
        <v>0.16183564242165546</v>
      </c>
      <c r="N212" s="738">
        <f t="shared" si="73"/>
        <v>0</v>
      </c>
      <c r="O212" s="738">
        <f t="shared" si="73"/>
        <v>0</v>
      </c>
      <c r="P212" s="738">
        <f t="shared" si="73"/>
        <v>0</v>
      </c>
      <c r="Q212" s="738">
        <f t="shared" si="73"/>
        <v>0</v>
      </c>
      <c r="R212" s="738">
        <f t="shared" si="73"/>
        <v>0</v>
      </c>
      <c r="S212" s="738">
        <f t="shared" si="73"/>
        <v>0</v>
      </c>
      <c r="T212" s="738">
        <f t="shared" si="73"/>
        <v>2.0552401118616821</v>
      </c>
      <c r="U212" s="738">
        <f>SUMPRODUCT($C$210:$S$210,$C212:$S212)</f>
        <v>1.4303108877555073</v>
      </c>
    </row>
    <row r="213" spans="1:21" hidden="1">
      <c r="A213" s="613" t="s">
        <v>862</v>
      </c>
      <c r="B213" s="613" t="s">
        <v>968</v>
      </c>
      <c r="C213" s="738">
        <f t="shared" si="72"/>
        <v>1.4782811722796663</v>
      </c>
      <c r="D213" s="738">
        <f t="shared" si="72"/>
        <v>0</v>
      </c>
      <c r="E213" s="738">
        <f t="shared" si="72"/>
        <v>0.22494894021816816</v>
      </c>
      <c r="F213" s="738">
        <f t="shared" si="72"/>
        <v>0</v>
      </c>
      <c r="G213" s="738">
        <f t="shared" si="72"/>
        <v>0</v>
      </c>
      <c r="H213" s="738">
        <f t="shared" si="72"/>
        <v>0</v>
      </c>
      <c r="I213" s="738">
        <f t="shared" si="72"/>
        <v>0</v>
      </c>
      <c r="J213" s="738">
        <f t="shared" si="72"/>
        <v>0</v>
      </c>
      <c r="K213" s="738">
        <f t="shared" si="72"/>
        <v>0</v>
      </c>
      <c r="L213" s="738">
        <f t="shared" si="72"/>
        <v>0</v>
      </c>
      <c r="M213" s="738">
        <f t="shared" si="73"/>
        <v>0</v>
      </c>
      <c r="N213" s="738">
        <f t="shared" si="73"/>
        <v>0</v>
      </c>
      <c r="O213" s="738">
        <f t="shared" si="73"/>
        <v>0</v>
      </c>
      <c r="P213" s="738">
        <f t="shared" si="73"/>
        <v>0</v>
      </c>
      <c r="Q213" s="738">
        <f t="shared" si="73"/>
        <v>0</v>
      </c>
      <c r="R213" s="738">
        <f t="shared" si="73"/>
        <v>0</v>
      </c>
      <c r="S213" s="738">
        <f t="shared" si="73"/>
        <v>0</v>
      </c>
      <c r="T213" s="738">
        <f t="shared" si="73"/>
        <v>1.7032301124978344</v>
      </c>
      <c r="U213" s="738">
        <f>SUMPRODUCT($C$210:$S$210,$C213:$S213)</f>
        <v>1.3500539372368716</v>
      </c>
    </row>
    <row r="214" spans="1:21" hidden="1">
      <c r="A214" s="613" t="s">
        <v>572</v>
      </c>
      <c r="B214" s="613" t="s">
        <v>973</v>
      </c>
      <c r="C214" s="738">
        <f t="shared" si="72"/>
        <v>10.319389833077258</v>
      </c>
      <c r="D214" s="738">
        <f t="shared" si="72"/>
        <v>0</v>
      </c>
      <c r="E214" s="738">
        <f t="shared" si="72"/>
        <v>1.5106542467470048</v>
      </c>
      <c r="F214" s="738">
        <f t="shared" si="72"/>
        <v>0</v>
      </c>
      <c r="G214" s="738">
        <f t="shared" si="72"/>
        <v>0</v>
      </c>
      <c r="H214" s="738">
        <f t="shared" si="72"/>
        <v>0</v>
      </c>
      <c r="I214" s="738">
        <f t="shared" si="72"/>
        <v>0</v>
      </c>
      <c r="J214" s="738">
        <f t="shared" si="72"/>
        <v>0</v>
      </c>
      <c r="K214" s="738">
        <f t="shared" si="72"/>
        <v>0</v>
      </c>
      <c r="L214" s="738">
        <f t="shared" si="72"/>
        <v>0</v>
      </c>
      <c r="M214" s="738">
        <f t="shared" si="73"/>
        <v>1.4544953211605306E-2</v>
      </c>
      <c r="N214" s="738">
        <f t="shared" si="73"/>
        <v>0</v>
      </c>
      <c r="O214" s="738">
        <f t="shared" si="73"/>
        <v>0.30179296569694819</v>
      </c>
      <c r="P214" s="738">
        <f t="shared" si="73"/>
        <v>0</v>
      </c>
      <c r="Q214" s="738">
        <f t="shared" si="73"/>
        <v>0</v>
      </c>
      <c r="R214" s="738">
        <f t="shared" si="73"/>
        <v>0</v>
      </c>
      <c r="S214" s="738">
        <f t="shared" si="73"/>
        <v>0</v>
      </c>
      <c r="T214" s="738">
        <f t="shared" si="73"/>
        <v>12.146381998732815</v>
      </c>
      <c r="U214" s="738">
        <f>SUMPRODUCT($C$210:$S$210,$C214:$S214)</f>
        <v>9.514122514425889</v>
      </c>
    </row>
    <row r="215" spans="1:21" hidden="1">
      <c r="A215" s="613" t="s">
        <v>981</v>
      </c>
      <c r="B215" s="613" t="s">
        <v>970</v>
      </c>
      <c r="C215" s="738">
        <f t="shared" si="72"/>
        <v>68.217276219702754</v>
      </c>
      <c r="D215" s="738">
        <f t="shared" si="72"/>
        <v>0</v>
      </c>
      <c r="E215" s="738">
        <f t="shared" si="72"/>
        <v>0</v>
      </c>
      <c r="F215" s="738">
        <f t="shared" si="72"/>
        <v>0</v>
      </c>
      <c r="G215" s="738">
        <f t="shared" si="72"/>
        <v>0</v>
      </c>
      <c r="H215" s="738">
        <f t="shared" si="72"/>
        <v>0</v>
      </c>
      <c r="I215" s="738">
        <f t="shared" si="72"/>
        <v>0</v>
      </c>
      <c r="J215" s="738">
        <f t="shared" si="72"/>
        <v>0</v>
      </c>
      <c r="K215" s="738">
        <f t="shared" si="72"/>
        <v>0</v>
      </c>
      <c r="L215" s="738">
        <f t="shared" si="72"/>
        <v>0</v>
      </c>
      <c r="M215" s="738">
        <f t="shared" si="73"/>
        <v>0</v>
      </c>
      <c r="N215" s="738">
        <f t="shared" si="73"/>
        <v>0</v>
      </c>
      <c r="O215" s="738">
        <f t="shared" si="73"/>
        <v>0</v>
      </c>
      <c r="P215" s="738">
        <f t="shared" si="73"/>
        <v>0</v>
      </c>
      <c r="Q215" s="738">
        <f t="shared" si="73"/>
        <v>0</v>
      </c>
      <c r="R215" s="738">
        <f t="shared" si="73"/>
        <v>0</v>
      </c>
      <c r="S215" s="738">
        <f t="shared" si="73"/>
        <v>0</v>
      </c>
      <c r="T215" s="738">
        <f t="shared" si="73"/>
        <v>68.217276219702754</v>
      </c>
      <c r="U215" s="752">
        <f>SUMPRODUCT($C$210:$S$210,$C215:$S215)</f>
        <v>58.666857548944364</v>
      </c>
    </row>
    <row r="216" spans="1:21" hidden="1">
      <c r="B216" s="655" t="s">
        <v>674</v>
      </c>
      <c r="C216" s="753">
        <f t="shared" ref="C216:U216" si="74">SUM(C211:C215)</f>
        <v>87.040453361344646</v>
      </c>
      <c r="D216" s="753">
        <f t="shared" si="74"/>
        <v>0</v>
      </c>
      <c r="E216" s="753">
        <f t="shared" si="74"/>
        <v>4.6202640473478613</v>
      </c>
      <c r="F216" s="753">
        <f t="shared" si="74"/>
        <v>0</v>
      </c>
      <c r="G216" s="753">
        <f t="shared" si="74"/>
        <v>0</v>
      </c>
      <c r="H216" s="753">
        <f t="shared" si="74"/>
        <v>0</v>
      </c>
      <c r="I216" s="753">
        <f t="shared" si="74"/>
        <v>0</v>
      </c>
      <c r="J216" s="753">
        <f t="shared" si="74"/>
        <v>0</v>
      </c>
      <c r="K216" s="753">
        <f t="shared" si="74"/>
        <v>0</v>
      </c>
      <c r="L216" s="753">
        <f t="shared" si="74"/>
        <v>0</v>
      </c>
      <c r="M216" s="753">
        <f t="shared" si="74"/>
        <v>0.23906870186285911</v>
      </c>
      <c r="N216" s="753">
        <f t="shared" si="74"/>
        <v>0</v>
      </c>
      <c r="O216" s="753">
        <f t="shared" si="74"/>
        <v>0.30179296569694819</v>
      </c>
      <c r="P216" s="753">
        <f t="shared" si="74"/>
        <v>0</v>
      </c>
      <c r="Q216" s="753">
        <f t="shared" si="74"/>
        <v>0</v>
      </c>
      <c r="R216" s="753">
        <f t="shared" si="74"/>
        <v>0</v>
      </c>
      <c r="S216" s="753">
        <f t="shared" si="74"/>
        <v>0</v>
      </c>
      <c r="T216" s="753">
        <f t="shared" si="74"/>
        <v>92.20157907625233</v>
      </c>
      <c r="U216" s="753">
        <f t="shared" si="74"/>
        <v>76.661183890974087</v>
      </c>
    </row>
    <row r="217" spans="1:21" hidden="1"/>
    <row r="218" spans="1:21" hidden="1">
      <c r="C218" s="613" t="s">
        <v>905</v>
      </c>
      <c r="D218" s="613" t="s">
        <v>906</v>
      </c>
      <c r="E218" s="613" t="s">
        <v>907</v>
      </c>
      <c r="F218" s="613" t="s">
        <v>908</v>
      </c>
      <c r="G218" s="613" t="s">
        <v>909</v>
      </c>
      <c r="H218" s="613" t="s">
        <v>910</v>
      </c>
      <c r="I218" s="613" t="s">
        <v>911</v>
      </c>
      <c r="J218" s="613" t="s">
        <v>912</v>
      </c>
      <c r="K218" s="613" t="s">
        <v>1150</v>
      </c>
      <c r="L218" s="613" t="s">
        <v>913</v>
      </c>
      <c r="M218" s="613" t="s">
        <v>826</v>
      </c>
      <c r="N218" s="613" t="s">
        <v>914</v>
      </c>
      <c r="O218" s="613" t="s">
        <v>915</v>
      </c>
      <c r="P218" s="613" t="s">
        <v>916</v>
      </c>
      <c r="Q218" s="613" t="s">
        <v>917</v>
      </c>
      <c r="R218" s="613" t="s">
        <v>950</v>
      </c>
      <c r="S218" s="613" t="s">
        <v>946</v>
      </c>
      <c r="T218" s="613" t="s">
        <v>888</v>
      </c>
      <c r="U218" s="613" t="s">
        <v>382</v>
      </c>
    </row>
    <row r="219" spans="1:21" hidden="1">
      <c r="B219" s="655" t="s">
        <v>50</v>
      </c>
      <c r="C219" s="751">
        <v>0.95</v>
      </c>
      <c r="D219" s="751">
        <f t="array" aca="1" ref="D219:Q219" ca="1">Driver2!$X$27</f>
        <v>0.81499999999999995</v>
      </c>
      <c r="E219" s="751">
        <f ca="1"/>
        <v>0.81499999999999995</v>
      </c>
      <c r="F219" s="751">
        <f ca="1"/>
        <v>0.81499999999999995</v>
      </c>
      <c r="G219" s="751">
        <f ca="1"/>
        <v>0.81499999999999995</v>
      </c>
      <c r="H219" s="751">
        <f ca="1"/>
        <v>0.81499999999999995</v>
      </c>
      <c r="I219" s="751">
        <f ca="1"/>
        <v>0.81499999999999995</v>
      </c>
      <c r="J219" s="751">
        <f ca="1"/>
        <v>0.81499999999999995</v>
      </c>
      <c r="K219" s="751">
        <f ca="1"/>
        <v>0.81499999999999995</v>
      </c>
      <c r="L219" s="751">
        <f ca="1"/>
        <v>0.81499999999999995</v>
      </c>
      <c r="M219" s="751">
        <f ca="1"/>
        <v>0.81499999999999995</v>
      </c>
      <c r="N219" s="751">
        <f ca="1"/>
        <v>0.81499999999999995</v>
      </c>
      <c r="O219" s="751">
        <f ca="1"/>
        <v>0.81499999999999995</v>
      </c>
      <c r="P219" s="751">
        <f ca="1"/>
        <v>0.81499999999999995</v>
      </c>
      <c r="Q219" s="751">
        <f ca="1"/>
        <v>0.81499999999999995</v>
      </c>
      <c r="R219" s="754">
        <f>SQRT(Q219)</f>
        <v>0.90277350426338943</v>
      </c>
      <c r="S219" s="751">
        <f>U$47</f>
        <v>0.81499999999999995</v>
      </c>
      <c r="T219" s="751"/>
      <c r="U219" s="751"/>
    </row>
    <row r="220" spans="1:21" hidden="1">
      <c r="A220" s="613" t="s">
        <v>577</v>
      </c>
      <c r="B220" s="613" t="s">
        <v>963</v>
      </c>
      <c r="C220" s="738">
        <f t="shared" ref="C220:L224" si="75">VLOOKUP($B220,$B$172:$T$206,C$4,FALSE)</f>
        <v>0</v>
      </c>
      <c r="D220" s="738">
        <f t="shared" si="75"/>
        <v>0.16426103429345243</v>
      </c>
      <c r="E220" s="738">
        <f t="shared" si="75"/>
        <v>2.2536712568927912</v>
      </c>
      <c r="F220" s="738">
        <f t="shared" si="75"/>
        <v>0</v>
      </c>
      <c r="G220" s="738">
        <f t="shared" si="75"/>
        <v>7.8975546880075784E-2</v>
      </c>
      <c r="H220" s="738">
        <f t="shared" si="75"/>
        <v>3.3434925470660938E-2</v>
      </c>
      <c r="I220" s="738">
        <f t="shared" si="75"/>
        <v>0.39468232220693206</v>
      </c>
      <c r="J220" s="738">
        <f t="shared" si="75"/>
        <v>0.12059797686718737</v>
      </c>
      <c r="K220" s="738">
        <f t="shared" si="75"/>
        <v>0</v>
      </c>
      <c r="L220" s="738">
        <f t="shared" si="75"/>
        <v>7.3365787625170095E-3</v>
      </c>
      <c r="M220" s="738">
        <f t="shared" ref="M220:T224" si="76">VLOOKUP($B220,$B$172:$T$206,M$4,FALSE)</f>
        <v>2.3691223189212823E-2</v>
      </c>
      <c r="N220" s="738">
        <f t="shared" si="76"/>
        <v>0</v>
      </c>
      <c r="O220" s="738">
        <f t="shared" si="76"/>
        <v>0</v>
      </c>
      <c r="P220" s="738">
        <f t="shared" si="76"/>
        <v>0</v>
      </c>
      <c r="Q220" s="738">
        <f t="shared" si="76"/>
        <v>0.11081758834726334</v>
      </c>
      <c r="R220" s="738">
        <f t="shared" si="76"/>
        <v>0</v>
      </c>
      <c r="S220" s="738">
        <f t="shared" si="76"/>
        <v>6.044919794423544</v>
      </c>
      <c r="T220" s="738">
        <f t="shared" si="76"/>
        <v>9.2323882473336365</v>
      </c>
      <c r="U220" s="738">
        <f>SUMPRODUCT($C$219:$S$219,$C220:$S220)</f>
        <v>7.5243964215769132</v>
      </c>
    </row>
    <row r="221" spans="1:21" hidden="1">
      <c r="A221" s="613" t="s">
        <v>92</v>
      </c>
      <c r="B221" s="613" t="s">
        <v>967</v>
      </c>
      <c r="C221" s="738">
        <f t="shared" si="75"/>
        <v>0</v>
      </c>
      <c r="D221" s="738">
        <f t="shared" si="75"/>
        <v>8.4350786698988642E-3</v>
      </c>
      <c r="E221" s="738">
        <f t="shared" si="75"/>
        <v>0.26066568272452018</v>
      </c>
      <c r="F221" s="738">
        <f t="shared" si="75"/>
        <v>0</v>
      </c>
      <c r="G221" s="738">
        <f t="shared" si="75"/>
        <v>2.7504928976449242E-2</v>
      </c>
      <c r="H221" s="738">
        <f t="shared" si="75"/>
        <v>0.1757995</v>
      </c>
      <c r="I221" s="738">
        <f t="shared" si="75"/>
        <v>0.65520070000000008</v>
      </c>
      <c r="J221" s="738">
        <f t="shared" si="75"/>
        <v>0.68300109999999981</v>
      </c>
      <c r="K221" s="738">
        <f t="shared" si="75"/>
        <v>9.9184999999999968E-3</v>
      </c>
      <c r="L221" s="738">
        <f t="shared" si="75"/>
        <v>1.3791931014275529E-2</v>
      </c>
      <c r="M221" s="738">
        <f t="shared" si="76"/>
        <v>0.16896565757834456</v>
      </c>
      <c r="N221" s="738">
        <f t="shared" si="76"/>
        <v>0</v>
      </c>
      <c r="O221" s="738">
        <f t="shared" si="76"/>
        <v>0</v>
      </c>
      <c r="P221" s="738">
        <f t="shared" si="76"/>
        <v>6.2864860932725468E-3</v>
      </c>
      <c r="Q221" s="738">
        <f t="shared" si="76"/>
        <v>0.10329685351050032</v>
      </c>
      <c r="R221" s="738">
        <f t="shared" si="76"/>
        <v>0</v>
      </c>
      <c r="S221" s="738">
        <f t="shared" si="76"/>
        <v>1.118544892333867</v>
      </c>
      <c r="T221" s="738">
        <f t="shared" si="76"/>
        <v>3.2314113109011284</v>
      </c>
      <c r="U221" s="738">
        <f>SUMPRODUCT($C$219:$S$219,$C221:$S221)</f>
        <v>2.6336002183844198</v>
      </c>
    </row>
    <row r="222" spans="1:21" hidden="1">
      <c r="A222" s="613" t="s">
        <v>859</v>
      </c>
      <c r="B222" s="613" t="s">
        <v>969</v>
      </c>
      <c r="C222" s="738">
        <f t="shared" si="75"/>
        <v>0</v>
      </c>
      <c r="D222" s="738">
        <f t="shared" si="75"/>
        <v>1.8557699440963287E-2</v>
      </c>
      <c r="E222" s="738">
        <f t="shared" si="75"/>
        <v>0.3754454311995637</v>
      </c>
      <c r="F222" s="738">
        <f t="shared" si="75"/>
        <v>0</v>
      </c>
      <c r="G222" s="738">
        <f t="shared" si="75"/>
        <v>1.2131924837151052E-2</v>
      </c>
      <c r="H222" s="738">
        <f t="shared" si="75"/>
        <v>4.2359039551104469E-2</v>
      </c>
      <c r="I222" s="738">
        <f t="shared" si="75"/>
        <v>0</v>
      </c>
      <c r="J222" s="738">
        <f t="shared" si="75"/>
        <v>0</v>
      </c>
      <c r="K222" s="738">
        <f t="shared" si="75"/>
        <v>9.9184999999999985E-3</v>
      </c>
      <c r="L222" s="738">
        <f t="shared" si="75"/>
        <v>5.1022459496026122E-2</v>
      </c>
      <c r="M222" s="738">
        <f t="shared" si="76"/>
        <v>0</v>
      </c>
      <c r="N222" s="738">
        <f t="shared" si="76"/>
        <v>0</v>
      </c>
      <c r="O222" s="738">
        <f t="shared" si="76"/>
        <v>0</v>
      </c>
      <c r="P222" s="738">
        <f t="shared" si="76"/>
        <v>0</v>
      </c>
      <c r="Q222" s="738">
        <f t="shared" si="76"/>
        <v>1.5931277664700233E-2</v>
      </c>
      <c r="R222" s="738">
        <f t="shared" si="76"/>
        <v>0</v>
      </c>
      <c r="S222" s="738">
        <f t="shared" si="76"/>
        <v>3.2619253377935258</v>
      </c>
      <c r="T222" s="738">
        <f t="shared" si="76"/>
        <v>3.7872916699830346</v>
      </c>
      <c r="U222" s="738">
        <f>SUMPRODUCT($C$219:$S$219,$C222:$S222)</f>
        <v>3.0866427110361729</v>
      </c>
    </row>
    <row r="223" spans="1:21" hidden="1">
      <c r="A223" s="613" t="s">
        <v>570</v>
      </c>
      <c r="B223" s="613" t="s">
        <v>974</v>
      </c>
      <c r="C223" s="738">
        <f t="shared" si="75"/>
        <v>0</v>
      </c>
      <c r="D223" s="738">
        <f t="shared" si="75"/>
        <v>1.1174200064531792</v>
      </c>
      <c r="E223" s="738">
        <f t="shared" si="75"/>
        <v>0</v>
      </c>
      <c r="F223" s="738">
        <f t="shared" si="75"/>
        <v>0</v>
      </c>
      <c r="G223" s="738">
        <f t="shared" si="75"/>
        <v>0</v>
      </c>
      <c r="H223" s="738">
        <f t="shared" si="75"/>
        <v>0</v>
      </c>
      <c r="I223" s="738">
        <f t="shared" si="75"/>
        <v>0</v>
      </c>
      <c r="J223" s="738">
        <f t="shared" si="75"/>
        <v>0</v>
      </c>
      <c r="K223" s="738">
        <f t="shared" si="75"/>
        <v>0</v>
      </c>
      <c r="L223" s="738">
        <f t="shared" si="75"/>
        <v>2.3679173113001659</v>
      </c>
      <c r="M223" s="738">
        <f t="shared" si="76"/>
        <v>0.10309012959194798</v>
      </c>
      <c r="N223" s="738">
        <f t="shared" si="76"/>
        <v>1.6866529923738927E-2</v>
      </c>
      <c r="O223" s="738">
        <f t="shared" si="76"/>
        <v>0</v>
      </c>
      <c r="P223" s="738">
        <f t="shared" si="76"/>
        <v>0</v>
      </c>
      <c r="Q223" s="738">
        <f t="shared" si="76"/>
        <v>0.79099960000000002</v>
      </c>
      <c r="R223" s="738">
        <f t="shared" si="76"/>
        <v>0</v>
      </c>
      <c r="S223" s="738">
        <f t="shared" si="76"/>
        <v>14.48789852946604</v>
      </c>
      <c r="T223" s="738">
        <f t="shared" si="76"/>
        <v>18.884192106735071</v>
      </c>
      <c r="U223" s="738">
        <f>SUMPRODUCT($C$219:$S$219,$C223:$S223)</f>
        <v>15.390616566989083</v>
      </c>
    </row>
    <row r="224" spans="1:21" hidden="1">
      <c r="A224" s="613" t="s">
        <v>979</v>
      </c>
      <c r="B224" s="613" t="s">
        <v>971</v>
      </c>
      <c r="C224" s="738">
        <f t="shared" si="75"/>
        <v>0</v>
      </c>
      <c r="D224" s="738">
        <f t="shared" si="75"/>
        <v>9.8281753452029967</v>
      </c>
      <c r="E224" s="738">
        <f t="shared" si="75"/>
        <v>0.46350872516315916</v>
      </c>
      <c r="F224" s="738">
        <f t="shared" si="75"/>
        <v>0</v>
      </c>
      <c r="G224" s="738">
        <f t="shared" si="75"/>
        <v>1.5708364197527902</v>
      </c>
      <c r="H224" s="738">
        <f t="shared" si="75"/>
        <v>0</v>
      </c>
      <c r="I224" s="738">
        <f t="shared" si="75"/>
        <v>0</v>
      </c>
      <c r="J224" s="738">
        <f t="shared" si="75"/>
        <v>0</v>
      </c>
      <c r="K224" s="738">
        <f t="shared" si="75"/>
        <v>6.148400800000001</v>
      </c>
      <c r="L224" s="738">
        <f t="shared" si="75"/>
        <v>1.5231225776262847</v>
      </c>
      <c r="M224" s="738">
        <f t="shared" si="76"/>
        <v>9.2372887145577287E-2</v>
      </c>
      <c r="N224" s="738">
        <f t="shared" si="76"/>
        <v>0</v>
      </c>
      <c r="O224" s="738">
        <f t="shared" si="76"/>
        <v>0</v>
      </c>
      <c r="P224" s="738">
        <f t="shared" si="76"/>
        <v>0</v>
      </c>
      <c r="Q224" s="738">
        <f t="shared" si="76"/>
        <v>147.13195968896801</v>
      </c>
      <c r="R224" s="738">
        <f t="shared" si="76"/>
        <v>0</v>
      </c>
      <c r="S224" s="738">
        <f t="shared" si="76"/>
        <v>9.8385075318928035</v>
      </c>
      <c r="T224" s="738">
        <f t="shared" si="76"/>
        <v>176.59688397575164</v>
      </c>
      <c r="U224" s="738">
        <f>SUMPRODUCT($C$219:$S$219,$C224:$S224)</f>
        <v>143.92646044023755</v>
      </c>
    </row>
    <row r="225" spans="1:38" hidden="1">
      <c r="B225" s="655" t="s">
        <v>675</v>
      </c>
      <c r="C225" s="753">
        <f t="shared" ref="C225:R225" si="77">SUM(C220:C224)</f>
        <v>0</v>
      </c>
      <c r="D225" s="753">
        <f t="shared" si="77"/>
        <v>11.136849164060491</v>
      </c>
      <c r="E225" s="753">
        <f t="shared" si="77"/>
        <v>3.3532910959800342</v>
      </c>
      <c r="F225" s="753">
        <f t="shared" si="77"/>
        <v>0</v>
      </c>
      <c r="G225" s="753">
        <f t="shared" si="77"/>
        <v>1.6894488204464664</v>
      </c>
      <c r="H225" s="753">
        <f t="shared" si="77"/>
        <v>0.25159346502176538</v>
      </c>
      <c r="I225" s="753">
        <f t="shared" si="77"/>
        <v>1.0498830222069322</v>
      </c>
      <c r="J225" s="753">
        <f t="shared" si="77"/>
        <v>0.80359907686718723</v>
      </c>
      <c r="K225" s="753">
        <f t="shared" si="77"/>
        <v>6.1682378000000009</v>
      </c>
      <c r="L225" s="753">
        <f t="shared" si="77"/>
        <v>3.963190858199269</v>
      </c>
      <c r="M225" s="753">
        <f t="shared" si="77"/>
        <v>0.38811989750508263</v>
      </c>
      <c r="N225" s="753">
        <f t="shared" si="77"/>
        <v>1.6866529923738927E-2</v>
      </c>
      <c r="O225" s="753">
        <f t="shared" si="77"/>
        <v>0</v>
      </c>
      <c r="P225" s="753">
        <f t="shared" si="77"/>
        <v>6.2864860932725468E-3</v>
      </c>
      <c r="Q225" s="753">
        <f t="shared" si="77"/>
        <v>148.15300500849048</v>
      </c>
      <c r="R225" s="753">
        <f t="shared" si="77"/>
        <v>0</v>
      </c>
      <c r="S225" s="753">
        <f>SUM(S220:S224)*S$219</f>
        <v>28.32271381001647</v>
      </c>
      <c r="T225" s="753">
        <f>SUM(T220:T224)</f>
        <v>211.73216731070451</v>
      </c>
      <c r="U225" s="753">
        <f>SUM(U220:U224)</f>
        <v>172.56171635822415</v>
      </c>
    </row>
    <row r="226" spans="1:38" hidden="1"/>
    <row r="227" spans="1:38" hidden="1"/>
    <row r="228" spans="1:38" ht="18" hidden="1">
      <c r="B228" s="728" t="s">
        <v>331</v>
      </c>
      <c r="C228" s="729"/>
      <c r="D228" s="708"/>
      <c r="E228" s="729"/>
      <c r="F228" s="708"/>
      <c r="G228" s="708"/>
    </row>
    <row r="229" spans="1:38" hidden="1"/>
    <row r="230" spans="1:38" hidden="1">
      <c r="C230" s="613" t="s">
        <v>557</v>
      </c>
      <c r="D230" s="613" t="s">
        <v>951</v>
      </c>
      <c r="E230" s="613" t="s">
        <v>1084</v>
      </c>
      <c r="F230" s="613" t="s">
        <v>756</v>
      </c>
      <c r="G230" s="613" t="s">
        <v>952</v>
      </c>
      <c r="H230" s="613" t="s">
        <v>953</v>
      </c>
      <c r="I230" s="613" t="s">
        <v>954</v>
      </c>
      <c r="J230" s="613" t="s">
        <v>955</v>
      </c>
      <c r="K230" s="613" t="s">
        <v>956</v>
      </c>
      <c r="L230" s="613" t="s">
        <v>830</v>
      </c>
      <c r="M230" s="613" t="s">
        <v>831</v>
      </c>
      <c r="N230" s="613" t="s">
        <v>832</v>
      </c>
      <c r="O230" s="613" t="s">
        <v>833</v>
      </c>
      <c r="P230" s="613" t="s">
        <v>834</v>
      </c>
      <c r="Q230" s="613" t="s">
        <v>835</v>
      </c>
      <c r="R230" s="613" t="s">
        <v>836</v>
      </c>
      <c r="S230" s="613" t="s">
        <v>837</v>
      </c>
      <c r="T230" s="613" t="s">
        <v>838</v>
      </c>
      <c r="U230" s="613" t="s">
        <v>839</v>
      </c>
      <c r="V230" s="613" t="s">
        <v>843</v>
      </c>
      <c r="W230" s="613" t="s">
        <v>841</v>
      </c>
      <c r="X230" s="613" t="s">
        <v>842</v>
      </c>
      <c r="Y230" s="613" t="s">
        <v>606</v>
      </c>
      <c r="Z230" s="613" t="s">
        <v>846</v>
      </c>
      <c r="AA230" s="613" t="s">
        <v>1289</v>
      </c>
      <c r="AB230" s="613" t="s">
        <v>847</v>
      </c>
      <c r="AC230" s="613" t="s">
        <v>608</v>
      </c>
      <c r="AD230" s="613" t="s">
        <v>609</v>
      </c>
      <c r="AE230" s="613" t="s">
        <v>844</v>
      </c>
      <c r="AF230" s="613" t="s">
        <v>845</v>
      </c>
      <c r="AG230" s="613" t="s">
        <v>757</v>
      </c>
      <c r="AH230" s="613" t="s">
        <v>310</v>
      </c>
      <c r="AI230" s="613" t="s">
        <v>311</v>
      </c>
      <c r="AJ230" s="613" t="s">
        <v>312</v>
      </c>
      <c r="AK230" s="613" t="s">
        <v>313</v>
      </c>
      <c r="AL230" s="613" t="s">
        <v>888</v>
      </c>
    </row>
    <row r="231" spans="1:38" hidden="1">
      <c r="B231" s="613" t="s">
        <v>291</v>
      </c>
      <c r="C231" s="613">
        <v>2</v>
      </c>
      <c r="D231" s="613">
        <f t="shared" ref="D231:AL231" si="78">C231+1</f>
        <v>3</v>
      </c>
      <c r="E231" s="613">
        <f t="shared" si="78"/>
        <v>4</v>
      </c>
      <c r="F231" s="613">
        <f t="shared" si="78"/>
        <v>5</v>
      </c>
      <c r="G231" s="613">
        <f t="shared" si="78"/>
        <v>6</v>
      </c>
      <c r="H231" s="613">
        <f t="shared" si="78"/>
        <v>7</v>
      </c>
      <c r="I231" s="613">
        <f t="shared" si="78"/>
        <v>8</v>
      </c>
      <c r="J231" s="613">
        <f t="shared" si="78"/>
        <v>9</v>
      </c>
      <c r="K231" s="613">
        <f t="shared" si="78"/>
        <v>10</v>
      </c>
      <c r="L231" s="613">
        <f t="shared" si="78"/>
        <v>11</v>
      </c>
      <c r="M231" s="613">
        <f t="shared" si="78"/>
        <v>12</v>
      </c>
      <c r="N231" s="613">
        <f t="shared" si="78"/>
        <v>13</v>
      </c>
      <c r="O231" s="613">
        <f t="shared" si="78"/>
        <v>14</v>
      </c>
      <c r="P231" s="613">
        <f t="shared" si="78"/>
        <v>15</v>
      </c>
      <c r="Q231" s="613">
        <f t="shared" si="78"/>
        <v>16</v>
      </c>
      <c r="R231" s="613">
        <f t="shared" si="78"/>
        <v>17</v>
      </c>
      <c r="S231" s="613">
        <f t="shared" si="78"/>
        <v>18</v>
      </c>
      <c r="T231" s="613">
        <f t="shared" si="78"/>
        <v>19</v>
      </c>
      <c r="U231" s="613">
        <f t="shared" si="78"/>
        <v>20</v>
      </c>
      <c r="V231" s="613">
        <f t="shared" si="78"/>
        <v>21</v>
      </c>
      <c r="W231" s="613">
        <f t="shared" si="78"/>
        <v>22</v>
      </c>
      <c r="X231" s="613">
        <f t="shared" si="78"/>
        <v>23</v>
      </c>
      <c r="Y231" s="613">
        <f t="shared" si="78"/>
        <v>24</v>
      </c>
      <c r="Z231" s="613">
        <f t="shared" si="78"/>
        <v>25</v>
      </c>
      <c r="AA231" s="613">
        <f t="shared" si="78"/>
        <v>26</v>
      </c>
      <c r="AB231" s="613">
        <f t="shared" si="78"/>
        <v>27</v>
      </c>
      <c r="AC231" s="613">
        <f t="shared" si="78"/>
        <v>28</v>
      </c>
      <c r="AD231" s="613">
        <f t="shared" si="78"/>
        <v>29</v>
      </c>
      <c r="AE231" s="613">
        <f t="shared" si="78"/>
        <v>30</v>
      </c>
      <c r="AF231" s="613">
        <f t="shared" si="78"/>
        <v>31</v>
      </c>
      <c r="AG231" s="613">
        <f t="shared" si="78"/>
        <v>32</v>
      </c>
      <c r="AH231" s="613">
        <f t="shared" si="78"/>
        <v>33</v>
      </c>
      <c r="AI231" s="613">
        <f t="shared" si="78"/>
        <v>34</v>
      </c>
      <c r="AJ231" s="613">
        <f t="shared" si="78"/>
        <v>35</v>
      </c>
      <c r="AK231" s="613">
        <f t="shared" si="78"/>
        <v>36</v>
      </c>
      <c r="AL231" s="613">
        <f t="shared" si="78"/>
        <v>37</v>
      </c>
    </row>
    <row r="232" spans="1:38" hidden="1">
      <c r="B232" s="613" t="s">
        <v>375</v>
      </c>
      <c r="C232" s="751">
        <f ca="1">IF(INDEX(AuxData!$A$21:$AK$21,1,C$231) &gt; 10^-5, INDEX(AuxData!$A$21:$AK$21,1,C$231),0)</f>
        <v>0</v>
      </c>
      <c r="D232" s="751">
        <f ca="1">IF(INDEX(AuxData!$A$21:$AK$21,1,D$231) &gt; 10^-5, INDEX(AuxData!$A$21:$AK$21,1,D$231),0)</f>
        <v>4.0056073770566876</v>
      </c>
      <c r="E232" s="751">
        <f ca="1">IF(INDEX(AuxData!$A$21:$AK$21,1,E$231) &gt; 10^-5, INDEX(AuxData!$A$21:$AK$21,1,E$231),0)</f>
        <v>24.375823737595688</v>
      </c>
      <c r="F232" s="751">
        <f ca="1">IF(INDEX(AuxData!$A$21:$AK$21,1,F$231) &gt; 10^-5, INDEX(AuxData!$A$21:$AK$21,1,F$231),0)</f>
        <v>0</v>
      </c>
      <c r="G232" s="751">
        <f ca="1">IF(INDEX(AuxData!$A$21:$AK$21,1,G$231) &gt; 10^-5, INDEX(AuxData!$A$21:$AK$21,1,G$231),0)</f>
        <v>0</v>
      </c>
      <c r="H232" s="751">
        <f ca="1">IF(INDEX(AuxData!$A$21:$AK$21,1,H$231) &gt; 10^-5, INDEX(AuxData!$A$21:$AK$21,1,H$231),0)</f>
        <v>0</v>
      </c>
      <c r="I232" s="751">
        <f ca="1">IF(INDEX(AuxData!$A$21:$AK$21,1,I$231) &gt; 10^-5, INDEX(AuxData!$A$21:$AK$21,1,I$231),0)</f>
        <v>0</v>
      </c>
      <c r="J232" s="751">
        <f ca="1">IF(INDEX(AuxData!$A$21:$AK$21,1,J$231) &gt; 10^-5, INDEX(AuxData!$A$21:$AK$21,1,J$231),0)</f>
        <v>0</v>
      </c>
      <c r="K232" s="751">
        <f ca="1">IF(INDEX(AuxData!$A$21:$AK$21,1,K$231) &gt; 10^-5, INDEX(AuxData!$A$21:$AK$21,1,K$231),0)</f>
        <v>0</v>
      </c>
      <c r="L232" s="751">
        <f ca="1">IF(INDEX(AuxData!$A$21:$AK$21,1,L$231) &gt; 10^-5, INDEX(AuxData!$A$21:$AK$21,1,L$231),0)</f>
        <v>0</v>
      </c>
      <c r="M232" s="751">
        <f ca="1">IF(INDEX(AuxData!$A$21:$AK$21,1,M$231) &gt; 10^-5, INDEX(AuxData!$A$21:$AK$21,1,M$231),0)</f>
        <v>0</v>
      </c>
      <c r="N232" s="751">
        <f ca="1">IF(INDEX(AuxData!$A$21:$AK$21,1,N$231) &gt; 10^-5, INDEX(AuxData!$A$21:$AK$21,1,N$231),0)</f>
        <v>0</v>
      </c>
      <c r="O232" s="751">
        <f ca="1">IF(INDEX(AuxData!$A$21:$AK$21,1,O$231) &gt; 10^-5, INDEX(AuxData!$A$21:$AK$21,1,O$231),0)</f>
        <v>0.74412801135194773</v>
      </c>
      <c r="P232" s="751">
        <f ca="1">IF(INDEX(AuxData!$A$21:$AK$21,1,P$231) &gt; 10^-5, INDEX(AuxData!$A$21:$AK$21,1,P$231),0)</f>
        <v>0</v>
      </c>
      <c r="Q232" s="751">
        <f ca="1">IF(INDEX(AuxData!$A$21:$AK$21,1,Q$231) &gt; 10^-5, INDEX(AuxData!$A$21:$AK$21,1,Q$231),0)</f>
        <v>1.5784525829918572</v>
      </c>
      <c r="R232" s="751">
        <f ca="1">IF(INDEX(AuxData!$A$21:$AK$21,1,R$231) &gt; 10^-5, INDEX(AuxData!$A$21:$AK$21,1,R$231),0)</f>
        <v>0</v>
      </c>
      <c r="S232" s="751">
        <f ca="1">IF(INDEX(AuxData!$A$21:$AK$21,1,S$231) &gt; 10^-5, INDEX(AuxData!$A$21:$AK$21,1,S$231),0)</f>
        <v>0</v>
      </c>
      <c r="T232" s="751">
        <f ca="1">IF(INDEX(AuxData!$A$21:$AK$21,1,T$231) &gt; 10^-5, INDEX(AuxData!$A$21:$AK$21,1,T$231),0)</f>
        <v>0</v>
      </c>
      <c r="U232" s="751">
        <f ca="1">IF(INDEX(AuxData!$A$21:$AK$21,1,U$231) &gt; 10^-5, INDEX(AuxData!$A$21:$AK$21,1,U$231),0)</f>
        <v>3.6830572797214436</v>
      </c>
      <c r="V232" s="751">
        <f ca="1">IF(INDEX(AuxData!$A$21:$AK$21,1,V$231) &gt; 10^-5, INDEX(AuxData!$A$21:$AK$21,1,V$231),0)</f>
        <v>0</v>
      </c>
      <c r="W232" s="751">
        <f ca="1">IF(INDEX(AuxData!$A$21:$AK$21,1,W$231) &gt; 10^-5, INDEX(AuxData!$A$21:$AK$21,1,W$231),0)</f>
        <v>9.5909812112823811</v>
      </c>
      <c r="X232" s="751">
        <f ca="1">IF(INDEX(AuxData!$A$21:$AK$21,1,X$231) &gt; 10^-5, INDEX(AuxData!$A$21:$AK$21,1,X$231),0)</f>
        <v>0</v>
      </c>
      <c r="Y232" s="751">
        <f ca="1">IF(INDEX(AuxData!$A$21:$AK$21,1,Y$231) &gt; 10^-5, INDEX(AuxData!$A$21:$AK$21,1,Y$231),0)</f>
        <v>0</v>
      </c>
      <c r="Z232" s="751">
        <f ca="1">IF(INDEX(AuxData!$A$21:$AK$21,1,Z$231) &gt; 10^-5, INDEX(AuxData!$A$21:$AK$21,1,Z$231),0)</f>
        <v>0</v>
      </c>
      <c r="AA232" s="751">
        <f ca="1">IF(INDEX(AuxData!$A$21:$AK$21,1,AA$231) &gt; 10^-5, INDEX(AuxData!$A$21:$AK$21,1,AA$231),0)</f>
        <v>0</v>
      </c>
      <c r="AB232" s="751">
        <f ca="1">IF(INDEX(AuxData!$A$21:$AK$21,1,AB$231) &gt; 10^-5, INDEX(AuxData!$A$21:$AK$21,1,AB$231),0)</f>
        <v>0</v>
      </c>
      <c r="AC232" s="751">
        <f ca="1">IF(INDEX(AuxData!$A$21:$AK$21,1,AC$231) &gt; 10^-5, INDEX(AuxData!$A$21:$AK$21,1,AC$231),0)</f>
        <v>0</v>
      </c>
      <c r="AD232" s="751">
        <f ca="1">IF(INDEX(AuxData!$A$21:$AK$21,1,AD$231) &gt; 10^-5, INDEX(AuxData!$A$21:$AK$21,1,AD$231),0)</f>
        <v>0</v>
      </c>
      <c r="AE232" s="751">
        <f ca="1">IF(INDEX(AuxData!$A$21:$AK$21,1,AE$231) &gt; 10^-5, INDEX(AuxData!$A$21:$AK$21,1,AE$231),0)</f>
        <v>0</v>
      </c>
      <c r="AF232" s="751">
        <f ca="1">IF(INDEX(AuxData!$A$21:$AK$21,1,AF$231) &gt; 10^-5, INDEX(AuxData!$A$21:$AK$21,1,AF$231),0)</f>
        <v>0</v>
      </c>
      <c r="AG232" s="751">
        <f ca="1">IF(INDEX(AuxData!$A$21:$AK$21,1,AG$231) &gt; 10^-5, INDEX(AuxData!$A$21:$AK$21,1,AG$231),0)</f>
        <v>0</v>
      </c>
      <c r="AH232" s="751">
        <f ca="1">IF(INDEX(AuxData!$A$21:$AK$21,1,AH$231) &gt; 10^-5, INDEX(AuxData!$A$21:$AK$21,1,AH$231),0)</f>
        <v>0</v>
      </c>
      <c r="AI232" s="751">
        <f ca="1">IF(INDEX(AuxData!$A$21:$AK$21,1,AI$231) &gt; 10^-5, INDEX(AuxData!$A$21:$AK$21,1,AI$231),0)</f>
        <v>0</v>
      </c>
      <c r="AJ232" s="751">
        <f ca="1">IF(INDEX(AuxData!$A$21:$AK$21,1,AJ$231) &gt; 10^-5, INDEX(AuxData!$A$21:$AK$21,1,AJ$231),0)</f>
        <v>0</v>
      </c>
      <c r="AK232" s="751">
        <f ca="1">IF(INDEX(AuxData!$A$21:$AK$21,1,AK$231) &gt; 10^-5, INDEX(AuxData!$A$21:$AK$21,1,AK$231),0)</f>
        <v>0</v>
      </c>
      <c r="AL232" s="751">
        <f>MAX(0.001,SUM(C232:AK232))</f>
        <v>43.978050200000006</v>
      </c>
    </row>
    <row r="233" spans="1:38" hidden="1">
      <c r="B233" s="613" t="s">
        <v>504</v>
      </c>
      <c r="D233" s="755">
        <f ca="1">VLOOKUP(D$230,IND_Emi!$A$5:$B$47,2,0)</f>
        <v>56.1</v>
      </c>
      <c r="E233" s="755">
        <f ca="1">VLOOKUP(E$230,IND_Emi!$A$5:$B$47,2,0)</f>
        <v>63.1</v>
      </c>
      <c r="F233" s="755">
        <f ca="1">VLOOKUP(F$230,IND_Emi!$A$5:$B$47,2,0)</f>
        <v>64.2</v>
      </c>
      <c r="G233" s="755">
        <f ca="1">VLOOKUP(G$230,IND_Emi!$A$5:$B$47,2,0)</f>
        <v>94.6</v>
      </c>
      <c r="H233" s="755">
        <f ca="1">VLOOKUP(H$230,IND_Emi!$A$5:$B$47,2,0)</f>
        <v>104.5</v>
      </c>
      <c r="I233" s="755">
        <f ca="1">VLOOKUP(I$230,IND_Emi!$A$5:$B$47,2,0)</f>
        <v>104.86</v>
      </c>
      <c r="J233" s="755">
        <f ca="1">VLOOKUP(J$230,IND_Emi!$A$5:$B$47,2,0)</f>
        <v>104.86</v>
      </c>
      <c r="K233" s="755">
        <f ca="1">VLOOKUP(K$230,IND_Emi!$A$5:$B$47,2,0)</f>
        <v>44.4</v>
      </c>
      <c r="L233" s="755">
        <f ca="1">VLOOKUP(L$230,IND_Emi!$A$5:$B$47,2,0)</f>
        <v>0</v>
      </c>
      <c r="M233" s="755">
        <f ca="1">VLOOKUP(M$230,IND_Emi!$A$5:$B$47,2,0)</f>
        <v>0</v>
      </c>
      <c r="N233" s="755">
        <f ca="1">VLOOKUP(N$230,IND_Emi!$A$5:$B$47,2,0)</f>
        <v>44.4</v>
      </c>
      <c r="O233" s="755">
        <f ca="1">VLOOKUP(O$230,IND_Emi!$A$5:$B$47,2,0)</f>
        <v>57.6</v>
      </c>
      <c r="P233" s="755">
        <f ca="1">VLOOKUP(P$230,IND_Emi!$A$5:$B$47,2,0)</f>
        <v>73.3</v>
      </c>
      <c r="Q233" s="755">
        <f ca="1">VLOOKUP(Q$230,IND_Emi!$A$5:$B$47,2,0)</f>
        <v>77.400000000000006</v>
      </c>
      <c r="R233" s="755">
        <f ca="1">VLOOKUP(R$230,IND_Emi!$A$5:$B$47,2,0)</f>
        <v>74.099999999999994</v>
      </c>
      <c r="S233" s="755">
        <f ca="1">VLOOKUP(S$230,IND_Emi!$A$5:$B$47,2,0)</f>
        <v>71.900000000000006</v>
      </c>
      <c r="T233" s="755">
        <f ca="1">VLOOKUP(T$230,IND_Emi!$A$5:$B$47,2,0)</f>
        <v>69.3</v>
      </c>
      <c r="U233" s="755">
        <f ca="1">VLOOKUP(U$230,IND_Emi!$A$5:$B$47,2,0)</f>
        <v>73.3</v>
      </c>
      <c r="V233" s="755">
        <f ca="1">VLOOKUP(V$230,IND_Emi!$A$5:$B$47,2,0)</f>
        <v>61.6</v>
      </c>
      <c r="W233" s="755">
        <f ca="1">VLOOKUP(W$230,IND_Emi!$A$5:$B$47,2,0)</f>
        <v>73.3</v>
      </c>
      <c r="X233" s="755">
        <f ca="1">VLOOKUP(X$230,IND_Emi!$A$5:$B$47,2,0)</f>
        <v>97.5</v>
      </c>
      <c r="Y233" s="755">
        <f ca="1">VLOOKUP(Y$230,IND_Emi!$A$5:$B$47,2,0)</f>
        <v>0</v>
      </c>
      <c r="Z233" s="755">
        <f ca="1">VLOOKUP(Z$230,IND_Emi!$A$5:$B$47,2,0)</f>
        <v>0</v>
      </c>
      <c r="AA233" s="755">
        <f ca="1">VLOOKUP(AA$230,IND_Emi!$A$5:$B$47,2,0)</f>
        <v>0</v>
      </c>
      <c r="AB233" s="755">
        <f ca="1">VLOOKUP(AB$230,IND_Emi!$A$5:$B$47,2,0)</f>
        <v>0</v>
      </c>
      <c r="AC233" s="755">
        <f ca="1">VLOOKUP(AC$230,IND_Emi!$A$5:$B$47,2,0)</f>
        <v>27.51</v>
      </c>
      <c r="AD233" s="755">
        <f ca="1">VLOOKUP(AD$230,IND_Emi!$A$5:$B$47,2,0)</f>
        <v>85.85</v>
      </c>
      <c r="AE233" s="755">
        <v>0</v>
      </c>
      <c r="AF233" s="755">
        <v>0</v>
      </c>
      <c r="AG233" s="755">
        <f ca="1">VLOOKUP(AG$230,IND_Emi!$A$5:$B$47,2,0)</f>
        <v>71.5</v>
      </c>
      <c r="AH233" s="755">
        <f ca="1">VLOOKUP(AH$230,IND_Emi!$A$5:$B$47,2,0)</f>
        <v>73.3</v>
      </c>
      <c r="AI233" s="755">
        <f ca="1">VLOOKUP(AI$230,IND_Emi!$A$5:$B$47,2,0)</f>
        <v>37.049999999999997</v>
      </c>
      <c r="AJ233" s="755">
        <f ca="1">VLOOKUP(AJ$230,IND_Emi!$A$5:$B$47,2,0)</f>
        <v>0</v>
      </c>
      <c r="AK233" s="755">
        <f ca="1">VLOOKUP(AK$230,IND_Emi!$A$5:$B$47,2,0)</f>
        <v>80.7</v>
      </c>
    </row>
    <row r="234" spans="1:38" hidden="1">
      <c r="K234" s="756"/>
      <c r="S234" s="756"/>
      <c r="T234" s="756"/>
      <c r="X234" s="756"/>
      <c r="AB234" s="756"/>
    </row>
    <row r="235" spans="1:38" hidden="1">
      <c r="B235" s="613" t="s">
        <v>332</v>
      </c>
    </row>
    <row r="236" spans="1:38" hidden="1">
      <c r="C236" s="613" t="s">
        <v>557</v>
      </c>
      <c r="D236" s="613" t="s">
        <v>951</v>
      </c>
      <c r="E236" s="613" t="s">
        <v>1084</v>
      </c>
      <c r="F236" s="613" t="s">
        <v>756</v>
      </c>
      <c r="G236" s="613" t="s">
        <v>952</v>
      </c>
      <c r="H236" s="613" t="s">
        <v>953</v>
      </c>
      <c r="I236" s="613" t="s">
        <v>954</v>
      </c>
      <c r="J236" s="613" t="s">
        <v>955</v>
      </c>
      <c r="K236" s="613" t="s">
        <v>956</v>
      </c>
      <c r="L236" s="613" t="s">
        <v>830</v>
      </c>
      <c r="M236" s="613" t="s">
        <v>831</v>
      </c>
      <c r="N236" s="613" t="s">
        <v>832</v>
      </c>
      <c r="O236" s="613" t="s">
        <v>833</v>
      </c>
      <c r="P236" s="613" t="s">
        <v>834</v>
      </c>
      <c r="Q236" s="613" t="s">
        <v>835</v>
      </c>
      <c r="R236" s="613" t="s">
        <v>836</v>
      </c>
      <c r="S236" s="613" t="s">
        <v>837</v>
      </c>
      <c r="T236" s="613" t="s">
        <v>838</v>
      </c>
      <c r="U236" s="613" t="s">
        <v>839</v>
      </c>
      <c r="V236" s="613" t="s">
        <v>843</v>
      </c>
      <c r="W236" s="613" t="s">
        <v>841</v>
      </c>
      <c r="X236" s="613" t="s">
        <v>842</v>
      </c>
      <c r="Y236" s="613" t="s">
        <v>606</v>
      </c>
      <c r="Z236" s="613" t="s">
        <v>846</v>
      </c>
      <c r="AA236" s="613" t="s">
        <v>846</v>
      </c>
      <c r="AB236" s="613" t="s">
        <v>847</v>
      </c>
      <c r="AC236" s="613" t="s">
        <v>608</v>
      </c>
      <c r="AD236" s="613" t="s">
        <v>609</v>
      </c>
      <c r="AE236" s="613" t="s">
        <v>844</v>
      </c>
      <c r="AF236" s="613" t="s">
        <v>845</v>
      </c>
      <c r="AG236" s="613" t="s">
        <v>757</v>
      </c>
      <c r="AH236" s="613" t="s">
        <v>310</v>
      </c>
      <c r="AI236" s="613" t="s">
        <v>311</v>
      </c>
      <c r="AJ236" s="613" t="s">
        <v>312</v>
      </c>
      <c r="AK236" s="613" t="s">
        <v>313</v>
      </c>
      <c r="AL236" s="613" t="s">
        <v>888</v>
      </c>
    </row>
    <row r="237" spans="1:38" hidden="1">
      <c r="B237" s="613" t="s">
        <v>359</v>
      </c>
      <c r="D237" s="731">
        <v>0.15</v>
      </c>
      <c r="E237" s="731">
        <v>0.1</v>
      </c>
      <c r="O237" s="731">
        <v>0.02</v>
      </c>
      <c r="R237" s="731">
        <v>0.03</v>
      </c>
      <c r="S237" s="704">
        <v>0.02</v>
      </c>
      <c r="T237" s="704">
        <v>0.01</v>
      </c>
      <c r="V237" s="731">
        <v>0.05</v>
      </c>
      <c r="W237" s="731">
        <v>0.62</v>
      </c>
      <c r="AL237" s="704">
        <f>SUM(C237:AK237)</f>
        <v>1</v>
      </c>
    </row>
    <row r="238" spans="1:38" hidden="1">
      <c r="B238" s="613" t="s">
        <v>253</v>
      </c>
      <c r="E238" s="731">
        <v>0.05</v>
      </c>
      <c r="F238" s="731">
        <v>0.01</v>
      </c>
      <c r="Q238" s="731">
        <v>0.2</v>
      </c>
      <c r="R238" s="731">
        <v>0.03</v>
      </c>
      <c r="U238" s="731">
        <v>0.05</v>
      </c>
      <c r="V238" s="731">
        <v>0.05</v>
      </c>
      <c r="W238" s="731">
        <v>0.6</v>
      </c>
      <c r="X238" s="704"/>
      <c r="AL238" s="704">
        <f>SUM(C238:AK238)</f>
        <v>0.99</v>
      </c>
    </row>
    <row r="239" spans="1:38" hidden="1">
      <c r="B239" s="613" t="s">
        <v>357</v>
      </c>
      <c r="D239" s="731">
        <v>0.65</v>
      </c>
      <c r="G239" s="731">
        <v>0.02</v>
      </c>
      <c r="P239" s="731">
        <v>0.03</v>
      </c>
      <c r="Q239" s="731">
        <v>0.2</v>
      </c>
      <c r="R239" s="731">
        <v>0.05</v>
      </c>
      <c r="U239" s="731">
        <v>0.05</v>
      </c>
      <c r="AL239" s="704">
        <f>SUM(C239:AK239)</f>
        <v>1.0000000000000002</v>
      </c>
    </row>
    <row r="240" spans="1:38" s="736" customFormat="1" hidden="1">
      <c r="A240" s="613"/>
      <c r="B240" s="613" t="s">
        <v>354</v>
      </c>
      <c r="C240" s="613"/>
      <c r="D240" s="731">
        <v>0.9</v>
      </c>
      <c r="E240" s="613"/>
      <c r="F240" s="613"/>
      <c r="G240" s="731">
        <v>0.1</v>
      </c>
      <c r="P240" s="735"/>
      <c r="Q240" s="735"/>
      <c r="R240" s="735"/>
      <c r="U240" s="735"/>
      <c r="AL240" s="757"/>
    </row>
    <row r="241" spans="1:39" s="736" customFormat="1" hidden="1">
      <c r="A241" s="613"/>
      <c r="B241" s="613" t="s">
        <v>201</v>
      </c>
      <c r="C241" s="613"/>
      <c r="D241" s="731">
        <f t="shared" ref="D241:AK241" si="79">IF($AL232&gt;0,D232/$AL232)</f>
        <v>9.1081968364679508E-2</v>
      </c>
      <c r="E241" s="731">
        <f t="shared" si="79"/>
        <v>0.55427249791068922</v>
      </c>
      <c r="F241" s="731">
        <f t="shared" si="79"/>
        <v>0</v>
      </c>
      <c r="G241" s="731">
        <f t="shared" si="79"/>
        <v>0</v>
      </c>
      <c r="H241" s="731">
        <f t="shared" si="79"/>
        <v>0</v>
      </c>
      <c r="I241" s="731">
        <f t="shared" si="79"/>
        <v>0</v>
      </c>
      <c r="J241" s="731">
        <f t="shared" si="79"/>
        <v>0</v>
      </c>
      <c r="K241" s="731">
        <f t="shared" si="79"/>
        <v>0</v>
      </c>
      <c r="L241" s="731">
        <f t="shared" si="79"/>
        <v>0</v>
      </c>
      <c r="M241" s="731">
        <f t="shared" si="79"/>
        <v>0</v>
      </c>
      <c r="N241" s="731">
        <f t="shared" si="79"/>
        <v>0</v>
      </c>
      <c r="O241" s="731">
        <f t="shared" si="79"/>
        <v>1.6920441173900604E-2</v>
      </c>
      <c r="P241" s="731">
        <f t="shared" si="79"/>
        <v>0</v>
      </c>
      <c r="Q241" s="731">
        <f t="shared" si="79"/>
        <v>3.5891827305064496E-2</v>
      </c>
      <c r="R241" s="731">
        <f t="shared" si="79"/>
        <v>0</v>
      </c>
      <c r="S241" s="731">
        <f t="shared" si="79"/>
        <v>0</v>
      </c>
      <c r="T241" s="731">
        <f t="shared" si="79"/>
        <v>0</v>
      </c>
      <c r="U241" s="731">
        <f t="shared" si="79"/>
        <v>8.374762553073449E-2</v>
      </c>
      <c r="V241" s="731">
        <f t="shared" si="79"/>
        <v>0</v>
      </c>
      <c r="W241" s="731">
        <f t="shared" si="79"/>
        <v>0.21808563971493169</v>
      </c>
      <c r="X241" s="731">
        <f t="shared" si="79"/>
        <v>0</v>
      </c>
      <c r="Y241" s="731">
        <f t="shared" si="79"/>
        <v>0</v>
      </c>
      <c r="Z241" s="731">
        <f t="shared" si="79"/>
        <v>0</v>
      </c>
      <c r="AA241" s="731">
        <f t="shared" si="79"/>
        <v>0</v>
      </c>
      <c r="AB241" s="731">
        <f t="shared" si="79"/>
        <v>0</v>
      </c>
      <c r="AC241" s="731">
        <f t="shared" si="79"/>
        <v>0</v>
      </c>
      <c r="AD241" s="731">
        <f t="shared" si="79"/>
        <v>0</v>
      </c>
      <c r="AE241" s="731">
        <f t="shared" si="79"/>
        <v>0</v>
      </c>
      <c r="AF241" s="731">
        <f t="shared" si="79"/>
        <v>0</v>
      </c>
      <c r="AG241" s="731">
        <f t="shared" si="79"/>
        <v>0</v>
      </c>
      <c r="AH241" s="731">
        <f t="shared" si="79"/>
        <v>0</v>
      </c>
      <c r="AI241" s="731">
        <f t="shared" si="79"/>
        <v>0</v>
      </c>
      <c r="AJ241" s="731">
        <f t="shared" si="79"/>
        <v>0</v>
      </c>
      <c r="AK241" s="731">
        <f t="shared" si="79"/>
        <v>0</v>
      </c>
      <c r="AL241" s="757"/>
    </row>
    <row r="242" spans="1:39" hidden="1">
      <c r="C242" s="681">
        <f ca="1">SUMPRODUCT(Driver2!$W$89:$W$93,C237:C241)</f>
        <v>0</v>
      </c>
      <c r="D242" s="681">
        <f ca="1">SUMPRODUCT(Driver2!$W$89:$W$93,D237:D241)</f>
        <v>5.7563437844307588</v>
      </c>
      <c r="E242" s="681">
        <f ca="1">SUMPRODUCT(Driver2!$W$89:$W$93,E237:E241)</f>
        <v>11.018229295073814</v>
      </c>
      <c r="F242" s="681">
        <f ca="1">SUMPRODUCT(Driver2!$W$89:$W$93,F237:F241)</f>
        <v>6.0859010180358282E-2</v>
      </c>
      <c r="G242" s="681">
        <f ca="1">SUMPRODUCT(Driver2!$W$89:$W$93,G237:G241)</f>
        <v>3.9859560000000002E-2</v>
      </c>
      <c r="H242" s="681">
        <f ca="1">SUMPRODUCT(Driver2!$W$89:$W$93,H237:H241)</f>
        <v>0</v>
      </c>
      <c r="I242" s="681">
        <f ca="1">SUMPRODUCT(Driver2!$W$89:$W$93,I237:I241)</f>
        <v>0</v>
      </c>
      <c r="J242" s="681">
        <f ca="1">SUMPRODUCT(Driver2!$W$89:$W$93,J237:J241)</f>
        <v>0</v>
      </c>
      <c r="K242" s="681">
        <f ca="1">SUMPRODUCT(Driver2!$W$89:$W$93,K237:K241)</f>
        <v>0</v>
      </c>
      <c r="L242" s="681">
        <f ca="1">SUMPRODUCT(Driver2!$W$89:$W$93,L237:L241)</f>
        <v>0</v>
      </c>
      <c r="M242" s="681">
        <f ca="1">SUMPRODUCT(Driver2!$W$89:$W$93,M237:M241)</f>
        <v>0</v>
      </c>
      <c r="N242" s="681">
        <f ca="1">SUMPRODUCT(Driver2!$W$89:$W$93,N237:N241)</f>
        <v>0</v>
      </c>
      <c r="O242" s="681">
        <f ca="1">SUMPRODUCT(Driver2!$W$89:$W$93,O237:O241)</f>
        <v>0.66968899701543227</v>
      </c>
      <c r="P242" s="681">
        <f ca="1">SUMPRODUCT(Driver2!$W$89:$W$93,P237:P241)</f>
        <v>5.9789339999999996E-2</v>
      </c>
      <c r="Q242" s="681">
        <f ca="1">SUMPRODUCT(Driver2!$W$89:$W$93,Q237:Q241)</f>
        <v>2.1786405897869097</v>
      </c>
      <c r="R242" s="681">
        <f ca="1">SUMPRODUCT(Driver2!$W$89:$W$93,R237:R241)</f>
        <v>0.88873341770030945</v>
      </c>
      <c r="S242" s="681">
        <f ca="1">SUMPRODUCT(Driver2!$W$89:$W$93,S237:S241)</f>
        <v>0.40433832477282311</v>
      </c>
      <c r="T242" s="681">
        <f ca="1">SUMPRODUCT(Driver2!$W$89:$W$93,T237:T241)</f>
        <v>0.20216916238641156</v>
      </c>
      <c r="U242" s="681">
        <f ca="1">SUMPRODUCT(Driver2!$W$89:$W$93,U237:U241)</f>
        <v>1.717295565372718</v>
      </c>
      <c r="V242" s="681">
        <f ca="1">SUMPRODUCT(Driver2!$W$89:$W$93,V237:V241)</f>
        <v>1.3151408628338492</v>
      </c>
      <c r="W242" s="681">
        <f ca="1">SUMPRODUCT(Driver2!$W$89:$W$93,W237:W241)</f>
        <v>19.606103280266261</v>
      </c>
      <c r="X242" s="681">
        <f ca="1">SUMPRODUCT(Driver2!$W$89:$W$93,X237:X241)</f>
        <v>0</v>
      </c>
      <c r="Y242" s="681">
        <f ca="1">SUMPRODUCT(Driver2!$W$89:$W$93,Y237:Y241)</f>
        <v>0</v>
      </c>
      <c r="Z242" s="681">
        <f ca="1">SUMPRODUCT(Driver2!$W$89:$W$93,Z237:Z241)</f>
        <v>0</v>
      </c>
      <c r="AA242" s="681">
        <f ca="1">SUMPRODUCT(Driver2!$W$89:$W$93,AA237:AA241)</f>
        <v>0</v>
      </c>
      <c r="AB242" s="681">
        <f ca="1">SUMPRODUCT(Driver2!$W$89:$W$93,AB237:AB241)</f>
        <v>0</v>
      </c>
      <c r="AC242" s="681">
        <f ca="1">SUMPRODUCT(Driver2!$W$89:$W$93,AC237:AC241)</f>
        <v>0</v>
      </c>
      <c r="AD242" s="681">
        <f ca="1">SUMPRODUCT(Driver2!$W$89:$W$93,AD237:AD241)</f>
        <v>0</v>
      </c>
      <c r="AE242" s="681">
        <f ca="1">SUMPRODUCT(Driver2!$W$89:$W$93,AE237:AE241)</f>
        <v>0</v>
      </c>
      <c r="AF242" s="681">
        <f ca="1">SUMPRODUCT(Driver2!$W$89:$W$93,AF237:AF241)</f>
        <v>0</v>
      </c>
      <c r="AG242" s="681">
        <f ca="1">SUMPRODUCT(Driver2!$W$89:$W$93,AG237:AG241)</f>
        <v>0</v>
      </c>
      <c r="AH242" s="681">
        <f ca="1">SUMPRODUCT(Driver2!$W$89:$W$93,AH237:AH241)</f>
        <v>0</v>
      </c>
      <c r="AI242" s="681">
        <f ca="1">SUMPRODUCT(Driver2!$W$89:$W$93,AI237:AI241)</f>
        <v>0</v>
      </c>
      <c r="AJ242" s="681">
        <f ca="1">SUMPRODUCT(Driver2!$W$89:$W$93,AJ237:AJ241)</f>
        <v>0</v>
      </c>
      <c r="AK242" s="681">
        <f ca="1">SUMPRODUCT(Driver2!$W$89:$W$93,AK237:AK241)</f>
        <v>0</v>
      </c>
    </row>
    <row r="243" spans="1:39" hidden="1">
      <c r="B243" s="613" t="s">
        <v>255</v>
      </c>
      <c r="AM243" s="709" t="s">
        <v>503</v>
      </c>
    </row>
    <row r="244" spans="1:39" hidden="1">
      <c r="B244" s="613" t="s">
        <v>359</v>
      </c>
      <c r="C244" s="734">
        <f t="shared" ref="C244:AK244" si="80">IF(C$242&gt;0,C237*C$232/C$242,0)</f>
        <v>0</v>
      </c>
      <c r="D244" s="734">
        <f t="shared" si="80"/>
        <v>0.10437894765486455</v>
      </c>
      <c r="E244" s="734">
        <f t="shared" si="80"/>
        <v>0.22123177041245617</v>
      </c>
      <c r="F244" s="734">
        <f t="shared" si="80"/>
        <v>0</v>
      </c>
      <c r="G244" s="734">
        <f t="shared" si="80"/>
        <v>0</v>
      </c>
      <c r="H244" s="734">
        <f t="shared" si="80"/>
        <v>0</v>
      </c>
      <c r="I244" s="734">
        <f t="shared" si="80"/>
        <v>0</v>
      </c>
      <c r="J244" s="734">
        <f t="shared" si="80"/>
        <v>0</v>
      </c>
      <c r="K244" s="734">
        <f t="shared" si="80"/>
        <v>0</v>
      </c>
      <c r="L244" s="734">
        <f t="shared" si="80"/>
        <v>0</v>
      </c>
      <c r="M244" s="734">
        <f t="shared" si="80"/>
        <v>0</v>
      </c>
      <c r="N244" s="734">
        <f t="shared" si="80"/>
        <v>0</v>
      </c>
      <c r="O244" s="734">
        <f t="shared" si="80"/>
        <v>2.2223092052229138E-2</v>
      </c>
      <c r="P244" s="734">
        <f t="shared" si="80"/>
        <v>0</v>
      </c>
      <c r="Q244" s="734">
        <f t="shared" si="80"/>
        <v>0</v>
      </c>
      <c r="R244" s="734">
        <f t="shared" si="80"/>
        <v>0</v>
      </c>
      <c r="S244" s="734">
        <f t="shared" si="80"/>
        <v>0</v>
      </c>
      <c r="T244" s="734">
        <f t="shared" si="80"/>
        <v>0</v>
      </c>
      <c r="U244" s="734">
        <f t="shared" si="80"/>
        <v>0</v>
      </c>
      <c r="V244" s="734">
        <f t="shared" si="80"/>
        <v>0</v>
      </c>
      <c r="W244" s="734">
        <f t="shared" si="80"/>
        <v>0.30329373797495984</v>
      </c>
      <c r="X244" s="734">
        <f t="shared" si="80"/>
        <v>0</v>
      </c>
      <c r="Y244" s="734">
        <f t="shared" si="80"/>
        <v>0</v>
      </c>
      <c r="Z244" s="734">
        <f t="shared" si="80"/>
        <v>0</v>
      </c>
      <c r="AA244" s="734">
        <f t="shared" si="80"/>
        <v>0</v>
      </c>
      <c r="AB244" s="734">
        <f t="shared" si="80"/>
        <v>0</v>
      </c>
      <c r="AC244" s="734">
        <f t="shared" si="80"/>
        <v>0</v>
      </c>
      <c r="AD244" s="734">
        <f t="shared" si="80"/>
        <v>0</v>
      </c>
      <c r="AE244" s="734">
        <f t="shared" si="80"/>
        <v>0</v>
      </c>
      <c r="AF244" s="734">
        <f t="shared" si="80"/>
        <v>0</v>
      </c>
      <c r="AG244" s="734">
        <f t="shared" si="80"/>
        <v>0</v>
      </c>
      <c r="AH244" s="734">
        <f t="shared" si="80"/>
        <v>0</v>
      </c>
      <c r="AI244" s="734">
        <f t="shared" si="80"/>
        <v>0</v>
      </c>
      <c r="AJ244" s="734">
        <f t="shared" si="80"/>
        <v>0</v>
      </c>
      <c r="AK244" s="734">
        <f t="shared" si="80"/>
        <v>0</v>
      </c>
      <c r="AL244" s="734">
        <f ca="1">MAX(Tiny,SUM(C244:AK244))</f>
        <v>0.65112754809450968</v>
      </c>
      <c r="AM244" s="758">
        <v>0.24</v>
      </c>
    </row>
    <row r="245" spans="1:39" hidden="1">
      <c r="B245" s="613" t="s">
        <v>253</v>
      </c>
      <c r="C245" s="734">
        <f t="shared" ref="C245:AK245" si="81">IF(C$242&gt;0,C238*C$232/C$242,0)</f>
        <v>0</v>
      </c>
      <c r="D245" s="734">
        <f t="shared" si="81"/>
        <v>0</v>
      </c>
      <c r="E245" s="734">
        <f t="shared" si="81"/>
        <v>0.11061588520622809</v>
      </c>
      <c r="F245" s="734">
        <f t="shared" si="81"/>
        <v>0</v>
      </c>
      <c r="G245" s="734">
        <f t="shared" si="81"/>
        <v>0</v>
      </c>
      <c r="H245" s="734">
        <f t="shared" si="81"/>
        <v>0</v>
      </c>
      <c r="I245" s="734">
        <f t="shared" si="81"/>
        <v>0</v>
      </c>
      <c r="J245" s="734">
        <f t="shared" si="81"/>
        <v>0</v>
      </c>
      <c r="K245" s="734">
        <f t="shared" si="81"/>
        <v>0</v>
      </c>
      <c r="L245" s="734">
        <f t="shared" si="81"/>
        <v>0</v>
      </c>
      <c r="M245" s="734">
        <f t="shared" si="81"/>
        <v>0</v>
      </c>
      <c r="N245" s="734">
        <f t="shared" si="81"/>
        <v>0</v>
      </c>
      <c r="O245" s="734">
        <f t="shared" si="81"/>
        <v>0</v>
      </c>
      <c r="P245" s="734">
        <f t="shared" si="81"/>
        <v>0</v>
      </c>
      <c r="Q245" s="734">
        <f t="shared" si="81"/>
        <v>0.14490252227846759</v>
      </c>
      <c r="R245" s="734">
        <f t="shared" si="81"/>
        <v>0</v>
      </c>
      <c r="S245" s="734">
        <f t="shared" si="81"/>
        <v>0</v>
      </c>
      <c r="T245" s="734">
        <f t="shared" si="81"/>
        <v>0</v>
      </c>
      <c r="U245" s="734">
        <f t="shared" si="81"/>
        <v>0.10723422787509736</v>
      </c>
      <c r="V245" s="734">
        <f t="shared" si="81"/>
        <v>0</v>
      </c>
      <c r="W245" s="734">
        <f t="shared" si="81"/>
        <v>0.29351006900802568</v>
      </c>
      <c r="X245" s="734">
        <f t="shared" si="81"/>
        <v>0</v>
      </c>
      <c r="Y245" s="734">
        <f t="shared" si="81"/>
        <v>0</v>
      </c>
      <c r="Z245" s="734">
        <f t="shared" si="81"/>
        <v>0</v>
      </c>
      <c r="AA245" s="734">
        <f t="shared" si="81"/>
        <v>0</v>
      </c>
      <c r="AB245" s="734">
        <f t="shared" si="81"/>
        <v>0</v>
      </c>
      <c r="AC245" s="734">
        <f t="shared" si="81"/>
        <v>0</v>
      </c>
      <c r="AD245" s="734">
        <f t="shared" si="81"/>
        <v>0</v>
      </c>
      <c r="AE245" s="734">
        <f t="shared" si="81"/>
        <v>0</v>
      </c>
      <c r="AF245" s="734">
        <f t="shared" si="81"/>
        <v>0</v>
      </c>
      <c r="AG245" s="734">
        <f t="shared" si="81"/>
        <v>0</v>
      </c>
      <c r="AH245" s="734">
        <f t="shared" si="81"/>
        <v>0</v>
      </c>
      <c r="AI245" s="734">
        <f t="shared" si="81"/>
        <v>0</v>
      </c>
      <c r="AJ245" s="734">
        <f t="shared" si="81"/>
        <v>0</v>
      </c>
      <c r="AK245" s="734">
        <f t="shared" si="81"/>
        <v>0</v>
      </c>
      <c r="AL245" s="734">
        <f ca="1">MAX(Tiny,SUM(C245:AK245))</f>
        <v>0.65626270436781864</v>
      </c>
      <c r="AM245" s="759">
        <v>0.25</v>
      </c>
    </row>
    <row r="246" spans="1:39" hidden="1">
      <c r="B246" s="613" t="s">
        <v>357</v>
      </c>
      <c r="C246" s="734">
        <f t="shared" ref="C246:AK246" si="82">IF(C$242&gt;0,C239*C$232/C$242,0)</f>
        <v>0</v>
      </c>
      <c r="D246" s="734">
        <f t="shared" si="82"/>
        <v>0.45230877317107981</v>
      </c>
      <c r="E246" s="734">
        <f t="shared" si="82"/>
        <v>0</v>
      </c>
      <c r="F246" s="734">
        <f t="shared" si="82"/>
        <v>0</v>
      </c>
      <c r="G246" s="734">
        <f t="shared" si="82"/>
        <v>0</v>
      </c>
      <c r="H246" s="734">
        <f t="shared" si="82"/>
        <v>0</v>
      </c>
      <c r="I246" s="734">
        <f t="shared" si="82"/>
        <v>0</v>
      </c>
      <c r="J246" s="734">
        <f t="shared" si="82"/>
        <v>0</v>
      </c>
      <c r="K246" s="734">
        <f t="shared" si="82"/>
        <v>0</v>
      </c>
      <c r="L246" s="734">
        <f t="shared" si="82"/>
        <v>0</v>
      </c>
      <c r="M246" s="734">
        <f t="shared" si="82"/>
        <v>0</v>
      </c>
      <c r="N246" s="734">
        <f t="shared" si="82"/>
        <v>0</v>
      </c>
      <c r="O246" s="734">
        <f t="shared" si="82"/>
        <v>0</v>
      </c>
      <c r="P246" s="734">
        <f t="shared" si="82"/>
        <v>0</v>
      </c>
      <c r="Q246" s="734">
        <f t="shared" si="82"/>
        <v>0.14490252227846759</v>
      </c>
      <c r="R246" s="734">
        <f t="shared" si="82"/>
        <v>0</v>
      </c>
      <c r="S246" s="734">
        <f t="shared" si="82"/>
        <v>0</v>
      </c>
      <c r="T246" s="734">
        <f t="shared" si="82"/>
        <v>0</v>
      </c>
      <c r="U246" s="734">
        <f t="shared" si="82"/>
        <v>0.10723422787509736</v>
      </c>
      <c r="V246" s="734">
        <f t="shared" si="82"/>
        <v>0</v>
      </c>
      <c r="W246" s="734">
        <f t="shared" si="82"/>
        <v>0</v>
      </c>
      <c r="X246" s="734">
        <f t="shared" si="82"/>
        <v>0</v>
      </c>
      <c r="Y246" s="734">
        <f t="shared" si="82"/>
        <v>0</v>
      </c>
      <c r="Z246" s="734">
        <f t="shared" si="82"/>
        <v>0</v>
      </c>
      <c r="AA246" s="734">
        <f t="shared" si="82"/>
        <v>0</v>
      </c>
      <c r="AB246" s="734">
        <f t="shared" si="82"/>
        <v>0</v>
      </c>
      <c r="AC246" s="734">
        <f t="shared" si="82"/>
        <v>0</v>
      </c>
      <c r="AD246" s="734">
        <f t="shared" si="82"/>
        <v>0</v>
      </c>
      <c r="AE246" s="734">
        <f t="shared" si="82"/>
        <v>0</v>
      </c>
      <c r="AF246" s="734">
        <f t="shared" si="82"/>
        <v>0</v>
      </c>
      <c r="AG246" s="734">
        <f t="shared" si="82"/>
        <v>0</v>
      </c>
      <c r="AH246" s="734">
        <f t="shared" si="82"/>
        <v>0</v>
      </c>
      <c r="AI246" s="734">
        <f t="shared" si="82"/>
        <v>0</v>
      </c>
      <c r="AJ246" s="734">
        <f t="shared" si="82"/>
        <v>0</v>
      </c>
      <c r="AK246" s="734">
        <f t="shared" si="82"/>
        <v>0</v>
      </c>
      <c r="AL246" s="734">
        <f ca="1">MAX(Tiny,SUM(C246:AK246))</f>
        <v>0.70444552332464483</v>
      </c>
      <c r="AM246" s="760">
        <v>0.85</v>
      </c>
    </row>
    <row r="247" spans="1:39" hidden="1">
      <c r="B247" s="613" t="s">
        <v>354</v>
      </c>
      <c r="C247" s="734">
        <f t="shared" ref="C247:AK247" si="83">IF(C$242&gt;0,C240*C$232/C$242,0)</f>
        <v>0</v>
      </c>
      <c r="D247" s="734">
        <f t="shared" si="83"/>
        <v>0.62627368592918742</v>
      </c>
      <c r="E247" s="734">
        <f t="shared" si="83"/>
        <v>0</v>
      </c>
      <c r="F247" s="734">
        <f t="shared" si="83"/>
        <v>0</v>
      </c>
      <c r="G247" s="734">
        <f t="shared" si="83"/>
        <v>0</v>
      </c>
      <c r="H247" s="734">
        <f t="shared" si="83"/>
        <v>0</v>
      </c>
      <c r="I247" s="734">
        <f t="shared" si="83"/>
        <v>0</v>
      </c>
      <c r="J247" s="734">
        <f t="shared" si="83"/>
        <v>0</v>
      </c>
      <c r="K247" s="734">
        <f t="shared" si="83"/>
        <v>0</v>
      </c>
      <c r="L247" s="734">
        <f t="shared" si="83"/>
        <v>0</v>
      </c>
      <c r="M247" s="734">
        <f t="shared" si="83"/>
        <v>0</v>
      </c>
      <c r="N247" s="734">
        <f t="shared" si="83"/>
        <v>0</v>
      </c>
      <c r="O247" s="734">
        <f t="shared" si="83"/>
        <v>0</v>
      </c>
      <c r="P247" s="734">
        <f t="shared" si="83"/>
        <v>0</v>
      </c>
      <c r="Q247" s="734">
        <f t="shared" si="83"/>
        <v>0</v>
      </c>
      <c r="R247" s="734">
        <f t="shared" si="83"/>
        <v>0</v>
      </c>
      <c r="S247" s="734">
        <f t="shared" si="83"/>
        <v>0</v>
      </c>
      <c r="T247" s="734">
        <f t="shared" si="83"/>
        <v>0</v>
      </c>
      <c r="U247" s="734">
        <f t="shared" si="83"/>
        <v>0</v>
      </c>
      <c r="V247" s="734">
        <f t="shared" si="83"/>
        <v>0</v>
      </c>
      <c r="W247" s="734">
        <f t="shared" si="83"/>
        <v>0</v>
      </c>
      <c r="X247" s="734">
        <f t="shared" si="83"/>
        <v>0</v>
      </c>
      <c r="Y247" s="734">
        <f t="shared" si="83"/>
        <v>0</v>
      </c>
      <c r="Z247" s="734">
        <f t="shared" si="83"/>
        <v>0</v>
      </c>
      <c r="AA247" s="734">
        <f t="shared" si="83"/>
        <v>0</v>
      </c>
      <c r="AB247" s="734">
        <f t="shared" si="83"/>
        <v>0</v>
      </c>
      <c r="AC247" s="734">
        <f t="shared" si="83"/>
        <v>0</v>
      </c>
      <c r="AD247" s="734">
        <f t="shared" si="83"/>
        <v>0</v>
      </c>
      <c r="AE247" s="734">
        <f t="shared" si="83"/>
        <v>0</v>
      </c>
      <c r="AF247" s="734">
        <f t="shared" si="83"/>
        <v>0</v>
      </c>
      <c r="AG247" s="734">
        <f t="shared" si="83"/>
        <v>0</v>
      </c>
      <c r="AH247" s="734">
        <f t="shared" si="83"/>
        <v>0</v>
      </c>
      <c r="AI247" s="734">
        <f t="shared" si="83"/>
        <v>0</v>
      </c>
      <c r="AJ247" s="734">
        <f t="shared" si="83"/>
        <v>0</v>
      </c>
      <c r="AK247" s="734">
        <f t="shared" si="83"/>
        <v>0</v>
      </c>
      <c r="AL247" s="734">
        <f ca="1">MAX(Tiny,SUM(C247:AK247))</f>
        <v>0.62627368592918742</v>
      </c>
      <c r="AM247" s="761">
        <v>0.05</v>
      </c>
    </row>
    <row r="248" spans="1:39" hidden="1">
      <c r="B248" s="613" t="s">
        <v>535</v>
      </c>
      <c r="C248" s="734">
        <f t="shared" ref="C248:AK248" si="84">IF(C$242&gt;0,C241*C$232/C$242,0)</f>
        <v>0</v>
      </c>
      <c r="D248" s="734">
        <f t="shared" si="84"/>
        <v>6.3380266721592748E-2</v>
      </c>
      <c r="E248" s="734">
        <f t="shared" si="84"/>
        <v>1.226226860037162</v>
      </c>
      <c r="F248" s="734">
        <f t="shared" si="84"/>
        <v>0</v>
      </c>
      <c r="G248" s="734">
        <f t="shared" si="84"/>
        <v>0</v>
      </c>
      <c r="H248" s="734">
        <f t="shared" si="84"/>
        <v>0</v>
      </c>
      <c r="I248" s="734">
        <f t="shared" si="84"/>
        <v>0</v>
      </c>
      <c r="J248" s="734">
        <f t="shared" si="84"/>
        <v>0</v>
      </c>
      <c r="K248" s="734">
        <f t="shared" si="84"/>
        <v>0</v>
      </c>
      <c r="L248" s="734">
        <f t="shared" si="84"/>
        <v>0</v>
      </c>
      <c r="M248" s="734">
        <f t="shared" si="84"/>
        <v>0</v>
      </c>
      <c r="N248" s="734">
        <f t="shared" si="84"/>
        <v>0</v>
      </c>
      <c r="O248" s="734">
        <f t="shared" si="84"/>
        <v>1.8801226088596058E-2</v>
      </c>
      <c r="P248" s="734">
        <f t="shared" si="84"/>
        <v>0</v>
      </c>
      <c r="Q248" s="734">
        <f t="shared" si="84"/>
        <v>2.6004081528435096E-2</v>
      </c>
      <c r="R248" s="734">
        <f t="shared" si="84"/>
        <v>0</v>
      </c>
      <c r="S248" s="734">
        <f t="shared" si="84"/>
        <v>0</v>
      </c>
      <c r="T248" s="734">
        <f t="shared" si="84"/>
        <v>0</v>
      </c>
      <c r="U248" s="734">
        <f t="shared" si="84"/>
        <v>0.17961223920322206</v>
      </c>
      <c r="V248" s="734">
        <f t="shared" si="84"/>
        <v>0</v>
      </c>
      <c r="W248" s="734">
        <f t="shared" si="84"/>
        <v>0.10668388527064837</v>
      </c>
      <c r="X248" s="734">
        <f t="shared" si="84"/>
        <v>0</v>
      </c>
      <c r="Y248" s="734">
        <f t="shared" si="84"/>
        <v>0</v>
      </c>
      <c r="Z248" s="734">
        <f t="shared" si="84"/>
        <v>0</v>
      </c>
      <c r="AA248" s="734">
        <f t="shared" si="84"/>
        <v>0</v>
      </c>
      <c r="AB248" s="734">
        <f t="shared" si="84"/>
        <v>0</v>
      </c>
      <c r="AC248" s="734">
        <f t="shared" si="84"/>
        <v>0</v>
      </c>
      <c r="AD248" s="734">
        <f t="shared" si="84"/>
        <v>0</v>
      </c>
      <c r="AE248" s="734">
        <f t="shared" si="84"/>
        <v>0</v>
      </c>
      <c r="AF248" s="734">
        <f t="shared" si="84"/>
        <v>0</v>
      </c>
      <c r="AG248" s="734">
        <f t="shared" si="84"/>
        <v>0</v>
      </c>
      <c r="AH248" s="734">
        <f t="shared" si="84"/>
        <v>0</v>
      </c>
      <c r="AI248" s="734">
        <f t="shared" si="84"/>
        <v>0</v>
      </c>
      <c r="AJ248" s="734">
        <f t="shared" si="84"/>
        <v>0</v>
      </c>
      <c r="AK248" s="734">
        <f t="shared" si="84"/>
        <v>0</v>
      </c>
      <c r="AL248" s="734">
        <f ca="1">MAX(Tiny,SUM(C248:AK248))</f>
        <v>1.6207085588496564</v>
      </c>
      <c r="AM248" s="762">
        <v>0.25</v>
      </c>
    </row>
    <row r="249" spans="1:39" hidden="1">
      <c r="C249" s="681">
        <f ca="1">SUMPRODUCT(Driver2!$W$89:$W$93,C244:C248/$AL244:$AL248)</f>
        <v>0</v>
      </c>
      <c r="D249" s="681">
        <f ca="1">SUMPRODUCT(Driver2!$W$89:$W$93,D244:D248/$AL244:$AL248)</f>
        <v>5.1337962151852956</v>
      </c>
      <c r="E249" s="681">
        <f ca="1">SUMPRODUCT(Driver2!$W$89:$W$93,E244:E248/$AL244:$AL248)</f>
        <v>19.760031381698365</v>
      </c>
      <c r="F249" s="681">
        <f ca="1">SUMPRODUCT(Driver2!$W$89:$W$93,F244:F248/$AL244:$AL248)</f>
        <v>0</v>
      </c>
      <c r="G249" s="681">
        <f ca="1">SUMPRODUCT(Driver2!$W$89:$W$93,G244:G248/$AL244:$AL248)</f>
        <v>0</v>
      </c>
      <c r="H249" s="681">
        <f ca="1">SUMPRODUCT(Driver2!$W$89:$W$93,H244:H248/$AL244:$AL248)</f>
        <v>0</v>
      </c>
      <c r="I249" s="681">
        <f ca="1">SUMPRODUCT(Driver2!$W$89:$W$93,I244:I248/$AL244:$AL248)</f>
        <v>0</v>
      </c>
      <c r="J249" s="681">
        <f ca="1">SUMPRODUCT(Driver2!$W$89:$W$93,J244:J248/$AL244:$AL248)</f>
        <v>0</v>
      </c>
      <c r="K249" s="681">
        <f ca="1">SUMPRODUCT(Driver2!$W$89:$W$93,K244:K248/$AL244:$AL248)</f>
        <v>0</v>
      </c>
      <c r="L249" s="681">
        <f ca="1">SUMPRODUCT(Driver2!$W$89:$W$93,L244:L248/$AL244:$AL248)</f>
        <v>0</v>
      </c>
      <c r="M249" s="681">
        <f ca="1">SUMPRODUCT(Driver2!$W$89:$W$93,M244:M248/$AL244:$AL248)</f>
        <v>0</v>
      </c>
      <c r="N249" s="681">
        <f ca="1">SUMPRODUCT(Driver2!$W$89:$W$93,N244:N248/$AL244:$AL248)</f>
        <v>0</v>
      </c>
      <c r="O249" s="681">
        <f ca="1">SUMPRODUCT(Driver2!$W$89:$W$93,O244:O248/$AL244:$AL248)</f>
        <v>0.87193062984606806</v>
      </c>
      <c r="P249" s="681">
        <f ca="1">SUMPRODUCT(Driver2!$W$89:$W$93,P244:P248/$AL244:$AL248)</f>
        <v>0</v>
      </c>
      <c r="Q249" s="681">
        <f ca="1">SUMPRODUCT(Driver2!$W$89:$W$93,Q244:Q248/$AL244:$AL248)</f>
        <v>2.0053344273785463</v>
      </c>
      <c r="R249" s="681">
        <f ca="1">SUMPRODUCT(Driver2!$W$89:$W$93,R244:R248/$AL244:$AL248)</f>
        <v>0</v>
      </c>
      <c r="S249" s="681">
        <f ca="1">SUMPRODUCT(Driver2!$W$89:$W$93,S244:S248/$AL244:$AL248)</f>
        <v>0</v>
      </c>
      <c r="T249" s="681">
        <f ca="1">SUMPRODUCT(Driver2!$W$89:$W$93,T244:T248/$AL244:$AL248)</f>
        <v>0</v>
      </c>
      <c r="U249" s="681">
        <f ca="1">SUMPRODUCT(Driver2!$W$89:$W$93,U244:U248/$AL244:$AL248)</f>
        <v>3.0357846281025194</v>
      </c>
      <c r="V249" s="681">
        <f ca="1">SUMPRODUCT(Driver2!$W$89:$W$93,V244:V248/$AL244:$AL248)</f>
        <v>0</v>
      </c>
      <c r="W249" s="681">
        <f ca="1">SUMPRODUCT(Driver2!$W$89:$W$93,W244:W248/$AL244:$AL248)</f>
        <v>13.17117291778921</v>
      </c>
      <c r="X249" s="681">
        <f ca="1">SUMPRODUCT(Driver2!$W$89:$W$93,X244:X248/$AL244:$AL248)</f>
        <v>0</v>
      </c>
      <c r="Y249" s="681">
        <f ca="1">SUMPRODUCT(Driver2!$W$89:$W$93,Y244:Y248/$AL244:$AL248)</f>
        <v>0</v>
      </c>
      <c r="Z249" s="681">
        <f ca="1">SUMPRODUCT(Driver2!$W$89:$W$93,Z244:Z248/$AL244:$AL248)</f>
        <v>0</v>
      </c>
      <c r="AA249" s="681">
        <f ca="1">SUMPRODUCT(Driver2!$W$89:$W$93,AA244:AA248/$AL244:$AL248)</f>
        <v>0</v>
      </c>
      <c r="AB249" s="681">
        <f ca="1">SUMPRODUCT(Driver2!$W$89:$W$93,AB244:AB248/$AL244:$AL248)</f>
        <v>0</v>
      </c>
      <c r="AC249" s="681">
        <f ca="1">SUMPRODUCT(Driver2!$W$89:$W$93,AC244:AC248/$AL244:$AL248)</f>
        <v>0</v>
      </c>
      <c r="AD249" s="681">
        <f ca="1">SUMPRODUCT(Driver2!$W$89:$W$93,AD244:AD248/$AL244:$AL248)</f>
        <v>0</v>
      </c>
      <c r="AE249" s="681">
        <f ca="1">SUMPRODUCT(Driver2!$W$89:$W$93,AE244:AE248/$AL244:$AL248)</f>
        <v>0</v>
      </c>
      <c r="AF249" s="681">
        <f ca="1">SUMPRODUCT(Driver2!$W$89:$W$93,AF244:AF248/$AL244:$AL248)</f>
        <v>0</v>
      </c>
      <c r="AG249" s="681">
        <f ca="1">SUMPRODUCT(Driver2!$W$89:$W$93,AG244:AG248/$AL244:$AL248)</f>
        <v>0</v>
      </c>
      <c r="AH249" s="681">
        <f ca="1">SUMPRODUCT(Driver2!$W$89:$W$93,AH244:AH248/$AL244:$AL248)</f>
        <v>0</v>
      </c>
      <c r="AI249" s="681">
        <f ca="1">SUMPRODUCT(Driver2!$W$89:$W$93,AI244:AI248/$AL244:$AL248)</f>
        <v>0</v>
      </c>
      <c r="AJ249" s="681">
        <f ca="1">SUMPRODUCT(Driver2!$W$89:$W$93,AJ244:AJ248/$AL244:$AL248)</f>
        <v>0</v>
      </c>
      <c r="AK249" s="681">
        <f ca="1">SUMPRODUCT(Driver2!$W$89:$W$93,AK244:AK248/$AL244:$AL248)</f>
        <v>0</v>
      </c>
      <c r="AL249" s="681">
        <f>SUM(C249:AK249)</f>
        <v>43.978050200000006</v>
      </c>
    </row>
    <row r="250" spans="1:39" hidden="1">
      <c r="B250" s="613" t="s">
        <v>333</v>
      </c>
      <c r="AM250" s="709" t="s">
        <v>503</v>
      </c>
    </row>
    <row r="251" spans="1:39" hidden="1">
      <c r="B251" s="613" t="s">
        <v>360</v>
      </c>
      <c r="C251" s="613">
        <f ca="1">IF(C$249&gt;0,Driver2!$W89*C244/$AL244*C$232/C$249,0)</f>
        <v>0</v>
      </c>
      <c r="D251" s="613">
        <f ca="1">IF(D$249&gt;0,Driver2!$W89*D244/$AL244*D$232/D$249,0)</f>
        <v>2.5286662292600846</v>
      </c>
      <c r="E251" s="613">
        <f ca="1">IF(E$249&gt;0,Driver2!$W89*E244/$AL244*E$232/E$249,0)</f>
        <v>8.4736009430291386</v>
      </c>
      <c r="F251" s="613">
        <f ca="1">IF(F$249&gt;0,Driver2!$W89*F244/$AL244*F$232/F$249,0)</f>
        <v>0</v>
      </c>
      <c r="G251" s="613">
        <f ca="1">IF(G$249&gt;0,Driver2!$W89*G244/$AL244*G$232/G$249,0)</f>
        <v>0</v>
      </c>
      <c r="H251" s="613">
        <f ca="1">IF(H$249&gt;0,Driver2!$W89*H244/$AL244*H$232/H$249,0)</f>
        <v>0</v>
      </c>
      <c r="I251" s="613">
        <f ca="1">IF(I$249&gt;0,Driver2!$W89*I244/$AL244*I$232/I$249,0)</f>
        <v>0</v>
      </c>
      <c r="J251" s="613">
        <f ca="1">IF(J$249&gt;0,Driver2!$W89*J244/$AL244*J$232/J$249,0)</f>
        <v>0</v>
      </c>
      <c r="K251" s="613">
        <f ca="1">IF(K$249&gt;0,Driver2!$W89*K244/$AL244*K$232/K$249,0)</f>
        <v>0</v>
      </c>
      <c r="L251" s="613">
        <f ca="1">IF(L$249&gt;0,Driver2!$W89*L244/$AL244*L$232/L$249,0)</f>
        <v>0</v>
      </c>
      <c r="M251" s="613">
        <f ca="1">IF(M$249&gt;0,Driver2!$W89*M244/$AL244*M$232/M$249,0)</f>
        <v>0</v>
      </c>
      <c r="N251" s="613">
        <f ca="1">IF(N$249&gt;0,Driver2!$W89*N244/$AL244*N$232/N$249,0)</f>
        <v>0</v>
      </c>
      <c r="O251" s="613">
        <f ca="1">IF(O$249&gt;0,Driver2!$W89*O244/$AL244*O$232/O$249,0)</f>
        <v>0.58886947951259583</v>
      </c>
      <c r="P251" s="613">
        <f ca="1">IF(P$249&gt;0,Driver2!$W89*P244/$AL244*P$232/P$249,0)</f>
        <v>0</v>
      </c>
      <c r="Q251" s="613">
        <f ca="1">IF(Q$249&gt;0,Driver2!$W89*Q244/$AL244*Q$232/Q$249,0)</f>
        <v>0</v>
      </c>
      <c r="R251" s="613">
        <f ca="1">IF(R$249&gt;0,Driver2!$W89*R244/$AL244*R$232/R$249,0)</f>
        <v>0</v>
      </c>
      <c r="S251" s="613">
        <f ca="1">IF(S$249&gt;0,Driver2!$W89*S244/$AL244*S$232/S$249,0)</f>
        <v>0</v>
      </c>
      <c r="T251" s="613">
        <f ca="1">IF(T$249&gt;0,Driver2!$W89*T244/$AL244*T$232/T$249,0)</f>
        <v>0</v>
      </c>
      <c r="U251" s="613">
        <f ca="1">IF(U$249&gt;0,Driver2!$W89*U244/$AL244*U$232/U$249,0)</f>
        <v>0</v>
      </c>
      <c r="V251" s="613">
        <f ca="1">IF(V$249&gt;0,Driver2!$W89*V244/$AL244*V$232/V$249,0)</f>
        <v>0</v>
      </c>
      <c r="W251" s="613">
        <f ca="1">IF(W$249&gt;0,Driver2!$W89*W244/$AL244*W$232/W$249,0)</f>
        <v>6.8572640687920927</v>
      </c>
      <c r="X251" s="613">
        <f ca="1">IF(X$249&gt;0,Driver2!$W89*X244/$AL244*X$232/X$249,0)</f>
        <v>0</v>
      </c>
      <c r="Y251" s="613">
        <f ca="1">IF(Y$249&gt;0,Driver2!$W89*Y244/$AL244*Y$232/Y$249,0)</f>
        <v>0</v>
      </c>
      <c r="Z251" s="613">
        <f ca="1">IF(Z$249&gt;0,Driver2!$W89*Z244/$AL244*Z$232/Z$249,0)</f>
        <v>0</v>
      </c>
      <c r="AA251" s="613">
        <f ca="1">IF(AA$249&gt;0,Driver2!$W89*AA244/$AL244*AA$232/AA$249,0)</f>
        <v>0</v>
      </c>
      <c r="AB251" s="613">
        <f ca="1">IF(AB$249&gt;0,Driver2!$W89*AB244/$AL244*AB$232/AB$249,0)</f>
        <v>0</v>
      </c>
      <c r="AC251" s="613">
        <f ca="1">IF(AC$249&gt;0,Driver2!$W89*AC244/$AL244*AC$232/AC$249,0)</f>
        <v>0</v>
      </c>
      <c r="AD251" s="613">
        <f ca="1">IF(AD$249&gt;0,Driver2!$W89*AD244/$AL244*AD$232/AD$249,0)</f>
        <v>0</v>
      </c>
      <c r="AE251" s="613">
        <f ca="1">IF(AE$249&gt;0,Driver2!$W89*AE244/$AL244*AE$232/AE$249,0)</f>
        <v>0</v>
      </c>
      <c r="AF251" s="613">
        <f ca="1">IF(AF$249&gt;0,Driver2!$W89*AF244/$AL244*AF$232/AF$249,0)</f>
        <v>0</v>
      </c>
      <c r="AG251" s="613">
        <f ca="1">IF(AG$249&gt;0,Driver2!$W89*AG244/$AL244*AG$232/AG$249,0)</f>
        <v>0</v>
      </c>
      <c r="AH251" s="613">
        <f ca="1">IF(AH$249&gt;0,Driver2!$W89*AH244/$AL244*AH$232/AH$249,0)</f>
        <v>0</v>
      </c>
      <c r="AI251" s="613">
        <f ca="1">IF(AI$249&gt;0,Driver2!$W89*AI244/$AL244*AI$232/AI$249,0)</f>
        <v>0</v>
      </c>
      <c r="AJ251" s="613">
        <f ca="1">IF(AJ$249&gt;0,Driver2!$W89*AJ244/$AL244*AJ$232/AJ$249,0)</f>
        <v>0</v>
      </c>
      <c r="AK251" s="613">
        <f ca="1">IF(AK$249&gt;0,Driver2!$W89*AK244/$AL244*AK$232/AK$249,0)</f>
        <v>0</v>
      </c>
      <c r="AL251" s="681">
        <f>SUM(C251:AK251)</f>
        <v>18.448400720593909</v>
      </c>
      <c r="AM251" s="681">
        <f ca="1">SUMPRODUCT($D$233:$AK$233,$D251:$AK251)*$AM244/MAX(Tiny,$AL251)</f>
        <v>15.781514093520347</v>
      </c>
    </row>
    <row r="252" spans="1:39" hidden="1">
      <c r="B252" s="613" t="s">
        <v>972</v>
      </c>
      <c r="C252" s="613">
        <f ca="1">IF(C$249&gt;0,Driver2!$W90*C245/$AL245*C$232/C$249,0)</f>
        <v>0</v>
      </c>
      <c r="D252" s="613">
        <f ca="1">IF(D$249&gt;0,Driver2!$W90*D245/$AL245*D$232/D$249,0)</f>
        <v>0</v>
      </c>
      <c r="E252" s="613">
        <f ca="1">IF(E$249&gt;0,Driver2!$W90*E245/$AL245*E$232/E$249,0)</f>
        <v>1.2654247685626534</v>
      </c>
      <c r="F252" s="613">
        <f ca="1">IF(F$249&gt;0,Driver2!$W90*F245/$AL245*F$232/F$249,0)</f>
        <v>0</v>
      </c>
      <c r="G252" s="613">
        <f ca="1">IF(G$249&gt;0,Driver2!$W90*G245/$AL245*G$232/G$249,0)</f>
        <v>0</v>
      </c>
      <c r="H252" s="613">
        <f ca="1">IF(H$249&gt;0,Driver2!$W90*H245/$AL245*H$232/H$249,0)</f>
        <v>0</v>
      </c>
      <c r="I252" s="613">
        <f ca="1">IF(I$249&gt;0,Driver2!$W90*I245/$AL245*I$232/I$249,0)</f>
        <v>0</v>
      </c>
      <c r="J252" s="613">
        <f ca="1">IF(J$249&gt;0,Driver2!$W90*J245/$AL245*J$232/J$249,0)</f>
        <v>0</v>
      </c>
      <c r="K252" s="613">
        <f ca="1">IF(K$249&gt;0,Driver2!$W90*K245/$AL245*K$232/K$249,0)</f>
        <v>0</v>
      </c>
      <c r="L252" s="613">
        <f ca="1">IF(L$249&gt;0,Driver2!$W90*L245/$AL245*L$232/L$249,0)</f>
        <v>0</v>
      </c>
      <c r="M252" s="613">
        <f ca="1">IF(M$249&gt;0,Driver2!$W90*M245/$AL245*M$232/M$249,0)</f>
        <v>0</v>
      </c>
      <c r="N252" s="613">
        <f ca="1">IF(N$249&gt;0,Driver2!$W90*N245/$AL245*N$232/N$249,0)</f>
        <v>0</v>
      </c>
      <c r="O252" s="613">
        <f ca="1">IF(O$249&gt;0,Driver2!$W90*O245/$AL245*O$232/O$249,0)</f>
        <v>0</v>
      </c>
      <c r="P252" s="613">
        <f ca="1">IF(P$249&gt;0,Driver2!$W90*P245/$AL245*P$232/P$249,0)</f>
        <v>0</v>
      </c>
      <c r="Q252" s="613">
        <f ca="1">IF(Q$249&gt;0,Driver2!$W90*Q245/$AL245*Q$232/Q$249,0)</f>
        <v>1.0577129857753904</v>
      </c>
      <c r="R252" s="613">
        <f ca="1">IF(R$249&gt;0,Driver2!$W90*R245/$AL245*R$232/R$249,0)</f>
        <v>0</v>
      </c>
      <c r="S252" s="613">
        <f ca="1">IF(S$249&gt;0,Driver2!$W90*S245/$AL245*S$232/S$249,0)</f>
        <v>0</v>
      </c>
      <c r="T252" s="613">
        <f ca="1">IF(T$249&gt;0,Driver2!$W90*T245/$AL245*T$232/T$249,0)</f>
        <v>0</v>
      </c>
      <c r="U252" s="613">
        <f ca="1">IF(U$249&gt;0,Driver2!$W90*U245/$AL245*U$232/U$249,0)</f>
        <v>1.2064743842600694</v>
      </c>
      <c r="V252" s="613">
        <f ca="1">IF(V$249&gt;0,Driver2!$W90*V245/$AL245*V$232/V$249,0)</f>
        <v>0</v>
      </c>
      <c r="W252" s="613">
        <f ca="1">IF(W$249&gt;0,Driver2!$W90*W245/$AL245*W$232/W$249,0)</f>
        <v>1.9820232931852735</v>
      </c>
      <c r="X252" s="613">
        <f ca="1">IF(X$249&gt;0,Driver2!$W90*X245/$AL245*X$232/X$249,0)</f>
        <v>0</v>
      </c>
      <c r="Y252" s="613">
        <f ca="1">IF(Y$249&gt;0,Driver2!$W90*Y245/$AL245*Y$232/Y$249,0)</f>
        <v>0</v>
      </c>
      <c r="Z252" s="613">
        <f ca="1">IF(Z$249&gt;0,Driver2!$W90*Z245/$AL245*Z$232/Z$249,0)</f>
        <v>0</v>
      </c>
      <c r="AA252" s="613">
        <f ca="1">IF(AA$249&gt;0,Driver2!$W90*AA245/$AL245*AA$232/AA$249,0)</f>
        <v>0</v>
      </c>
      <c r="AB252" s="613">
        <f ca="1">IF(AB$249&gt;0,Driver2!$W90*AB245/$AL245*AB$232/AB$249,0)</f>
        <v>0</v>
      </c>
      <c r="AC252" s="613">
        <f ca="1">IF(AC$249&gt;0,Driver2!$W90*AC245/$AL245*AC$232/AC$249,0)</f>
        <v>0</v>
      </c>
      <c r="AD252" s="613">
        <f ca="1">IF(AD$249&gt;0,Driver2!$W90*AD245/$AL245*AD$232/AD$249,0)</f>
        <v>0</v>
      </c>
      <c r="AE252" s="613">
        <f ca="1">IF(AE$249&gt;0,Driver2!$W90*AE245/$AL245*AE$232/AE$249,0)</f>
        <v>0</v>
      </c>
      <c r="AF252" s="613">
        <f ca="1">IF(AF$249&gt;0,Driver2!$W90*AF245/$AL245*AF$232/AF$249,0)</f>
        <v>0</v>
      </c>
      <c r="AG252" s="613">
        <f ca="1">IF(AG$249&gt;0,Driver2!$W90*AG245/$AL245*AG$232/AG$249,0)</f>
        <v>0</v>
      </c>
      <c r="AH252" s="613">
        <f ca="1">IF(AH$249&gt;0,Driver2!$W90*AH245/$AL245*AH$232/AH$249,0)</f>
        <v>0</v>
      </c>
      <c r="AI252" s="613">
        <f ca="1">IF(AI$249&gt;0,Driver2!$W90*AI245/$AL245*AI$232/AI$249,0)</f>
        <v>0</v>
      </c>
      <c r="AJ252" s="613">
        <f ca="1">IF(AJ$249&gt;0,Driver2!$W90*AJ245/$AL245*AJ$232/AJ$249,0)</f>
        <v>0</v>
      </c>
      <c r="AK252" s="613">
        <f ca="1">IF(AK$249&gt;0,Driver2!$W90*AK245/$AL245*AK$232/AK$249,0)</f>
        <v>0</v>
      </c>
      <c r="AL252" s="681">
        <f>SUM(C252:AK252)</f>
        <v>5.511635431783386</v>
      </c>
      <c r="AM252" s="681">
        <f ca="1">SUMPRODUCT($D$233:$AK$233,$D252:$AK252)*$AM245/MAX(Tiny,$AL252)</f>
        <v>17.936244724740131</v>
      </c>
    </row>
    <row r="253" spans="1:39" hidden="1">
      <c r="B253" s="613" t="s">
        <v>358</v>
      </c>
      <c r="C253" s="613">
        <f ca="1">IF(C$249&gt;0,Driver2!$W91*C246/$AL246*C$232/C$249,0)</f>
        <v>0</v>
      </c>
      <c r="D253" s="613">
        <f ca="1">IF(D$249&gt;0,Driver2!$W91*D246/$AL246*D$232/D$249,0)</f>
        <v>0.99843513492178804</v>
      </c>
      <c r="E253" s="613">
        <f ca="1">IF(E$249&gt;0,Driver2!$W91*E246/$AL246*E$232/E$249,0)</f>
        <v>0</v>
      </c>
      <c r="F253" s="613">
        <f ca="1">IF(F$249&gt;0,Driver2!$W91*F246/$AL246*F$232/F$249,0)</f>
        <v>0</v>
      </c>
      <c r="G253" s="613">
        <f ca="1">IF(G$249&gt;0,Driver2!$W91*G246/$AL246*G$232/G$249,0)</f>
        <v>0</v>
      </c>
      <c r="H253" s="613">
        <f ca="1">IF(H$249&gt;0,Driver2!$W91*H246/$AL246*H$232/H$249,0)</f>
        <v>0</v>
      </c>
      <c r="I253" s="613">
        <f ca="1">IF(I$249&gt;0,Driver2!$W91*I246/$AL246*I$232/I$249,0)</f>
        <v>0</v>
      </c>
      <c r="J253" s="613">
        <f ca="1">IF(J$249&gt;0,Driver2!$W91*J246/$AL246*J$232/J$249,0)</f>
        <v>0</v>
      </c>
      <c r="K253" s="613">
        <f ca="1">IF(K$249&gt;0,Driver2!$W91*K246/$AL246*K$232/K$249,0)</f>
        <v>0</v>
      </c>
      <c r="L253" s="613">
        <f ca="1">IF(L$249&gt;0,Driver2!$W91*L246/$AL246*L$232/L$249,0)</f>
        <v>0</v>
      </c>
      <c r="M253" s="613">
        <f ca="1">IF(M$249&gt;0,Driver2!$W91*M246/$AL246*M$232/M$249,0)</f>
        <v>0</v>
      </c>
      <c r="N253" s="613">
        <f ca="1">IF(N$249&gt;0,Driver2!$W91*N246/$AL246*N$232/N$249,0)</f>
        <v>0</v>
      </c>
      <c r="O253" s="613">
        <f ca="1">IF(O$249&gt;0,Driver2!$W91*O246/$AL246*O$232/O$249,0)</f>
        <v>0</v>
      </c>
      <c r="P253" s="613">
        <f ca="1">IF(P$249&gt;0,Driver2!$W91*P246/$AL246*P$232/P$249,0)</f>
        <v>0</v>
      </c>
      <c r="Q253" s="613">
        <f ca="1">IF(Q$249&gt;0,Driver2!$W91*Q246/$AL246*Q$232/Q$249,0)</f>
        <v>0.32268276272028884</v>
      </c>
      <c r="R253" s="613">
        <f ca="1">IF(R$249&gt;0,Driver2!$W91*R246/$AL246*R$232/R$249,0)</f>
        <v>0</v>
      </c>
      <c r="S253" s="613">
        <f ca="1">IF(S$249&gt;0,Driver2!$W91*S246/$AL246*S$232/S$249,0)</f>
        <v>0</v>
      </c>
      <c r="T253" s="613">
        <f ca="1">IF(T$249&gt;0,Driver2!$W91*T246/$AL246*T$232/T$249,0)</f>
        <v>0</v>
      </c>
      <c r="U253" s="613">
        <f ca="1">IF(U$249&gt;0,Driver2!$W91*U246/$AL246*U$232/U$249,0)</f>
        <v>0.36806628329225188</v>
      </c>
      <c r="V253" s="613">
        <f ca="1">IF(V$249&gt;0,Driver2!$W91*V246/$AL246*V$232/V$249,0)</f>
        <v>0</v>
      </c>
      <c r="W253" s="613">
        <f ca="1">IF(W$249&gt;0,Driver2!$W91*W246/$AL246*W$232/W$249,0)</f>
        <v>0</v>
      </c>
      <c r="X253" s="613">
        <f ca="1">IF(X$249&gt;0,Driver2!$W91*X246/$AL246*X$232/X$249,0)</f>
        <v>0</v>
      </c>
      <c r="Y253" s="613">
        <f ca="1">IF(Y$249&gt;0,Driver2!$W91*Y246/$AL246*Y$232/Y$249,0)</f>
        <v>0</v>
      </c>
      <c r="Z253" s="613">
        <f ca="1">IF(Z$249&gt;0,Driver2!$W91*Z246/$AL246*Z$232/Z$249,0)</f>
        <v>0</v>
      </c>
      <c r="AA253" s="613">
        <f ca="1">IF(AA$249&gt;0,Driver2!$W91*AA246/$AL246*AA$232/AA$249,0)</f>
        <v>0</v>
      </c>
      <c r="AB253" s="613">
        <f ca="1">IF(AB$249&gt;0,Driver2!$W91*AB246/$AL246*AB$232/AB$249,0)</f>
        <v>0</v>
      </c>
      <c r="AC253" s="613">
        <f ca="1">IF(AC$249&gt;0,Driver2!$W91*AC246/$AL246*AC$232/AC$249,0)</f>
        <v>0</v>
      </c>
      <c r="AD253" s="613">
        <f ca="1">IF(AD$249&gt;0,Driver2!$W91*AD246/$AL246*AD$232/AD$249,0)</f>
        <v>0</v>
      </c>
      <c r="AE253" s="613">
        <f ca="1">IF(AE$249&gt;0,Driver2!$W91*AE246/$AL246*AE$232/AE$249,0)</f>
        <v>0</v>
      </c>
      <c r="AF253" s="613">
        <f ca="1">IF(AF$249&gt;0,Driver2!$W91*AF246/$AL246*AF$232/AF$249,0)</f>
        <v>0</v>
      </c>
      <c r="AG253" s="613">
        <f ca="1">IF(AG$249&gt;0,Driver2!$W91*AG246/$AL246*AG$232/AG$249,0)</f>
        <v>0</v>
      </c>
      <c r="AH253" s="613">
        <f ca="1">IF(AH$249&gt;0,Driver2!$W91*AH246/$AL246*AH$232/AH$249,0)</f>
        <v>0</v>
      </c>
      <c r="AI253" s="613">
        <f ca="1">IF(AI$249&gt;0,Driver2!$W91*AI246/$AL246*AI$232/AI$249,0)</f>
        <v>0</v>
      </c>
      <c r="AJ253" s="613">
        <f ca="1">IF(AJ$249&gt;0,Driver2!$W91*AJ246/$AL246*AJ$232/AJ$249,0)</f>
        <v>0</v>
      </c>
      <c r="AK253" s="613">
        <f ca="1">IF(AK$249&gt;0,Driver2!$W91*AK246/$AL246*AK$232/AK$249,0)</f>
        <v>0</v>
      </c>
      <c r="AL253" s="681">
        <f>SUM(C253:AK253)</f>
        <v>1.6891841809343286</v>
      </c>
      <c r="AM253" s="681">
        <f ca="1">SUMPRODUCT($D$233:$AK$233,$D253:$AK253)*$AM246/MAX(Tiny,$AL253)</f>
        <v>54.329213583965526</v>
      </c>
    </row>
    <row r="254" spans="1:39" hidden="1">
      <c r="B254" s="613" t="s">
        <v>356</v>
      </c>
      <c r="C254" s="613">
        <f ca="1">IF(C$249&gt;0,Driver2!$W92*C247/$AL247*C$232/C$249,0)</f>
        <v>0</v>
      </c>
      <c r="D254" s="613">
        <f ca="1">IF(D$249&gt;0,Driver2!$W92*D247/$AL247*D$232/D$249,0)</f>
        <v>0</v>
      </c>
      <c r="E254" s="613">
        <f ca="1">IF(E$249&gt;0,Driver2!$W92*E247/$AL247*E$232/E$249,0)</f>
        <v>0</v>
      </c>
      <c r="F254" s="613">
        <f ca="1">IF(F$249&gt;0,Driver2!$W92*F247/$AL247*F$232/F$249,0)</f>
        <v>0</v>
      </c>
      <c r="G254" s="613">
        <f ca="1">IF(G$249&gt;0,Driver2!$W92*G247/$AL247*G$232/G$249,0)</f>
        <v>0</v>
      </c>
      <c r="H254" s="613">
        <f ca="1">IF(H$249&gt;0,Driver2!$W92*H247/$AL247*H$232/H$249,0)</f>
        <v>0</v>
      </c>
      <c r="I254" s="613">
        <f ca="1">IF(I$249&gt;0,Driver2!$W92*I247/$AL247*I$232/I$249,0)</f>
        <v>0</v>
      </c>
      <c r="J254" s="613">
        <f ca="1">IF(J$249&gt;0,Driver2!$W92*J247/$AL247*J$232/J$249,0)</f>
        <v>0</v>
      </c>
      <c r="K254" s="613">
        <f ca="1">IF(K$249&gt;0,Driver2!$W92*K247/$AL247*K$232/K$249,0)</f>
        <v>0</v>
      </c>
      <c r="L254" s="613">
        <f ca="1">IF(L$249&gt;0,Driver2!$W92*L247/$AL247*L$232/L$249,0)</f>
        <v>0</v>
      </c>
      <c r="M254" s="613">
        <f ca="1">IF(M$249&gt;0,Driver2!$W92*M247/$AL247*M$232/M$249,0)</f>
        <v>0</v>
      </c>
      <c r="N254" s="613">
        <f ca="1">IF(N$249&gt;0,Driver2!$W92*N247/$AL247*N$232/N$249,0)</f>
        <v>0</v>
      </c>
      <c r="O254" s="613">
        <f ca="1">IF(O$249&gt;0,Driver2!$W92*O247/$AL247*O$232/O$249,0)</f>
        <v>0</v>
      </c>
      <c r="P254" s="613">
        <f ca="1">IF(P$249&gt;0,Driver2!$W92*P247/$AL247*P$232/P$249,0)</f>
        <v>0</v>
      </c>
      <c r="Q254" s="613">
        <f ca="1">IF(Q$249&gt;0,Driver2!$W92*Q247/$AL247*Q$232/Q$249,0)</f>
        <v>0</v>
      </c>
      <c r="R254" s="613">
        <f ca="1">IF(R$249&gt;0,Driver2!$W92*R247/$AL247*R$232/R$249,0)</f>
        <v>0</v>
      </c>
      <c r="S254" s="613">
        <f ca="1">IF(S$249&gt;0,Driver2!$W92*S247/$AL247*S$232/S$249,0)</f>
        <v>0</v>
      </c>
      <c r="T254" s="613">
        <f ca="1">IF(T$249&gt;0,Driver2!$W92*T247/$AL247*T$232/T$249,0)</f>
        <v>0</v>
      </c>
      <c r="U254" s="613">
        <f ca="1">IF(U$249&gt;0,Driver2!$W92*U247/$AL247*U$232/U$249,0)</f>
        <v>0</v>
      </c>
      <c r="V254" s="613">
        <f ca="1">IF(V$249&gt;0,Driver2!$W92*V247/$AL247*V$232/V$249,0)</f>
        <v>0</v>
      </c>
      <c r="W254" s="613">
        <f ca="1">IF(W$249&gt;0,Driver2!$W92*W247/$AL247*W$232/W$249,0)</f>
        <v>0</v>
      </c>
      <c r="X254" s="613">
        <f ca="1">IF(X$249&gt;0,Driver2!$W92*X247/$AL247*X$232/X$249,0)</f>
        <v>0</v>
      </c>
      <c r="Y254" s="613">
        <f ca="1">IF(Y$249&gt;0,Driver2!$W92*Y247/$AL247*Y$232/Y$249,0)</f>
        <v>0</v>
      </c>
      <c r="Z254" s="613">
        <f ca="1">IF(Z$249&gt;0,Driver2!$W92*Z247/$AL247*Z$232/Z$249,0)</f>
        <v>0</v>
      </c>
      <c r="AA254" s="613">
        <f ca="1">IF(AA$249&gt;0,Driver2!$W92*AA247/$AL247*AA$232/AA$249,0)</f>
        <v>0</v>
      </c>
      <c r="AB254" s="613">
        <f ca="1">IF(AB$249&gt;0,Driver2!$W92*AB247/$AL247*AB$232/AB$249,0)</f>
        <v>0</v>
      </c>
      <c r="AC254" s="613">
        <f ca="1">IF(AC$249&gt;0,Driver2!$W92*AC247/$AL247*AC$232/AC$249,0)</f>
        <v>0</v>
      </c>
      <c r="AD254" s="613">
        <f ca="1">IF(AD$249&gt;0,Driver2!$W92*AD247/$AL247*AD$232/AD$249,0)</f>
        <v>0</v>
      </c>
      <c r="AE254" s="613">
        <f ca="1">IF(AE$249&gt;0,Driver2!$W92*AE247/$AL247*AE$232/AE$249,0)</f>
        <v>0</v>
      </c>
      <c r="AF254" s="613">
        <f ca="1">IF(AF$249&gt;0,Driver2!$W92*AF247/$AL247*AF$232/AF$249,0)</f>
        <v>0</v>
      </c>
      <c r="AG254" s="613">
        <f ca="1">IF(AG$249&gt;0,Driver2!$W92*AG247/$AL247*AG$232/AG$249,0)</f>
        <v>0</v>
      </c>
      <c r="AH254" s="613">
        <f ca="1">IF(AH$249&gt;0,Driver2!$W92*AH247/$AL247*AH$232/AH$249,0)</f>
        <v>0</v>
      </c>
      <c r="AI254" s="613">
        <f ca="1">IF(AI$249&gt;0,Driver2!$W92*AI247/$AL247*AI$232/AI$249,0)</f>
        <v>0</v>
      </c>
      <c r="AJ254" s="613">
        <f ca="1">IF(AJ$249&gt;0,Driver2!$W92*AJ247/$AL247*AJ$232/AJ$249,0)</f>
        <v>0</v>
      </c>
      <c r="AK254" s="613">
        <f ca="1">IF(AK$249&gt;0,Driver2!$W92*AK247/$AL247*AK$232/AK$249,0)</f>
        <v>0</v>
      </c>
      <c r="AL254" s="681">
        <f>SUM(C254:AK254)</f>
        <v>0</v>
      </c>
      <c r="AM254" s="681">
        <f ca="1">SUMPRODUCT($D$233:$AK$233,$D254:$AK254)*$AM247/MAX(Tiny,$AL254)</f>
        <v>0</v>
      </c>
    </row>
    <row r="255" spans="1:39" hidden="1">
      <c r="B255" s="613" t="s">
        <v>536</v>
      </c>
      <c r="C255" s="613">
        <f ca="1">IF(C$249&gt;0,Driver2!$W93*C248/$AL248*C$232/C$249,0)</f>
        <v>0</v>
      </c>
      <c r="D255" s="613">
        <f ca="1">IF(D$249&gt;0,Driver2!$W93*D248/$AL248*D$232/D$249,0)</f>
        <v>0.47850601287481509</v>
      </c>
      <c r="E255" s="613">
        <f ca="1">IF(E$249&gt;0,Driver2!$W93*E248/$AL248*E$232/E$249,0)</f>
        <v>14.636798026003898</v>
      </c>
      <c r="F255" s="613">
        <f ca="1">IF(F$249&gt;0,Driver2!$W93*F248/$AL248*F$232/F$249,0)</f>
        <v>0</v>
      </c>
      <c r="G255" s="613">
        <f ca="1">IF(G$249&gt;0,Driver2!$W93*G248/$AL248*G$232/G$249,0)</f>
        <v>0</v>
      </c>
      <c r="H255" s="613">
        <f ca="1">IF(H$249&gt;0,Driver2!$W93*H248/$AL248*H$232/H$249,0)</f>
        <v>0</v>
      </c>
      <c r="I255" s="613">
        <f ca="1">IF(I$249&gt;0,Driver2!$W93*I248/$AL248*I$232/I$249,0)</f>
        <v>0</v>
      </c>
      <c r="J255" s="613">
        <f ca="1">IF(J$249&gt;0,Driver2!$W93*J248/$AL248*J$232/J$249,0)</f>
        <v>0</v>
      </c>
      <c r="K255" s="613">
        <f ca="1">IF(K$249&gt;0,Driver2!$W93*K248/$AL248*K$232/K$249,0)</f>
        <v>0</v>
      </c>
      <c r="L255" s="613">
        <f ca="1">IF(L$249&gt;0,Driver2!$W93*L248/$AL248*L$232/L$249,0)</f>
        <v>0</v>
      </c>
      <c r="M255" s="613">
        <f ca="1">IF(M$249&gt;0,Driver2!$W93*M248/$AL248*M$232/M$249,0)</f>
        <v>0</v>
      </c>
      <c r="N255" s="613">
        <f ca="1">IF(N$249&gt;0,Driver2!$W93*N248/$AL248*N$232/N$249,0)</f>
        <v>0</v>
      </c>
      <c r="O255" s="613">
        <f ca="1">IF(O$249&gt;0,Driver2!$W93*O248/$AL248*O$232/O$249,0)</f>
        <v>0.15525853183935193</v>
      </c>
      <c r="P255" s="613">
        <f ca="1">IF(P$249&gt;0,Driver2!$W93*P248/$AL248*P$232/P$249,0)</f>
        <v>0</v>
      </c>
      <c r="Q255" s="613">
        <f ca="1">IF(Q$249&gt;0,Driver2!$W93*Q248/$AL248*Q$232/Q$249,0)</f>
        <v>0.19805683449617748</v>
      </c>
      <c r="R255" s="613">
        <f ca="1">IF(R$249&gt;0,Driver2!$W93*R248/$AL248*R$232/R$249,0)</f>
        <v>0</v>
      </c>
      <c r="S255" s="613">
        <f ca="1">IF(S$249&gt;0,Driver2!$W93*S248/$AL248*S$232/S$249,0)</f>
        <v>0</v>
      </c>
      <c r="T255" s="613">
        <f ca="1">IF(T$249&gt;0,Driver2!$W93*T248/$AL248*T$232/T$249,0)</f>
        <v>0</v>
      </c>
      <c r="U255" s="613">
        <f ca="1">IF(U$249&gt;0,Driver2!$W93*U248/$AL248*U$232/U$249,0)</f>
        <v>2.1085166121691223</v>
      </c>
      <c r="V255" s="613">
        <f ca="1">IF(V$249&gt;0,Driver2!$W93*V248/$AL248*V$232/V$249,0)</f>
        <v>0</v>
      </c>
      <c r="W255" s="613">
        <f ca="1">IF(W$249&gt;0,Driver2!$W93*W248/$AL248*W$232/W$249,0)</f>
        <v>0.75169384930501648</v>
      </c>
      <c r="X255" s="613">
        <f ca="1">IF(X$249&gt;0,Driver2!$W93*X248/$AL248*X$232/X$249,0)</f>
        <v>0</v>
      </c>
      <c r="Y255" s="613">
        <f ca="1">IF(Y$249&gt;0,Driver2!$W93*Y248/$AL248*Y$232/Y$249,0)</f>
        <v>0</v>
      </c>
      <c r="Z255" s="613">
        <f ca="1">IF(Z$249&gt;0,Driver2!$W93*Z248/$AL248*Z$232/Z$249,0)</f>
        <v>0</v>
      </c>
      <c r="AA255" s="613">
        <f ca="1">IF(AA$249&gt;0,Driver2!$W93*AA248/$AL248*AA$232/AA$249,0)</f>
        <v>0</v>
      </c>
      <c r="AB255" s="613">
        <f ca="1">IF(AB$249&gt;0,Driver2!$W93*AB248/$AL248*AB$232/AB$249,0)</f>
        <v>0</v>
      </c>
      <c r="AC255" s="613">
        <f ca="1">IF(AC$249&gt;0,Driver2!$W93*AC248/$AL248*AC$232/AC$249,0)</f>
        <v>0</v>
      </c>
      <c r="AD255" s="613">
        <f ca="1">IF(AD$249&gt;0,Driver2!$W93*AD248/$AL248*AD$232/AD$249,0)</f>
        <v>0</v>
      </c>
      <c r="AE255" s="613">
        <f ca="1">IF(AE$249&gt;0,Driver2!$W93*AE248/$AL248*AE$232/AE$249,0)</f>
        <v>0</v>
      </c>
      <c r="AF255" s="613">
        <f ca="1">IF(AF$249&gt;0,Driver2!$W93*AF248/$AL248*AF$232/AF$249,0)</f>
        <v>0</v>
      </c>
      <c r="AG255" s="613">
        <f ca="1">IF(AG$249&gt;0,Driver2!$W93*AG248/$AL248*AG$232/AG$249,0)</f>
        <v>0</v>
      </c>
      <c r="AH255" s="613">
        <f ca="1">IF(AH$249&gt;0,Driver2!$W93*AH248/$AL248*AH$232/AH$249,0)</f>
        <v>0</v>
      </c>
      <c r="AI255" s="613">
        <f ca="1">IF(AI$249&gt;0,Driver2!$W93*AI248/$AL248*AI$232/AI$249,0)</f>
        <v>0</v>
      </c>
      <c r="AJ255" s="613">
        <f ca="1">IF(AJ$249&gt;0,Driver2!$W93*AJ248/$AL248*AJ$232/AJ$249,0)</f>
        <v>0</v>
      </c>
      <c r="AK255" s="613">
        <f ca="1">IF(AK$249&gt;0,Driver2!$W93*AK248/$AL248*AK$232/AK$249,0)</f>
        <v>0</v>
      </c>
      <c r="AL255" s="681">
        <f>SUM(C255:AK255)</f>
        <v>18.328829866688384</v>
      </c>
      <c r="AM255" s="681">
        <f ca="1">SUMPRODUCT($D$233:$AK$233,$D255:$AK255)*$AM248/MAX(Tiny,$AL255)</f>
        <v>16.154223546010726</v>
      </c>
    </row>
    <row r="256" spans="1:39" hidden="1">
      <c r="C256" s="613">
        <f t="shared" ref="C256:AL256" si="85">SUM(C251:C255)</f>
        <v>0</v>
      </c>
      <c r="D256" s="613">
        <f t="shared" si="85"/>
        <v>4.0056073770566876</v>
      </c>
      <c r="E256" s="613">
        <f t="shared" si="85"/>
        <v>24.375823737595688</v>
      </c>
      <c r="F256" s="613">
        <f t="shared" si="85"/>
        <v>0</v>
      </c>
      <c r="G256" s="613">
        <f t="shared" si="85"/>
        <v>0</v>
      </c>
      <c r="H256" s="613">
        <f t="shared" si="85"/>
        <v>0</v>
      </c>
      <c r="I256" s="613">
        <f t="shared" si="85"/>
        <v>0</v>
      </c>
      <c r="J256" s="613">
        <f t="shared" si="85"/>
        <v>0</v>
      </c>
      <c r="K256" s="613">
        <f t="shared" si="85"/>
        <v>0</v>
      </c>
      <c r="L256" s="613">
        <f t="shared" si="85"/>
        <v>0</v>
      </c>
      <c r="M256" s="613">
        <f t="shared" si="85"/>
        <v>0</v>
      </c>
      <c r="N256" s="613">
        <f t="shared" si="85"/>
        <v>0</v>
      </c>
      <c r="O256" s="613">
        <f t="shared" si="85"/>
        <v>0.74412801135194773</v>
      </c>
      <c r="P256" s="613">
        <f t="shared" si="85"/>
        <v>0</v>
      </c>
      <c r="Q256" s="613">
        <f t="shared" si="85"/>
        <v>1.5784525829918568</v>
      </c>
      <c r="R256" s="613">
        <f t="shared" si="85"/>
        <v>0</v>
      </c>
      <c r="S256" s="613">
        <f t="shared" si="85"/>
        <v>0</v>
      </c>
      <c r="T256" s="613">
        <f t="shared" si="85"/>
        <v>0</v>
      </c>
      <c r="U256" s="613">
        <f t="shared" si="85"/>
        <v>3.6830572797214436</v>
      </c>
      <c r="V256" s="613">
        <f t="shared" si="85"/>
        <v>0</v>
      </c>
      <c r="W256" s="613">
        <f t="shared" si="85"/>
        <v>9.5909812112823829</v>
      </c>
      <c r="X256" s="613">
        <f t="shared" si="85"/>
        <v>0</v>
      </c>
      <c r="Y256" s="613">
        <f t="shared" si="85"/>
        <v>0</v>
      </c>
      <c r="Z256" s="613">
        <f t="shared" si="85"/>
        <v>0</v>
      </c>
      <c r="AA256" s="613">
        <f t="shared" si="85"/>
        <v>0</v>
      </c>
      <c r="AB256" s="613">
        <f t="shared" si="85"/>
        <v>0</v>
      </c>
      <c r="AC256" s="613">
        <f t="shared" si="85"/>
        <v>0</v>
      </c>
      <c r="AD256" s="613">
        <f t="shared" si="85"/>
        <v>0</v>
      </c>
      <c r="AE256" s="613">
        <f t="shared" si="85"/>
        <v>0</v>
      </c>
      <c r="AF256" s="613">
        <f t="shared" si="85"/>
        <v>0</v>
      </c>
      <c r="AG256" s="613">
        <f t="shared" si="85"/>
        <v>0</v>
      </c>
      <c r="AH256" s="613">
        <f t="shared" si="85"/>
        <v>0</v>
      </c>
      <c r="AI256" s="613">
        <f t="shared" si="85"/>
        <v>0</v>
      </c>
      <c r="AJ256" s="613">
        <f t="shared" si="85"/>
        <v>0</v>
      </c>
      <c r="AK256" s="613">
        <f t="shared" si="85"/>
        <v>0</v>
      </c>
      <c r="AL256" s="681">
        <f t="shared" si="85"/>
        <v>43.978050200000013</v>
      </c>
    </row>
    <row r="257" spans="2:37" hidden="1">
      <c r="B257" s="613" t="s">
        <v>184</v>
      </c>
      <c r="D257" s="657">
        <f t="shared" ref="D257:AK257" ca="1" si="86">(SUMPRODUCT(D251:D255,$AM$244:$AM$248)+Tiny)*D$233/(D$256+Tiny)</f>
        <v>22.06092112029307</v>
      </c>
      <c r="E257" s="655">
        <f t="shared" ca="1" si="86"/>
        <v>15.555649786236335</v>
      </c>
      <c r="F257" s="655">
        <f t="shared" ca="1" si="86"/>
        <v>64.2</v>
      </c>
      <c r="G257" s="655">
        <f t="shared" ca="1" si="86"/>
        <v>94.6</v>
      </c>
      <c r="H257" s="655">
        <f t="shared" ca="1" si="86"/>
        <v>104.5</v>
      </c>
      <c r="I257" s="655">
        <f t="shared" ca="1" si="86"/>
        <v>104.86</v>
      </c>
      <c r="J257" s="655">
        <f t="shared" ca="1" si="86"/>
        <v>104.86</v>
      </c>
      <c r="K257" s="655">
        <f t="shared" ca="1" si="86"/>
        <v>44.4</v>
      </c>
      <c r="L257" s="655">
        <f t="shared" ca="1" si="86"/>
        <v>0</v>
      </c>
      <c r="M257" s="655">
        <f t="shared" ca="1" si="86"/>
        <v>0</v>
      </c>
      <c r="N257" s="655">
        <f t="shared" ca="1" si="86"/>
        <v>44.4</v>
      </c>
      <c r="O257" s="655">
        <f t="shared" ca="1" si="86"/>
        <v>13.944179534476618</v>
      </c>
      <c r="P257" s="655">
        <f t="shared" ca="1" si="86"/>
        <v>73.3</v>
      </c>
      <c r="Q257" s="655">
        <f t="shared" ca="1" si="86"/>
        <v>28.843720439091452</v>
      </c>
      <c r="R257" s="655">
        <f t="shared" ca="1" si="86"/>
        <v>74.099999999999994</v>
      </c>
      <c r="S257" s="655">
        <f t="shared" ca="1" si="86"/>
        <v>71.900000000000006</v>
      </c>
      <c r="T257" s="655">
        <f t="shared" ca="1" si="86"/>
        <v>69.3</v>
      </c>
      <c r="U257" s="655">
        <f t="shared" ca="1" si="86"/>
        <v>22.720140764956387</v>
      </c>
      <c r="V257" s="655">
        <f t="shared" ca="1" si="86"/>
        <v>61.600000000000009</v>
      </c>
      <c r="W257" s="655">
        <f t="shared" ca="1" si="86"/>
        <v>17.800926978043421</v>
      </c>
      <c r="X257" s="655">
        <f t="shared" ca="1" si="86"/>
        <v>97.5</v>
      </c>
      <c r="Y257" s="655">
        <f t="shared" ca="1" si="86"/>
        <v>0</v>
      </c>
      <c r="Z257" s="655">
        <f t="shared" ca="1" si="86"/>
        <v>0</v>
      </c>
      <c r="AA257" s="655">
        <f t="shared" ca="1" si="86"/>
        <v>0</v>
      </c>
      <c r="AB257" s="655">
        <f t="shared" ca="1" si="86"/>
        <v>0</v>
      </c>
      <c r="AC257" s="655">
        <f t="shared" ca="1" si="86"/>
        <v>27.51</v>
      </c>
      <c r="AD257" s="655">
        <f t="shared" ca="1" si="86"/>
        <v>85.85</v>
      </c>
      <c r="AE257" s="655">
        <f t="shared" ca="1" si="86"/>
        <v>0</v>
      </c>
      <c r="AF257" s="655">
        <f t="shared" ca="1" si="86"/>
        <v>0</v>
      </c>
      <c r="AG257" s="655">
        <f t="shared" ca="1" si="86"/>
        <v>71.5</v>
      </c>
      <c r="AH257" s="655">
        <f t="shared" ca="1" si="86"/>
        <v>73.3</v>
      </c>
      <c r="AI257" s="655">
        <f t="shared" ca="1" si="86"/>
        <v>37.049999999999997</v>
      </c>
      <c r="AJ257" s="655">
        <f t="shared" ca="1" si="86"/>
        <v>0</v>
      </c>
      <c r="AK257" s="658">
        <f t="shared" ca="1" si="86"/>
        <v>80.7</v>
      </c>
    </row>
    <row r="258" spans="2:37" hidden="1"/>
    <row r="259" spans="2:37" ht="18" hidden="1">
      <c r="B259" s="728" t="s">
        <v>381</v>
      </c>
      <c r="C259" s="729"/>
      <c r="D259" s="708"/>
      <c r="E259" s="729"/>
      <c r="F259" s="708"/>
      <c r="G259" s="708"/>
      <c r="V259" s="728" t="s">
        <v>1088</v>
      </c>
      <c r="W259" s="728"/>
      <c r="X259" s="728"/>
      <c r="Y259" s="728"/>
    </row>
    <row r="260" spans="2:37" hidden="1">
      <c r="C260" s="613" t="s">
        <v>905</v>
      </c>
      <c r="D260" s="613" t="s">
        <v>906</v>
      </c>
      <c r="E260" s="613" t="s">
        <v>907</v>
      </c>
      <c r="F260" s="613" t="s">
        <v>908</v>
      </c>
      <c r="G260" s="613" t="s">
        <v>909</v>
      </c>
      <c r="H260" s="613" t="s">
        <v>910</v>
      </c>
      <c r="I260" s="613" t="s">
        <v>911</v>
      </c>
      <c r="J260" s="613" t="s">
        <v>912</v>
      </c>
      <c r="K260" s="613" t="s">
        <v>1150</v>
      </c>
      <c r="L260" s="613" t="s">
        <v>913</v>
      </c>
      <c r="M260" s="613" t="s">
        <v>826</v>
      </c>
      <c r="N260" s="613" t="s">
        <v>914</v>
      </c>
      <c r="O260" s="613" t="s">
        <v>915</v>
      </c>
      <c r="P260" s="613" t="s">
        <v>916</v>
      </c>
      <c r="Q260" s="613" t="s">
        <v>917</v>
      </c>
      <c r="R260" s="613" t="s">
        <v>950</v>
      </c>
      <c r="S260" s="613" t="s">
        <v>946</v>
      </c>
      <c r="T260" s="613" t="s">
        <v>888</v>
      </c>
      <c r="W260" s="613" t="s">
        <v>749</v>
      </c>
      <c r="X260" s="613" t="s">
        <v>1089</v>
      </c>
      <c r="Y260" s="613" t="s">
        <v>1090</v>
      </c>
    </row>
    <row r="261" spans="2:37" hidden="1">
      <c r="B261" s="613" t="s">
        <v>568</v>
      </c>
      <c r="C261" s="738">
        <f t="shared" ref="C261:L265" si="87">SUMIF($A$172:$A$206,$B261,C$172:C$206)</f>
        <v>15.175888659665604</v>
      </c>
      <c r="D261" s="738">
        <f t="shared" si="87"/>
        <v>2.3161990000000001</v>
      </c>
      <c r="E261" s="738">
        <f t="shared" si="87"/>
        <v>4.6389999</v>
      </c>
      <c r="F261" s="738">
        <f t="shared" si="87"/>
        <v>0</v>
      </c>
      <c r="G261" s="738">
        <f t="shared" si="87"/>
        <v>1.0897709</v>
      </c>
      <c r="H261" s="738">
        <f t="shared" si="87"/>
        <v>3.808999899999999</v>
      </c>
      <c r="I261" s="738">
        <f t="shared" si="87"/>
        <v>2.1518980000000001</v>
      </c>
      <c r="J261" s="738">
        <f t="shared" si="87"/>
        <v>1.6240011000000001</v>
      </c>
      <c r="K261" s="738">
        <f t="shared" si="87"/>
        <v>0</v>
      </c>
      <c r="L261" s="738">
        <f t="shared" si="87"/>
        <v>4.0000700000000007E-2</v>
      </c>
      <c r="M261" s="738">
        <f t="shared" ref="M261:T265" si="88">SUMIF($A$172:$A$206,$B261,M$172:M$206)</f>
        <v>0.12780209999999997</v>
      </c>
      <c r="N261" s="738">
        <f t="shared" si="88"/>
        <v>0</v>
      </c>
      <c r="O261" s="738">
        <f t="shared" si="88"/>
        <v>0</v>
      </c>
      <c r="P261" s="738">
        <f t="shared" si="88"/>
        <v>0</v>
      </c>
      <c r="Q261" s="738">
        <f t="shared" si="88"/>
        <v>0.11081758834726334</v>
      </c>
      <c r="R261" s="738">
        <f t="shared" si="88"/>
        <v>0</v>
      </c>
      <c r="S261" s="738">
        <f t="shared" si="88"/>
        <v>6.044919794423544</v>
      </c>
      <c r="T261" s="738">
        <f t="shared" si="88"/>
        <v>37.129297642436413</v>
      </c>
      <c r="V261" s="613" t="s">
        <v>568</v>
      </c>
      <c r="W261" s="651">
        <f ca="1">AuxData!AD12</f>
        <v>1.498</v>
      </c>
      <c r="X261" s="651">
        <f ca="1">AuxData!BJ34</f>
        <v>1.4981099659835422</v>
      </c>
      <c r="Y261" s="651">
        <f>S261*U$47</f>
        <v>4.9266096324551878</v>
      </c>
    </row>
    <row r="262" spans="2:37" hidden="1">
      <c r="B262" s="613" t="s">
        <v>879</v>
      </c>
      <c r="C262" s="738">
        <f t="shared" si="87"/>
        <v>2.8684604888017389</v>
      </c>
      <c r="D262" s="738">
        <f t="shared" si="87"/>
        <v>1.0319985999999999</v>
      </c>
      <c r="E262" s="738">
        <f t="shared" si="87"/>
        <v>0.75999790000000012</v>
      </c>
      <c r="F262" s="738">
        <f t="shared" si="87"/>
        <v>0</v>
      </c>
      <c r="G262" s="738">
        <f t="shared" si="87"/>
        <v>1.7355369000000003</v>
      </c>
      <c r="H262" s="738">
        <f t="shared" si="87"/>
        <v>0.1757995</v>
      </c>
      <c r="I262" s="738">
        <f t="shared" si="87"/>
        <v>0.65520070000000008</v>
      </c>
      <c r="J262" s="738">
        <f t="shared" si="87"/>
        <v>0.68300109999999981</v>
      </c>
      <c r="K262" s="738">
        <f t="shared" si="87"/>
        <v>9.9184999999999968E-3</v>
      </c>
      <c r="L262" s="738">
        <f t="shared" si="87"/>
        <v>0.83700189999999974</v>
      </c>
      <c r="M262" s="738">
        <f t="shared" si="88"/>
        <v>0.33080130000000002</v>
      </c>
      <c r="N262" s="738">
        <f t="shared" si="88"/>
        <v>0</v>
      </c>
      <c r="O262" s="738">
        <f t="shared" si="88"/>
        <v>0</v>
      </c>
      <c r="P262" s="738">
        <f t="shared" si="88"/>
        <v>1.7100009</v>
      </c>
      <c r="Q262" s="738">
        <f t="shared" si="88"/>
        <v>1.9696106746809021</v>
      </c>
      <c r="R262" s="738">
        <f t="shared" si="88"/>
        <v>0</v>
      </c>
      <c r="S262" s="738">
        <f t="shared" si="88"/>
        <v>1.118544892333867</v>
      </c>
      <c r="T262" s="738">
        <f t="shared" si="88"/>
        <v>13.885873355816507</v>
      </c>
      <c r="V262" s="613" t="s">
        <v>880</v>
      </c>
      <c r="W262" s="651">
        <f ca="1">AuxData!AD13</f>
        <v>2.4910000000000001</v>
      </c>
      <c r="X262" s="651">
        <f ca="1">AuxData!BJ35</f>
        <v>2.4911523481651936</v>
      </c>
      <c r="Y262" s="651">
        <f>S263*U$47</f>
        <v>2.6584691503017233</v>
      </c>
    </row>
    <row r="263" spans="2:37" hidden="1">
      <c r="B263" s="613" t="s">
        <v>880</v>
      </c>
      <c r="C263" s="738">
        <f t="shared" si="87"/>
        <v>6.7986879596656005</v>
      </c>
      <c r="D263" s="738">
        <f t="shared" si="87"/>
        <v>4.6800099999999997E-2</v>
      </c>
      <c r="E263" s="738">
        <f t="shared" si="87"/>
        <v>0.73300180000000004</v>
      </c>
      <c r="F263" s="738">
        <f t="shared" si="87"/>
        <v>0</v>
      </c>
      <c r="G263" s="738">
        <f t="shared" si="87"/>
        <v>2.4811E-2</v>
      </c>
      <c r="H263" s="738">
        <f t="shared" si="87"/>
        <v>0.234398</v>
      </c>
      <c r="I263" s="738">
        <f t="shared" si="87"/>
        <v>0</v>
      </c>
      <c r="J263" s="738">
        <f t="shared" si="87"/>
        <v>0</v>
      </c>
      <c r="K263" s="738">
        <f t="shared" si="87"/>
        <v>9.9184999999999985E-3</v>
      </c>
      <c r="L263" s="738">
        <f t="shared" si="87"/>
        <v>0.31900129999999999</v>
      </c>
      <c r="M263" s="738">
        <f t="shared" si="88"/>
        <v>0</v>
      </c>
      <c r="N263" s="738">
        <f t="shared" si="88"/>
        <v>0</v>
      </c>
      <c r="O263" s="738">
        <f t="shared" si="88"/>
        <v>0</v>
      </c>
      <c r="P263" s="738">
        <f t="shared" si="88"/>
        <v>0</v>
      </c>
      <c r="Q263" s="738">
        <f t="shared" si="88"/>
        <v>1.5931277664700233E-2</v>
      </c>
      <c r="R263" s="738">
        <f t="shared" si="88"/>
        <v>0</v>
      </c>
      <c r="S263" s="738">
        <f t="shared" si="88"/>
        <v>3.2619253377935258</v>
      </c>
      <c r="T263" s="738">
        <f t="shared" si="88"/>
        <v>11.444475275123827</v>
      </c>
      <c r="V263" s="613" t="s">
        <v>787</v>
      </c>
      <c r="W263" s="651">
        <f ca="1">AuxData!AD14</f>
        <v>11.805999999999999</v>
      </c>
      <c r="X263" s="651">
        <f ca="1">AuxData!BJ36</f>
        <v>11.807637301514822</v>
      </c>
      <c r="Y263" s="651">
        <f>S264*U$47</f>
        <v>11.807637301514822</v>
      </c>
    </row>
    <row r="264" spans="2:37" hidden="1">
      <c r="B264" s="613" t="s">
        <v>787</v>
      </c>
      <c r="C264" s="738">
        <f t="shared" si="87"/>
        <v>16.341565534315336</v>
      </c>
      <c r="D264" s="738">
        <f t="shared" si="87"/>
        <v>1.5939955229433123</v>
      </c>
      <c r="E264" s="738">
        <f t="shared" si="87"/>
        <v>6.3071769624043093</v>
      </c>
      <c r="F264" s="738">
        <f t="shared" si="87"/>
        <v>0</v>
      </c>
      <c r="G264" s="738">
        <f t="shared" si="87"/>
        <v>0</v>
      </c>
      <c r="H264" s="738">
        <f t="shared" si="87"/>
        <v>0</v>
      </c>
      <c r="I264" s="738">
        <f t="shared" si="87"/>
        <v>0</v>
      </c>
      <c r="J264" s="738">
        <f t="shared" si="87"/>
        <v>0</v>
      </c>
      <c r="K264" s="738">
        <f t="shared" si="87"/>
        <v>0</v>
      </c>
      <c r="L264" s="738">
        <f t="shared" si="87"/>
        <v>4.010491337286699</v>
      </c>
      <c r="M264" s="738">
        <f t="shared" si="88"/>
        <v>0.20999930000000003</v>
      </c>
      <c r="N264" s="738">
        <f t="shared" si="88"/>
        <v>4.7872188648052316E-2</v>
      </c>
      <c r="O264" s="738">
        <f t="shared" si="88"/>
        <v>3.3520203887176208</v>
      </c>
      <c r="P264" s="738">
        <f t="shared" si="88"/>
        <v>0</v>
      </c>
      <c r="Q264" s="738">
        <f t="shared" si="88"/>
        <v>0.79099960000000002</v>
      </c>
      <c r="R264" s="738">
        <f t="shared" si="88"/>
        <v>0</v>
      </c>
      <c r="S264" s="738">
        <f t="shared" si="88"/>
        <v>14.48789852946604</v>
      </c>
      <c r="T264" s="738">
        <f t="shared" si="88"/>
        <v>47.142019363781365</v>
      </c>
      <c r="V264" s="613" t="s">
        <v>978</v>
      </c>
      <c r="W264" s="651">
        <f ca="1">AuxData!AD15</f>
        <v>7.9969999999999999</v>
      </c>
      <c r="X264" s="651">
        <f ca="1">AuxData!BJ37</f>
        <v>8.0183836384926348</v>
      </c>
      <c r="Y264" s="651">
        <f>S265*U$47</f>
        <v>8.0183836384926348</v>
      </c>
    </row>
    <row r="265" spans="2:37" hidden="1">
      <c r="B265" s="613" t="s">
        <v>978</v>
      </c>
      <c r="C265" s="738">
        <f t="shared" si="87"/>
        <v>68.217276219702754</v>
      </c>
      <c r="D265" s="738">
        <f t="shared" si="87"/>
        <v>17.570998599999999</v>
      </c>
      <c r="E265" s="738">
        <f t="shared" si="87"/>
        <v>1.6550007999999998</v>
      </c>
      <c r="F265" s="738">
        <f t="shared" si="87"/>
        <v>0</v>
      </c>
      <c r="G265" s="738">
        <f t="shared" si="87"/>
        <v>1.9344153000000004</v>
      </c>
      <c r="H265" s="738">
        <f t="shared" si="87"/>
        <v>0</v>
      </c>
      <c r="I265" s="738">
        <f t="shared" si="87"/>
        <v>0</v>
      </c>
      <c r="J265" s="738">
        <f t="shared" si="87"/>
        <v>0</v>
      </c>
      <c r="K265" s="738">
        <f t="shared" si="87"/>
        <v>6.148400800000001</v>
      </c>
      <c r="L265" s="738">
        <f t="shared" si="87"/>
        <v>4.0790030999999995</v>
      </c>
      <c r="M265" s="738">
        <f t="shared" si="88"/>
        <v>0.4259985</v>
      </c>
      <c r="N265" s="738">
        <f t="shared" si="88"/>
        <v>0</v>
      </c>
      <c r="O265" s="738">
        <f t="shared" si="88"/>
        <v>0</v>
      </c>
      <c r="P265" s="738">
        <f t="shared" si="88"/>
        <v>0</v>
      </c>
      <c r="Q265" s="738">
        <f t="shared" si="88"/>
        <v>151.42578990000001</v>
      </c>
      <c r="R265" s="738">
        <f t="shared" si="88"/>
        <v>0</v>
      </c>
      <c r="S265" s="738">
        <f t="shared" si="88"/>
        <v>9.8385075318928035</v>
      </c>
      <c r="T265" s="738">
        <f t="shared" si="88"/>
        <v>261.29539075159556</v>
      </c>
      <c r="V265" s="613" t="s">
        <v>879</v>
      </c>
      <c r="W265" s="651">
        <f ca="1">AuxData!AD16</f>
        <v>0.83199999999999996</v>
      </c>
      <c r="X265" s="651">
        <f ca="1">AuxData!BJ38</f>
        <v>0.83202167057692289</v>
      </c>
      <c r="Y265" s="651">
        <f>S262*U$47</f>
        <v>0.91161408725210158</v>
      </c>
    </row>
    <row r="266" spans="2:37" hidden="1">
      <c r="V266" s="613" t="s">
        <v>722</v>
      </c>
      <c r="W266" s="651">
        <f ca="1">AuxData!AD17*0.5</f>
        <v>15.045771676876512</v>
      </c>
      <c r="X266" s="651">
        <f ca="1">AuxData!BJ39</f>
        <v>22.870319057719183</v>
      </c>
      <c r="Y266" s="651">
        <f>X266*S$95</f>
        <v>19.194905976143353</v>
      </c>
    </row>
    <row r="267" spans="2:37" hidden="1">
      <c r="B267" s="613" t="s">
        <v>568</v>
      </c>
      <c r="C267" s="763">
        <f ca="1">IF(VLOOKUP($B267,Calibrati2!$B$99:$T$103,C$4,FALSE)&lt;&gt;0,C261/VLOOKUP($B267,Calibrati2!$B$99:$T$103,C$4,FALSE),1)</f>
        <v>1</v>
      </c>
      <c r="D267" s="763">
        <f ca="1">IF(VLOOKUP($B267,Calibrati2!$B$99:$T$103,D$4,FALSE)&lt;&gt;0,D261/VLOOKUP($B267,Calibrati2!$B$99:$T$103,D$4,FALSE),1)</f>
        <v>1</v>
      </c>
      <c r="E267" s="763">
        <f ca="1">IF(VLOOKUP($B267,Calibrati2!$B$99:$T$103,E$4,FALSE)&lt;&gt;0,E261/VLOOKUP($B267,Calibrati2!$B$99:$T$103,E$4,FALSE),1)</f>
        <v>1</v>
      </c>
      <c r="F267" s="763">
        <f ca="1">IF(VLOOKUP($B267,Calibrati2!$B$99:$T$103,F$4,FALSE)&lt;&gt;0,F261/VLOOKUP($B267,Calibrati2!$B$99:$T$103,F$4,FALSE),1)</f>
        <v>1</v>
      </c>
      <c r="G267" s="763">
        <f ca="1">IF(VLOOKUP($B267,Calibrati2!$B$99:$T$103,G$4,FALSE)&lt;&gt;0,G261/VLOOKUP($B267,Calibrati2!$B$99:$T$103,G$4,FALSE),1)</f>
        <v>1</v>
      </c>
      <c r="H267" s="763">
        <f ca="1">IF(VLOOKUP($B267,Calibrati2!$B$99:$T$103,H$4,FALSE)&lt;&gt;0,H261/VLOOKUP($B267,Calibrati2!$B$99:$T$103,H$4,FALSE),1)</f>
        <v>0.99999999999999989</v>
      </c>
      <c r="I267" s="763">
        <f ca="1">IF(VLOOKUP($B267,Calibrati2!$B$99:$T$103,I$4,FALSE)&lt;&gt;0,I261/VLOOKUP($B267,Calibrati2!$B$99:$T$103,I$4,FALSE),1)</f>
        <v>1</v>
      </c>
      <c r="J267" s="763">
        <f ca="1">IF(VLOOKUP($B267,Calibrati2!$B$99:$T$103,J$4,FALSE)&lt;&gt;0,J261/VLOOKUP($B267,Calibrati2!$B$99:$T$103,J$4,FALSE),1)</f>
        <v>1</v>
      </c>
      <c r="K267" s="763">
        <f ca="1">IF(VLOOKUP($B267,Calibrati2!$B$99:$T$103,K$4,FALSE)&lt;&gt;0,K261/VLOOKUP($B267,Calibrati2!$B$99:$T$103,K$4,FALSE),1)</f>
        <v>1</v>
      </c>
      <c r="L267" s="763">
        <f ca="1">IF(VLOOKUP($B267,Calibrati2!$B$99:$T$103,L$4,FALSE)&lt;&gt;0,L261/VLOOKUP($B267,Calibrati2!$B$99:$T$103,L$4,FALSE),1)</f>
        <v>1.0000000000000002</v>
      </c>
      <c r="M267" s="763">
        <f ca="1">IF(VLOOKUP($B267,Calibrati2!$B$99:$T$103,M$4,FALSE)&lt;&gt;0,M261/VLOOKUP($B267,Calibrati2!$B$99:$T$103,M$4,FALSE),1)</f>
        <v>1</v>
      </c>
      <c r="N267" s="763">
        <f ca="1">IF(VLOOKUP($B267,Calibrati2!$B$99:$T$103,N$4,FALSE)&lt;&gt;0,N261/VLOOKUP($B267,Calibrati2!$B$99:$T$103,N$4,FALSE),1)</f>
        <v>1</v>
      </c>
      <c r="O267" s="763">
        <f ca="1">IF(VLOOKUP($B267,Calibrati2!$B$99:$T$103,O$4,FALSE)&lt;&gt;0,O261/VLOOKUP($B267,Calibrati2!$B$99:$T$103,O$4,FALSE),1)</f>
        <v>1</v>
      </c>
      <c r="P267" s="763">
        <f ca="1">IF(VLOOKUP($B267,Calibrati2!$B$99:$T$103,P$4,FALSE)&lt;&gt;0,P261/VLOOKUP($B267,Calibrati2!$B$99:$T$103,P$4,FALSE),1)</f>
        <v>1</v>
      </c>
      <c r="Q267" s="763">
        <f ca="1">IF(VLOOKUP($B267,Calibrati2!$B$99:$T$103,Q$4,FALSE)&lt;&gt;0,Q261/VLOOKUP($B267,Calibrati2!$B$99:$T$103,Q$4,FALSE),1)</f>
        <v>1.0000000000000002</v>
      </c>
      <c r="R267" s="763">
        <f ca="1">IF(VLOOKUP($B267,Calibrati2!$B$99:$T$103,R$4,FALSE)&lt;&gt;0,R261/VLOOKUP($B267,Calibrati2!$B$99:$T$103,R$4,FALSE),1)</f>
        <v>1</v>
      </c>
      <c r="S267" s="763">
        <f ca="1">IF(VLOOKUP($B267,Calibrati2!$B$99:$T$103,S$4,FALSE)&lt;&gt;0,S261/VLOOKUP($B267,Calibrati2!$B$99:$T$103,S$4,FALSE),1)</f>
        <v>1</v>
      </c>
      <c r="T267" s="763">
        <f ca="1">IF(VLOOKUP($B267,Calibrati2!$B$99:$T$103,T$4,FALSE)&lt;&gt;0,T261/VLOOKUP($B267,Calibrati2!$B$99:$T$103,T$4,FALSE),1)</f>
        <v>1</v>
      </c>
      <c r="V267" s="613" t="s">
        <v>722</v>
      </c>
      <c r="W267" s="651">
        <f ca="1">AuxData!AD17*0.5</f>
        <v>15.045771676876512</v>
      </c>
      <c r="X267" s="651">
        <f ca="1">W267</f>
        <v>15.045771676876512</v>
      </c>
      <c r="Y267" s="651">
        <f>X267*S$95</f>
        <v>12.627815639445089</v>
      </c>
    </row>
    <row r="268" spans="2:37" hidden="1">
      <c r="B268" s="613" t="s">
        <v>879</v>
      </c>
      <c r="C268" s="763">
        <f ca="1">IF(VLOOKUP($B268,Calibrati2!$B$99:$T$103,C$4,FALSE)&lt;&gt;0,C262/VLOOKUP($B268,Calibrati2!$B$99:$T$103,C$4,FALSE),1)</f>
        <v>1</v>
      </c>
      <c r="D268" s="763">
        <f ca="1">IF(VLOOKUP($B268,Calibrati2!$B$99:$T$103,D$4,FALSE)&lt;&gt;0,D262/VLOOKUP($B268,Calibrati2!$B$99:$T$103,D$4,FALSE),1)</f>
        <v>1</v>
      </c>
      <c r="E268" s="763">
        <f ca="1">IF(VLOOKUP($B268,Calibrati2!$B$99:$T$103,E$4,FALSE)&lt;&gt;0,E262/VLOOKUP($B268,Calibrati2!$B$99:$T$103,E$4,FALSE),1)</f>
        <v>1.0000000000000002</v>
      </c>
      <c r="F268" s="763">
        <f ca="1">IF(VLOOKUP($B268,Calibrati2!$B$99:$T$103,F$4,FALSE)&lt;&gt;0,F262/VLOOKUP($B268,Calibrati2!$B$99:$T$103,F$4,FALSE),1)</f>
        <v>1</v>
      </c>
      <c r="G268" s="763">
        <f ca="1">IF(VLOOKUP($B268,Calibrati2!$B$99:$T$103,G$4,FALSE)&lt;&gt;0,G262/VLOOKUP($B268,Calibrati2!$B$99:$T$103,G$4,FALSE),1)</f>
        <v>1.0000000000000002</v>
      </c>
      <c r="H268" s="763">
        <f ca="1">IF(VLOOKUP($B268,Calibrati2!$B$99:$T$103,H$4,FALSE)&lt;&gt;0,H262/VLOOKUP($B268,Calibrati2!$B$99:$T$103,H$4,FALSE),1)</f>
        <v>1</v>
      </c>
      <c r="I268" s="763">
        <f ca="1">IF(VLOOKUP($B268,Calibrati2!$B$99:$T$103,I$4,FALSE)&lt;&gt;0,I262/VLOOKUP($B268,Calibrati2!$B$99:$T$103,I$4,FALSE),1)</f>
        <v>1.0000000000000002</v>
      </c>
      <c r="J268" s="763">
        <f ca="1">IF(VLOOKUP($B268,Calibrati2!$B$99:$T$103,J$4,FALSE)&lt;&gt;0,J262/VLOOKUP($B268,Calibrati2!$B$99:$T$103,J$4,FALSE),1)</f>
        <v>0.99999999999999989</v>
      </c>
      <c r="K268" s="763">
        <f ca="1">IF(VLOOKUP($B268,Calibrati2!$B$99:$T$103,K$4,FALSE)&lt;&gt;0,K262/VLOOKUP($B268,Calibrati2!$B$99:$T$103,K$4,FALSE),1)</f>
        <v>0.99999999999999978</v>
      </c>
      <c r="L268" s="763">
        <f ca="1">IF(VLOOKUP($B268,Calibrati2!$B$99:$T$103,L$4,FALSE)&lt;&gt;0,L262/VLOOKUP($B268,Calibrati2!$B$99:$T$103,L$4,FALSE),1)</f>
        <v>0.99999999999999978</v>
      </c>
      <c r="M268" s="763">
        <f ca="1">IF(VLOOKUP($B268,Calibrati2!$B$99:$T$103,M$4,FALSE)&lt;&gt;0,M262/VLOOKUP($B268,Calibrati2!$B$99:$T$103,M$4,FALSE),1)</f>
        <v>1</v>
      </c>
      <c r="N268" s="763">
        <f ca="1">IF(VLOOKUP($B268,Calibrati2!$B$99:$T$103,N$4,FALSE)&lt;&gt;0,N262/VLOOKUP($B268,Calibrati2!$B$99:$T$103,N$4,FALSE),1)</f>
        <v>1</v>
      </c>
      <c r="O268" s="763">
        <f ca="1">IF(VLOOKUP($B268,Calibrati2!$B$99:$T$103,O$4,FALSE)&lt;&gt;0,O262/VLOOKUP($B268,Calibrati2!$B$99:$T$103,O$4,FALSE),1)</f>
        <v>1</v>
      </c>
      <c r="P268" s="763">
        <f ca="1">IF(VLOOKUP($B268,Calibrati2!$B$99:$T$103,P$4,FALSE)&lt;&gt;0,P262/VLOOKUP($B268,Calibrati2!$B$99:$T$103,P$4,FALSE),1)</f>
        <v>1.0000000000000002</v>
      </c>
      <c r="Q268" s="763">
        <f ca="1">IF(VLOOKUP($B268,Calibrati2!$B$99:$T$103,Q$4,FALSE)&lt;&gt;0,Q262/VLOOKUP($B268,Calibrati2!$B$99:$T$103,Q$4,FALSE),1)</f>
        <v>0.99999999999999989</v>
      </c>
      <c r="R268" s="763">
        <f ca="1">IF(VLOOKUP($B268,Calibrati2!$B$99:$T$103,R$4,FALSE)&lt;&gt;0,R262/VLOOKUP($B268,Calibrati2!$B$99:$T$103,R$4,FALSE),1)</f>
        <v>1</v>
      </c>
      <c r="S268" s="763">
        <f ca="1">IF(VLOOKUP($B268,Calibrati2!$B$99:$T$103,S$4,FALSE)&lt;&gt;0,S262/VLOOKUP($B268,Calibrati2!$B$99:$T$103,S$4,FALSE),1)</f>
        <v>1</v>
      </c>
      <c r="T268" s="763">
        <f ca="1">IF(VLOOKUP($B268,Calibrati2!$B$99:$T$103,T$4,FALSE)&lt;&gt;0,T262/VLOOKUP($B268,Calibrati2!$B$99:$T$103,T$4,FALSE),1)</f>
        <v>1</v>
      </c>
      <c r="V268" s="613" t="s">
        <v>151</v>
      </c>
      <c r="W268" s="651">
        <f ca="1">AuxData!R36</f>
        <v>0</v>
      </c>
      <c r="X268" s="651">
        <f ca="1">W268</f>
        <v>0</v>
      </c>
      <c r="Y268" s="651">
        <f>X268*S$94</f>
        <v>0</v>
      </c>
    </row>
    <row r="269" spans="2:37" hidden="1">
      <c r="B269" s="613" t="s">
        <v>880</v>
      </c>
      <c r="C269" s="763">
        <f ca="1">IF(VLOOKUP($B269,Calibrati2!$B$99:$T$103,C$4,FALSE)&lt;&gt;0,C263/VLOOKUP($B269,Calibrati2!$B$99:$T$103,C$4,FALSE),1)</f>
        <v>1</v>
      </c>
      <c r="D269" s="763">
        <f ca="1">IF(VLOOKUP($B269,Calibrati2!$B$99:$T$103,D$4,FALSE)&lt;&gt;0,D263/VLOOKUP($B269,Calibrati2!$B$99:$T$103,D$4,FALSE),1)</f>
        <v>0.99999999999999989</v>
      </c>
      <c r="E269" s="763">
        <f ca="1">IF(VLOOKUP($B269,Calibrati2!$B$99:$T$103,E$4,FALSE)&lt;&gt;0,E263/VLOOKUP($B269,Calibrati2!$B$99:$T$103,E$4,FALSE),1)</f>
        <v>1</v>
      </c>
      <c r="F269" s="763">
        <f ca="1">IF(VLOOKUP($B269,Calibrati2!$B$99:$T$103,F$4,FALSE)&lt;&gt;0,F263/VLOOKUP($B269,Calibrati2!$B$99:$T$103,F$4,FALSE),1)</f>
        <v>1</v>
      </c>
      <c r="G269" s="763">
        <f ca="1">IF(VLOOKUP($B269,Calibrati2!$B$99:$T$103,G$4,FALSE)&lt;&gt;0,G263/VLOOKUP($B269,Calibrati2!$B$99:$T$103,G$4,FALSE),1)</f>
        <v>1</v>
      </c>
      <c r="H269" s="763">
        <f ca="1">IF(VLOOKUP($B269,Calibrati2!$B$99:$T$103,H$4,FALSE)&lt;&gt;0,H263/VLOOKUP($B269,Calibrati2!$B$99:$T$103,H$4,FALSE),1)</f>
        <v>0.99999999999999989</v>
      </c>
      <c r="I269" s="763">
        <f ca="1">IF(VLOOKUP($B269,Calibrati2!$B$99:$T$103,I$4,FALSE)&lt;&gt;0,I263/VLOOKUP($B269,Calibrati2!$B$99:$T$103,I$4,FALSE),1)</f>
        <v>1</v>
      </c>
      <c r="J269" s="763">
        <f ca="1">IF(VLOOKUP($B269,Calibrati2!$B$99:$T$103,J$4,FALSE)&lt;&gt;0,J263/VLOOKUP($B269,Calibrati2!$B$99:$T$103,J$4,FALSE),1)</f>
        <v>1</v>
      </c>
      <c r="K269" s="763">
        <f ca="1">IF(VLOOKUP($B269,Calibrati2!$B$99:$T$103,K$4,FALSE)&lt;&gt;0,K263/VLOOKUP($B269,Calibrati2!$B$99:$T$103,K$4,FALSE),1)</f>
        <v>1</v>
      </c>
      <c r="L269" s="763">
        <f ca="1">IF(VLOOKUP($B269,Calibrati2!$B$99:$T$103,L$4,FALSE)&lt;&gt;0,L263/VLOOKUP($B269,Calibrati2!$B$99:$T$103,L$4,FALSE),1)</f>
        <v>0.99999999999999978</v>
      </c>
      <c r="M269" s="763">
        <f ca="1">IF(VLOOKUP($B269,Calibrati2!$B$99:$T$103,M$4,FALSE)&lt;&gt;0,M263/VLOOKUP($B269,Calibrati2!$B$99:$T$103,M$4,FALSE),1)</f>
        <v>1</v>
      </c>
      <c r="N269" s="763">
        <f ca="1">IF(VLOOKUP($B269,Calibrati2!$B$99:$T$103,N$4,FALSE)&lt;&gt;0,N263/VLOOKUP($B269,Calibrati2!$B$99:$T$103,N$4,FALSE),1)</f>
        <v>1</v>
      </c>
      <c r="O269" s="763">
        <f ca="1">IF(VLOOKUP($B269,Calibrati2!$B$99:$T$103,O$4,FALSE)&lt;&gt;0,O263/VLOOKUP($B269,Calibrati2!$B$99:$T$103,O$4,FALSE),1)</f>
        <v>1</v>
      </c>
      <c r="P269" s="763">
        <f ca="1">IF(VLOOKUP($B269,Calibrati2!$B$99:$T$103,P$4,FALSE)&lt;&gt;0,P263/VLOOKUP($B269,Calibrati2!$B$99:$T$103,P$4,FALSE),1)</f>
        <v>1</v>
      </c>
      <c r="Q269" s="763">
        <f ca="1">IF(VLOOKUP($B269,Calibrati2!$B$99:$T$103,Q$4,FALSE)&lt;&gt;0,Q263/VLOOKUP($B269,Calibrati2!$B$99:$T$103,Q$4,FALSE),1)</f>
        <v>1</v>
      </c>
      <c r="R269" s="763">
        <f ca="1">IF(VLOOKUP($B269,Calibrati2!$B$99:$T$103,R$4,FALSE)&lt;&gt;0,R263/VLOOKUP($B269,Calibrati2!$B$99:$T$103,R$4,FALSE),1)</f>
        <v>1</v>
      </c>
      <c r="S269" s="763">
        <f ca="1">IF(VLOOKUP($B269,Calibrati2!$B$99:$T$103,S$4,FALSE)&lt;&gt;0,S263/VLOOKUP($B269,Calibrati2!$B$99:$T$103,S$4,FALSE),1)</f>
        <v>1</v>
      </c>
      <c r="T269" s="763">
        <f ca="1">IF(VLOOKUP($B269,Calibrati2!$B$99:$T$103,T$4,FALSE)&lt;&gt;0,T263/VLOOKUP($B269,Calibrati2!$B$99:$T$103,T$4,FALSE),1)</f>
        <v>1</v>
      </c>
      <c r="V269" s="613" t="s">
        <v>1091</v>
      </c>
      <c r="W269" s="651">
        <f>SUM(W261:W266)</f>
        <v>39.669771676876508</v>
      </c>
      <c r="X269" s="651">
        <f>SUM(X261:X266)</f>
        <v>47.517623982452292</v>
      </c>
      <c r="Y269" s="651">
        <f>SUM(Y261:Y266)</f>
        <v>47.517619786159827</v>
      </c>
    </row>
    <row r="270" spans="2:37" hidden="1">
      <c r="B270" s="613" t="s">
        <v>787</v>
      </c>
      <c r="C270" s="763">
        <f ca="1">IF(VLOOKUP($B270,Calibrati2!$B$99:$T$103,C$4,FALSE)&lt;&gt;0,C264/VLOOKUP($B270,Calibrati2!$B$99:$T$103,C$4,FALSE),1)</f>
        <v>1.0000000000000002</v>
      </c>
      <c r="D270" s="763">
        <f ca="1">IF(VLOOKUP($B270,Calibrati2!$B$99:$T$103,D$4,FALSE)&lt;&gt;0,D264/VLOOKUP($B270,Calibrati2!$B$99:$T$103,D$4,FALSE),1)</f>
        <v>1</v>
      </c>
      <c r="E270" s="763">
        <f ca="1">IF(VLOOKUP($B270,Calibrati2!$B$99:$T$103,E$4,FALSE)&lt;&gt;0,E264/VLOOKUP($B270,Calibrati2!$B$99:$T$103,E$4,FALSE),1)</f>
        <v>1</v>
      </c>
      <c r="F270" s="763">
        <f ca="1">IF(VLOOKUP($B270,Calibrati2!$B$99:$T$103,F$4,FALSE)&lt;&gt;0,F264/VLOOKUP($B270,Calibrati2!$B$99:$T$103,F$4,FALSE),1)</f>
        <v>1</v>
      </c>
      <c r="G270" s="763">
        <f ca="1">IF(VLOOKUP($B270,Calibrati2!$B$99:$T$103,G$4,FALSE)&lt;&gt;0,G264/VLOOKUP($B270,Calibrati2!$B$99:$T$103,G$4,FALSE),1)</f>
        <v>1</v>
      </c>
      <c r="H270" s="763">
        <f ca="1">IF(VLOOKUP($B270,Calibrati2!$B$99:$T$103,H$4,FALSE)&lt;&gt;0,H264/VLOOKUP($B270,Calibrati2!$B$99:$T$103,H$4,FALSE),1)</f>
        <v>1</v>
      </c>
      <c r="I270" s="763">
        <f ca="1">IF(VLOOKUP($B270,Calibrati2!$B$99:$T$103,I$4,FALSE)&lt;&gt;0,I264/VLOOKUP($B270,Calibrati2!$B$99:$T$103,I$4,FALSE),1)</f>
        <v>1</v>
      </c>
      <c r="J270" s="763">
        <f ca="1">IF(VLOOKUP($B270,Calibrati2!$B$99:$T$103,J$4,FALSE)&lt;&gt;0,J264/VLOOKUP($B270,Calibrati2!$B$99:$T$103,J$4,FALSE),1)</f>
        <v>1</v>
      </c>
      <c r="K270" s="763">
        <f ca="1">IF(VLOOKUP($B270,Calibrati2!$B$99:$T$103,K$4,FALSE)&lt;&gt;0,K264/VLOOKUP($B270,Calibrati2!$B$99:$T$103,K$4,FALSE),1)</f>
        <v>1</v>
      </c>
      <c r="L270" s="763">
        <f ca="1">IF(VLOOKUP($B270,Calibrati2!$B$99:$T$103,L$4,FALSE)&lt;&gt;0,L264/VLOOKUP($B270,Calibrati2!$B$99:$T$103,L$4,FALSE),1)</f>
        <v>1</v>
      </c>
      <c r="M270" s="763">
        <f ca="1">IF(VLOOKUP($B270,Calibrati2!$B$99:$T$103,M$4,FALSE)&lt;&gt;0,M264/VLOOKUP($B270,Calibrati2!$B$99:$T$103,M$4,FALSE),1)</f>
        <v>1.0000000000000002</v>
      </c>
      <c r="N270" s="763">
        <f ca="1">IF(VLOOKUP($B270,Calibrati2!$B$99:$T$103,N$4,FALSE)&lt;&gt;0,N264/VLOOKUP($B270,Calibrati2!$B$99:$T$103,N$4,FALSE),1)</f>
        <v>1</v>
      </c>
      <c r="O270" s="763">
        <f ca="1">IF(VLOOKUP($B270,Calibrati2!$B$99:$T$103,O$4,FALSE)&lt;&gt;0,O264/VLOOKUP($B270,Calibrati2!$B$99:$T$103,O$4,FALSE),1)</f>
        <v>0.99999999999999989</v>
      </c>
      <c r="P270" s="763">
        <f ca="1">IF(VLOOKUP($B270,Calibrati2!$B$99:$T$103,P$4,FALSE)&lt;&gt;0,P264/VLOOKUP($B270,Calibrati2!$B$99:$T$103,P$4,FALSE),1)</f>
        <v>1</v>
      </c>
      <c r="Q270" s="763">
        <f ca="1">IF(VLOOKUP($B270,Calibrati2!$B$99:$T$103,Q$4,FALSE)&lt;&gt;0,Q264/VLOOKUP($B270,Calibrati2!$B$99:$T$103,Q$4,FALSE),1)</f>
        <v>1.0000000000000002</v>
      </c>
      <c r="R270" s="763">
        <f ca="1">IF(VLOOKUP($B270,Calibrati2!$B$99:$T$103,R$4,FALSE)&lt;&gt;0,R264/VLOOKUP($B270,Calibrati2!$B$99:$T$103,R$4,FALSE),1)</f>
        <v>1</v>
      </c>
      <c r="S270" s="763">
        <f ca="1">IF(VLOOKUP($B270,Calibrati2!$B$99:$T$103,S$4,FALSE)&lt;&gt;0,S264/VLOOKUP($B270,Calibrati2!$B$99:$T$103,S$4,FALSE),1)</f>
        <v>1</v>
      </c>
      <c r="T270" s="763">
        <f ca="1">IF(VLOOKUP($B270,Calibrati2!$B$99:$T$103,T$4,FALSE)&lt;&gt;0,T264/VLOOKUP($B270,Calibrati2!$B$99:$T$103,T$4,FALSE),1)</f>
        <v>0.99999999999999989</v>
      </c>
      <c r="V270" s="613" t="s">
        <v>1092</v>
      </c>
      <c r="W270" s="651">
        <f>SUM(W267:W268)</f>
        <v>15.045771676876512</v>
      </c>
      <c r="X270" s="651">
        <f>SUM(X267:X268)</f>
        <v>15.045771676876512</v>
      </c>
      <c r="Y270" s="651">
        <f>SUM(Y267:Y268)</f>
        <v>12.627815639445089</v>
      </c>
    </row>
    <row r="271" spans="2:37" hidden="1">
      <c r="B271" s="613" t="s">
        <v>978</v>
      </c>
      <c r="C271" s="763">
        <f ca="1">IF(VLOOKUP($B271,Calibrati2!$B$99:$T$103,C$4,FALSE)&lt;&gt;0,C265/VLOOKUP($B271,Calibrati2!$B$99:$T$103,C$4,FALSE),1)</f>
        <v>1</v>
      </c>
      <c r="D271" s="763">
        <f ca="1">IF(VLOOKUP($B271,Calibrati2!$B$99:$T$103,D$4,FALSE)&lt;&gt;0,D265/VLOOKUP($B271,Calibrati2!$B$99:$T$103,D$4,FALSE),1)</f>
        <v>1</v>
      </c>
      <c r="E271" s="763">
        <f ca="1">IF(VLOOKUP($B271,Calibrati2!$B$99:$T$103,E$4,FALSE)&lt;&gt;0,E265/VLOOKUP($B271,Calibrati2!$B$99:$T$103,E$4,FALSE),1)</f>
        <v>0.99999999999999989</v>
      </c>
      <c r="F271" s="763">
        <f ca="1">IF(VLOOKUP($B271,Calibrati2!$B$99:$T$103,F$4,FALSE)&lt;&gt;0,F265/VLOOKUP($B271,Calibrati2!$B$99:$T$103,F$4,FALSE),1)</f>
        <v>1</v>
      </c>
      <c r="G271" s="763">
        <f ca="1">IF(VLOOKUP($B271,Calibrati2!$B$99:$T$103,G$4,FALSE)&lt;&gt;0,G265/VLOOKUP($B271,Calibrati2!$B$99:$T$103,G$4,FALSE),1)</f>
        <v>1.0000000000000002</v>
      </c>
      <c r="H271" s="763">
        <f ca="1">IF(VLOOKUP($B271,Calibrati2!$B$99:$T$103,H$4,FALSE)&lt;&gt;0,H265/VLOOKUP($B271,Calibrati2!$B$99:$T$103,H$4,FALSE),1)</f>
        <v>1</v>
      </c>
      <c r="I271" s="763">
        <f ca="1">IF(VLOOKUP($B271,Calibrati2!$B$99:$T$103,I$4,FALSE)&lt;&gt;0,I265/VLOOKUP($B271,Calibrati2!$B$99:$T$103,I$4,FALSE),1)</f>
        <v>1</v>
      </c>
      <c r="J271" s="763">
        <f ca="1">IF(VLOOKUP($B271,Calibrati2!$B$99:$T$103,J$4,FALSE)&lt;&gt;0,J265/VLOOKUP($B271,Calibrati2!$B$99:$T$103,J$4,FALSE),1)</f>
        <v>1</v>
      </c>
      <c r="K271" s="763">
        <f ca="1">IF(VLOOKUP($B271,Calibrati2!$B$99:$T$103,K$4,FALSE)&lt;&gt;0,K265/VLOOKUP($B271,Calibrati2!$B$99:$T$103,K$4,FALSE),1)</f>
        <v>1</v>
      </c>
      <c r="L271" s="763">
        <f ca="1">IF(VLOOKUP($B271,Calibrati2!$B$99:$T$103,L$4,FALSE)&lt;&gt;0,L265/VLOOKUP($B271,Calibrati2!$B$99:$T$103,L$4,FALSE),1)</f>
        <v>1</v>
      </c>
      <c r="M271" s="763">
        <f ca="1">IF(VLOOKUP($B271,Calibrati2!$B$99:$T$103,M$4,FALSE)&lt;&gt;0,M265/VLOOKUP($B271,Calibrati2!$B$99:$T$103,M$4,FALSE),1)</f>
        <v>1</v>
      </c>
      <c r="N271" s="763">
        <f ca="1">IF(VLOOKUP($B271,Calibrati2!$B$99:$T$103,N$4,FALSE)&lt;&gt;0,N265/VLOOKUP($B271,Calibrati2!$B$99:$T$103,N$4,FALSE),1)</f>
        <v>1</v>
      </c>
      <c r="O271" s="763">
        <f ca="1">IF(VLOOKUP($B271,Calibrati2!$B$99:$T$103,O$4,FALSE)&lt;&gt;0,O265/VLOOKUP($B271,Calibrati2!$B$99:$T$103,O$4,FALSE),1)</f>
        <v>1</v>
      </c>
      <c r="P271" s="763">
        <f ca="1">IF(VLOOKUP($B271,Calibrati2!$B$99:$T$103,P$4,FALSE)&lt;&gt;0,P265/VLOOKUP($B271,Calibrati2!$B$99:$T$103,P$4,FALSE),1)</f>
        <v>1</v>
      </c>
      <c r="Q271" s="763">
        <f ca="1">IF(VLOOKUP($B271,Calibrati2!$B$99:$T$103,Q$4,FALSE)&lt;&gt;0,Q265/VLOOKUP($B271,Calibrati2!$B$99:$T$103,Q$4,FALSE),1)</f>
        <v>1</v>
      </c>
      <c r="R271" s="763">
        <f ca="1">IF(VLOOKUP($B271,Calibrati2!$B$99:$T$103,R$4,FALSE)&lt;&gt;0,R265/VLOOKUP($B271,Calibrati2!$B$99:$T$103,R$4,FALSE),1)</f>
        <v>1</v>
      </c>
      <c r="S271" s="763">
        <f ca="1">IF(VLOOKUP($B271,Calibrati2!$B$99:$T$103,S$4,FALSE)&lt;&gt;0,S265/VLOOKUP($B271,Calibrati2!$B$99:$T$103,S$4,FALSE),1)</f>
        <v>1</v>
      </c>
      <c r="T271" s="763">
        <f ca="1">IF(VLOOKUP($B271,Calibrati2!$B$99:$T$103,T$4,FALSE)&lt;&gt;0,T265/VLOOKUP($B271,Calibrati2!$B$99:$T$103,T$4,FALSE),1)</f>
        <v>1</v>
      </c>
      <c r="V271" s="613" t="s">
        <v>796</v>
      </c>
      <c r="W271" s="651">
        <f>SUM(W261:W267)</f>
        <v>54.71554335375302</v>
      </c>
      <c r="X271" s="651">
        <f>SUM(X261:X267)</f>
        <v>62.563395659328805</v>
      </c>
      <c r="Y271" s="651">
        <f>SUM(Y261:Y267)</f>
        <v>60.145435425604916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I171"/>
  <sheetViews>
    <sheetView tabSelected="1" topLeftCell="A42" zoomScale="8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0" customWidth="1"/>
    <col min="3" max="3" width="11.85546875" customWidth="1"/>
    <col min="4" max="4" width="36.28515625" customWidth="1"/>
  </cols>
  <sheetData>
    <row r="2" spans="2:9">
      <c r="B2" s="216" t="s">
        <v>770</v>
      </c>
    </row>
    <row r="3" spans="2:9">
      <c r="B3" s="551" t="s">
        <v>771</v>
      </c>
      <c r="C3" s="551" t="s">
        <v>772</v>
      </c>
      <c r="D3" s="551" t="s">
        <v>773</v>
      </c>
      <c r="E3" s="551" t="s">
        <v>774</v>
      </c>
      <c r="F3" s="552" t="s">
        <v>723</v>
      </c>
      <c r="G3" s="552" t="s">
        <v>565</v>
      </c>
      <c r="H3" s="552" t="s">
        <v>566</v>
      </c>
      <c r="I3" s="552" t="s">
        <v>823</v>
      </c>
    </row>
    <row r="4" spans="2:9">
      <c r="B4" s="475" t="s">
        <v>1372</v>
      </c>
      <c r="C4" s="476" t="s">
        <v>177</v>
      </c>
      <c r="D4" s="476" t="s">
        <v>176</v>
      </c>
      <c r="E4" s="476" t="s">
        <v>783</v>
      </c>
      <c r="F4" s="476"/>
      <c r="G4" s="476"/>
      <c r="H4" s="476"/>
      <c r="I4" s="476"/>
    </row>
    <row r="5" spans="2:9">
      <c r="B5" s="475" t="s">
        <v>1372</v>
      </c>
      <c r="C5" s="476" t="s">
        <v>787</v>
      </c>
      <c r="D5" s="476" t="s">
        <v>786</v>
      </c>
      <c r="E5" s="476" t="s">
        <v>783</v>
      </c>
      <c r="F5" s="476"/>
      <c r="G5" s="476"/>
      <c r="H5" s="476"/>
      <c r="I5" s="476"/>
    </row>
    <row r="6" spans="2:9">
      <c r="B6" s="475" t="s">
        <v>1372</v>
      </c>
      <c r="C6" s="476" t="s">
        <v>568</v>
      </c>
      <c r="D6" s="476" t="s">
        <v>559</v>
      </c>
      <c r="E6" s="476" t="s">
        <v>976</v>
      </c>
      <c r="F6" s="476"/>
      <c r="G6" s="476"/>
      <c r="H6" s="476"/>
      <c r="I6" s="476"/>
    </row>
    <row r="7" spans="2:9">
      <c r="B7" s="475" t="s">
        <v>1372</v>
      </c>
      <c r="C7" s="476" t="s">
        <v>978</v>
      </c>
      <c r="D7" s="476" t="s">
        <v>887</v>
      </c>
      <c r="E7" s="476" t="s">
        <v>976</v>
      </c>
      <c r="F7" s="476"/>
      <c r="G7" s="476"/>
      <c r="H7" s="476"/>
      <c r="I7" s="476"/>
    </row>
    <row r="8" spans="2:9">
      <c r="B8" s="475" t="s">
        <v>1372</v>
      </c>
      <c r="C8" s="476" t="s">
        <v>880</v>
      </c>
      <c r="D8" s="476" t="s">
        <v>886</v>
      </c>
      <c r="E8" s="476" t="s">
        <v>976</v>
      </c>
      <c r="F8" s="476"/>
      <c r="G8" s="476"/>
      <c r="H8" s="476"/>
      <c r="I8" s="476"/>
    </row>
    <row r="9" spans="2:9">
      <c r="B9" s="475" t="s">
        <v>1372</v>
      </c>
      <c r="C9" s="476" t="s">
        <v>879</v>
      </c>
      <c r="D9" s="476" t="s">
        <v>77</v>
      </c>
      <c r="E9" s="476" t="s">
        <v>783</v>
      </c>
      <c r="F9" s="476"/>
      <c r="G9" s="476"/>
      <c r="H9" s="476"/>
      <c r="I9" s="476"/>
    </row>
    <row r="10" spans="2:9">
      <c r="B10" s="475" t="s">
        <v>1372</v>
      </c>
      <c r="C10" s="476" t="s">
        <v>722</v>
      </c>
      <c r="D10" s="476" t="s">
        <v>790</v>
      </c>
      <c r="E10" s="476" t="s">
        <v>783</v>
      </c>
      <c r="F10" s="476"/>
      <c r="G10" s="476"/>
      <c r="H10" s="476"/>
      <c r="I10" s="476"/>
    </row>
    <row r="11" spans="2:9">
      <c r="B11" s="475" t="s">
        <v>1372</v>
      </c>
      <c r="C11" s="476" t="s">
        <v>1112</v>
      </c>
      <c r="D11" s="476" t="s">
        <v>1123</v>
      </c>
      <c r="E11" s="476" t="s">
        <v>783</v>
      </c>
      <c r="F11" s="476"/>
      <c r="G11" s="476"/>
      <c r="H11" s="476"/>
      <c r="I11" s="476"/>
    </row>
    <row r="12" spans="2:9">
      <c r="B12" s="475" t="s">
        <v>1372</v>
      </c>
      <c r="C12" s="476" t="s">
        <v>1113</v>
      </c>
      <c r="D12" s="476" t="s">
        <v>1122</v>
      </c>
      <c r="E12" s="476" t="s">
        <v>783</v>
      </c>
      <c r="F12" s="476"/>
      <c r="G12" s="476"/>
      <c r="H12" s="476"/>
      <c r="I12" s="476"/>
    </row>
    <row r="13" spans="2:9">
      <c r="B13" s="475" t="s">
        <v>1372</v>
      </c>
      <c r="C13" s="476" t="s">
        <v>1114</v>
      </c>
      <c r="D13" s="476" t="s">
        <v>1121</v>
      </c>
      <c r="E13" s="476" t="s">
        <v>783</v>
      </c>
      <c r="F13" s="476"/>
      <c r="G13" s="476"/>
      <c r="H13" s="476"/>
      <c r="I13" s="476"/>
    </row>
    <row r="14" spans="2:9">
      <c r="B14" s="475" t="s">
        <v>1372</v>
      </c>
      <c r="C14" s="476" t="s">
        <v>1115</v>
      </c>
      <c r="D14" s="476" t="s">
        <v>1120</v>
      </c>
      <c r="E14" s="476" t="s">
        <v>783</v>
      </c>
      <c r="F14" s="476"/>
      <c r="G14" s="476"/>
      <c r="H14" s="476"/>
      <c r="I14" s="476"/>
    </row>
    <row r="15" spans="2:9">
      <c r="B15" s="475" t="s">
        <v>1372</v>
      </c>
      <c r="C15" s="476" t="s">
        <v>1116</v>
      </c>
      <c r="D15" s="476" t="s">
        <v>1119</v>
      </c>
      <c r="E15" s="476" t="s">
        <v>783</v>
      </c>
      <c r="F15" s="476"/>
      <c r="G15" s="476"/>
      <c r="H15" s="476"/>
      <c r="I15" s="476"/>
    </row>
    <row r="16" spans="2:9">
      <c r="B16" s="475" t="s">
        <v>1372</v>
      </c>
      <c r="C16" s="476" t="s">
        <v>1117</v>
      </c>
      <c r="D16" s="476" t="s">
        <v>1118</v>
      </c>
      <c r="E16" s="476" t="s">
        <v>783</v>
      </c>
      <c r="F16" s="476"/>
      <c r="G16" s="476"/>
      <c r="H16" s="476"/>
      <c r="I16" s="476"/>
    </row>
    <row r="17" spans="2:9">
      <c r="B17" s="475" t="s">
        <v>1372</v>
      </c>
      <c r="C17" s="476" t="s">
        <v>21</v>
      </c>
      <c r="D17" s="476" t="s">
        <v>24</v>
      </c>
      <c r="E17" s="476" t="s">
        <v>783</v>
      </c>
      <c r="F17" s="476"/>
      <c r="G17" s="476"/>
      <c r="H17" s="476"/>
      <c r="I17" s="476"/>
    </row>
    <row r="18" spans="2:9">
      <c r="B18" s="475" t="s">
        <v>1372</v>
      </c>
      <c r="C18" s="476" t="s">
        <v>151</v>
      </c>
      <c r="D18" s="476" t="s">
        <v>150</v>
      </c>
      <c r="E18" s="476" t="s">
        <v>783</v>
      </c>
      <c r="F18" s="476"/>
      <c r="G18" s="476"/>
      <c r="H18" s="476"/>
      <c r="I18" s="476"/>
    </row>
    <row r="19" spans="2:9">
      <c r="B19" s="278" t="s">
        <v>5</v>
      </c>
      <c r="C19" s="9" t="s">
        <v>905</v>
      </c>
      <c r="D19" s="9" t="s">
        <v>701</v>
      </c>
      <c r="E19" s="9" t="s">
        <v>783</v>
      </c>
      <c r="F19" s="9"/>
      <c r="G19" s="105" t="s">
        <v>567</v>
      </c>
      <c r="H19" s="105"/>
      <c r="I19" s="105" t="s">
        <v>557</v>
      </c>
    </row>
    <row r="20" spans="2:9">
      <c r="B20" s="278" t="s">
        <v>5</v>
      </c>
      <c r="C20" s="9" t="s">
        <v>1245</v>
      </c>
      <c r="D20" s="9" t="s">
        <v>1250</v>
      </c>
      <c r="E20" s="9" t="s">
        <v>783</v>
      </c>
      <c r="F20" s="9"/>
      <c r="G20" s="105" t="s">
        <v>896</v>
      </c>
      <c r="H20" s="105"/>
      <c r="I20" s="105" t="s">
        <v>557</v>
      </c>
    </row>
    <row r="21" spans="2:9">
      <c r="B21" s="278" t="s">
        <v>5</v>
      </c>
      <c r="C21" s="9" t="s">
        <v>1246</v>
      </c>
      <c r="D21" s="9" t="s">
        <v>1254</v>
      </c>
      <c r="E21" s="9" t="s">
        <v>783</v>
      </c>
      <c r="F21" s="9"/>
      <c r="G21" s="105" t="s">
        <v>896</v>
      </c>
      <c r="H21" s="105"/>
      <c r="I21" s="105" t="s">
        <v>557</v>
      </c>
    </row>
    <row r="22" spans="2:9">
      <c r="B22" s="278" t="s">
        <v>5</v>
      </c>
      <c r="C22" s="9" t="s">
        <v>1248</v>
      </c>
      <c r="D22" s="9" t="s">
        <v>1253</v>
      </c>
      <c r="E22" s="9" t="s">
        <v>783</v>
      </c>
      <c r="F22" s="9"/>
      <c r="G22" s="105" t="s">
        <v>896</v>
      </c>
      <c r="H22" s="105"/>
      <c r="I22" s="105" t="s">
        <v>557</v>
      </c>
    </row>
    <row r="23" spans="2:9">
      <c r="B23" s="278" t="s">
        <v>5</v>
      </c>
      <c r="C23" s="9" t="s">
        <v>1247</v>
      </c>
      <c r="D23" s="9" t="s">
        <v>1252</v>
      </c>
      <c r="E23" s="9" t="s">
        <v>783</v>
      </c>
      <c r="F23" s="9"/>
      <c r="G23" s="105" t="s">
        <v>896</v>
      </c>
      <c r="H23" s="105"/>
      <c r="I23" s="105" t="s">
        <v>557</v>
      </c>
    </row>
    <row r="24" spans="2:9">
      <c r="B24" s="278" t="s">
        <v>5</v>
      </c>
      <c r="C24" s="9" t="s">
        <v>1249</v>
      </c>
      <c r="D24" s="9" t="s">
        <v>1251</v>
      </c>
      <c r="E24" s="9" t="s">
        <v>783</v>
      </c>
      <c r="F24" s="9"/>
      <c r="G24" s="105" t="s">
        <v>896</v>
      </c>
      <c r="H24" s="105"/>
      <c r="I24" s="105" t="s">
        <v>557</v>
      </c>
    </row>
    <row r="25" spans="2:9">
      <c r="B25" s="278" t="s">
        <v>5</v>
      </c>
      <c r="C25" s="9" t="s">
        <v>1349</v>
      </c>
      <c r="D25" s="9" t="s">
        <v>1350</v>
      </c>
      <c r="E25" s="9" t="s">
        <v>783</v>
      </c>
      <c r="F25" s="9"/>
      <c r="G25" s="105" t="s">
        <v>896</v>
      </c>
      <c r="H25" s="105"/>
      <c r="I25" s="105" t="s">
        <v>557</v>
      </c>
    </row>
    <row r="26" spans="2:9">
      <c r="B26" s="278" t="s">
        <v>5</v>
      </c>
      <c r="C26" s="9" t="s">
        <v>1351</v>
      </c>
      <c r="D26" s="9" t="s">
        <v>1352</v>
      </c>
      <c r="E26" s="9" t="s">
        <v>783</v>
      </c>
      <c r="F26" s="9"/>
      <c r="G26" s="105" t="s">
        <v>896</v>
      </c>
      <c r="H26" s="105"/>
      <c r="I26" s="105" t="s">
        <v>557</v>
      </c>
    </row>
    <row r="27" spans="2:9">
      <c r="B27" s="278" t="s">
        <v>5</v>
      </c>
      <c r="C27" s="9" t="s">
        <v>912</v>
      </c>
      <c r="D27" s="9" t="s">
        <v>124</v>
      </c>
      <c r="E27" s="9" t="s">
        <v>783</v>
      </c>
      <c r="F27" s="9"/>
      <c r="G27" s="9"/>
      <c r="H27" s="9"/>
      <c r="I27" s="9"/>
    </row>
    <row r="28" spans="2:9">
      <c r="B28" s="278" t="s">
        <v>5</v>
      </c>
      <c r="C28" s="9" t="s">
        <v>911</v>
      </c>
      <c r="D28" s="9" t="s">
        <v>122</v>
      </c>
      <c r="E28" s="9" t="s">
        <v>783</v>
      </c>
      <c r="F28" s="9"/>
      <c r="G28" s="9"/>
      <c r="H28" s="9"/>
      <c r="I28" s="9"/>
    </row>
    <row r="29" spans="2:9">
      <c r="B29" s="278" t="s">
        <v>5</v>
      </c>
      <c r="C29" s="9" t="s">
        <v>36</v>
      </c>
      <c r="D29" s="9" t="s">
        <v>41</v>
      </c>
      <c r="E29" s="9" t="s">
        <v>783</v>
      </c>
      <c r="F29" s="9"/>
      <c r="G29" s="9"/>
      <c r="H29" s="9"/>
      <c r="I29" s="9"/>
    </row>
    <row r="30" spans="2:9">
      <c r="B30" s="278" t="s">
        <v>5</v>
      </c>
      <c r="C30" s="9" t="s">
        <v>906</v>
      </c>
      <c r="D30" s="9" t="s">
        <v>99</v>
      </c>
      <c r="E30" s="9" t="s">
        <v>783</v>
      </c>
      <c r="F30" s="9"/>
      <c r="G30" s="9"/>
      <c r="H30" s="9"/>
      <c r="I30" s="9"/>
    </row>
    <row r="31" spans="2:9">
      <c r="B31" s="278" t="s">
        <v>5</v>
      </c>
      <c r="C31" s="9" t="s">
        <v>35</v>
      </c>
      <c r="D31" s="9" t="s">
        <v>40</v>
      </c>
      <c r="E31" s="9" t="s">
        <v>783</v>
      </c>
      <c r="F31" s="9"/>
      <c r="G31" s="9"/>
      <c r="H31" s="9"/>
      <c r="I31" s="9"/>
    </row>
    <row r="32" spans="2:9">
      <c r="B32" s="278" t="s">
        <v>5</v>
      </c>
      <c r="C32" s="9" t="s">
        <v>1150</v>
      </c>
      <c r="D32" s="9" t="s">
        <v>1472</v>
      </c>
      <c r="E32" s="9" t="s">
        <v>783</v>
      </c>
      <c r="F32" s="9"/>
      <c r="G32" s="9"/>
      <c r="H32" s="9"/>
      <c r="I32" s="9"/>
    </row>
    <row r="33" spans="2:9">
      <c r="B33" s="278" t="s">
        <v>5</v>
      </c>
      <c r="C33" s="9" t="s">
        <v>37</v>
      </c>
      <c r="D33" s="9" t="s">
        <v>42</v>
      </c>
      <c r="E33" s="9" t="s">
        <v>783</v>
      </c>
      <c r="F33" s="9"/>
      <c r="G33" s="9"/>
      <c r="H33" s="9"/>
      <c r="I33" s="9"/>
    </row>
    <row r="34" spans="2:9">
      <c r="B34" s="278" t="s">
        <v>5</v>
      </c>
      <c r="C34" s="9" t="s">
        <v>38</v>
      </c>
      <c r="D34" s="9" t="s">
        <v>43</v>
      </c>
      <c r="E34" s="9" t="s">
        <v>783</v>
      </c>
      <c r="F34" s="9"/>
      <c r="G34" s="9"/>
      <c r="H34" s="9"/>
      <c r="I34" s="9"/>
    </row>
    <row r="35" spans="2:9">
      <c r="B35" s="278" t="s">
        <v>5</v>
      </c>
      <c r="C35" s="9" t="s">
        <v>1365</v>
      </c>
      <c r="D35" s="9" t="s">
        <v>1371</v>
      </c>
      <c r="E35" s="9" t="s">
        <v>783</v>
      </c>
      <c r="F35" s="9"/>
      <c r="G35" s="9"/>
      <c r="H35" s="9"/>
      <c r="I35" s="9"/>
    </row>
    <row r="36" spans="2:9">
      <c r="B36" s="278" t="s">
        <v>5</v>
      </c>
      <c r="C36" s="9" t="s">
        <v>914</v>
      </c>
      <c r="D36" s="9" t="s">
        <v>665</v>
      </c>
      <c r="E36" s="9" t="s">
        <v>783</v>
      </c>
      <c r="F36" s="9"/>
      <c r="G36" s="9"/>
      <c r="H36" s="9"/>
      <c r="I36" s="9"/>
    </row>
    <row r="37" spans="2:9">
      <c r="B37" s="278" t="s">
        <v>5</v>
      </c>
      <c r="C37" s="9" t="s">
        <v>913</v>
      </c>
      <c r="D37" s="9" t="s">
        <v>141</v>
      </c>
      <c r="E37" s="9" t="s">
        <v>783</v>
      </c>
      <c r="F37" s="9"/>
      <c r="G37" s="9"/>
      <c r="H37" s="9"/>
      <c r="I37" s="9"/>
    </row>
    <row r="38" spans="2:9">
      <c r="B38" s="278" t="s">
        <v>5</v>
      </c>
      <c r="C38" s="9" t="s">
        <v>907</v>
      </c>
      <c r="D38" s="9" t="s">
        <v>101</v>
      </c>
      <c r="E38" s="9" t="s">
        <v>783</v>
      </c>
      <c r="F38" s="9"/>
      <c r="G38" s="9"/>
      <c r="H38" s="9"/>
      <c r="I38" s="9"/>
    </row>
    <row r="39" spans="2:9">
      <c r="B39" s="278" t="s">
        <v>5</v>
      </c>
      <c r="C39" s="9" t="s">
        <v>915</v>
      </c>
      <c r="D39" s="9" t="s">
        <v>667</v>
      </c>
      <c r="E39" s="9" t="s">
        <v>783</v>
      </c>
      <c r="F39" s="9"/>
      <c r="G39" s="9"/>
      <c r="H39" s="9"/>
      <c r="I39" s="9"/>
    </row>
    <row r="40" spans="2:9">
      <c r="B40" s="278" t="s">
        <v>5</v>
      </c>
      <c r="C40" s="9" t="s">
        <v>908</v>
      </c>
      <c r="D40" s="9" t="s">
        <v>103</v>
      </c>
      <c r="E40" s="9" t="s">
        <v>783</v>
      </c>
      <c r="F40" s="9"/>
      <c r="G40" s="9"/>
      <c r="H40" s="9"/>
      <c r="I40" s="9"/>
    </row>
    <row r="41" spans="2:9">
      <c r="B41" s="278" t="s">
        <v>5</v>
      </c>
      <c r="C41" s="9" t="s">
        <v>826</v>
      </c>
      <c r="D41" s="9" t="s">
        <v>143</v>
      </c>
      <c r="E41" s="9" t="s">
        <v>783</v>
      </c>
      <c r="F41" s="9"/>
      <c r="G41" s="9"/>
      <c r="H41" s="9"/>
      <c r="I41" s="9"/>
    </row>
    <row r="42" spans="2:9">
      <c r="B42" s="278" t="s">
        <v>5</v>
      </c>
      <c r="C42" s="9" t="s">
        <v>916</v>
      </c>
      <c r="D42" s="9" t="s">
        <v>669</v>
      </c>
      <c r="E42" s="9" t="s">
        <v>783</v>
      </c>
      <c r="F42" s="9"/>
      <c r="G42" s="9"/>
      <c r="H42" s="9"/>
      <c r="I42" s="9"/>
    </row>
    <row r="43" spans="2:9">
      <c r="B43" s="278" t="s">
        <v>5</v>
      </c>
      <c r="C43" s="9" t="s">
        <v>909</v>
      </c>
      <c r="D43" s="9" t="s">
        <v>105</v>
      </c>
      <c r="E43" s="9" t="s">
        <v>783</v>
      </c>
      <c r="F43" s="9"/>
      <c r="G43" s="9"/>
      <c r="H43" s="9"/>
      <c r="I43" s="9"/>
    </row>
    <row r="44" spans="2:9">
      <c r="B44" s="278" t="s">
        <v>5</v>
      </c>
      <c r="C44" s="9" t="s">
        <v>910</v>
      </c>
      <c r="D44" s="9" t="s">
        <v>120</v>
      </c>
      <c r="E44" s="9" t="s">
        <v>783</v>
      </c>
      <c r="F44" s="9"/>
      <c r="G44" s="9"/>
      <c r="H44" s="9"/>
      <c r="I44" s="9"/>
    </row>
    <row r="45" spans="2:9">
      <c r="B45" s="278" t="s">
        <v>5</v>
      </c>
      <c r="C45" s="9" t="s">
        <v>1502</v>
      </c>
      <c r="D45" s="9" t="s">
        <v>1505</v>
      </c>
      <c r="E45" s="9" t="s">
        <v>783</v>
      </c>
      <c r="F45" s="9"/>
      <c r="G45" s="9"/>
      <c r="H45" s="9"/>
      <c r="I45" s="9"/>
    </row>
    <row r="46" spans="2:9">
      <c r="B46" s="278" t="s">
        <v>5</v>
      </c>
      <c r="C46" s="9" t="s">
        <v>1511</v>
      </c>
      <c r="D46" s="9" t="s">
        <v>1512</v>
      </c>
      <c r="E46" s="9" t="s">
        <v>783</v>
      </c>
      <c r="F46" s="304" t="s">
        <v>1236</v>
      </c>
      <c r="G46" s="9"/>
      <c r="H46" s="9"/>
      <c r="I46" s="9"/>
    </row>
    <row r="47" spans="2:9">
      <c r="B47" s="278" t="s">
        <v>5</v>
      </c>
      <c r="C47" s="9" t="s">
        <v>1513</v>
      </c>
      <c r="D47" s="9" t="s">
        <v>1514</v>
      </c>
      <c r="E47" s="9" t="s">
        <v>783</v>
      </c>
      <c r="F47" s="304" t="s">
        <v>1236</v>
      </c>
      <c r="G47" s="9"/>
      <c r="H47" s="9"/>
      <c r="I47" s="9"/>
    </row>
    <row r="48" spans="2:9">
      <c r="B48" s="278" t="s">
        <v>5</v>
      </c>
      <c r="C48" s="9" t="s">
        <v>84</v>
      </c>
      <c r="D48" s="9" t="s">
        <v>1460</v>
      </c>
      <c r="E48" s="9" t="s">
        <v>783</v>
      </c>
      <c r="F48" s="9"/>
      <c r="G48" s="9"/>
      <c r="H48" s="9"/>
      <c r="I48" s="9"/>
    </row>
    <row r="49" spans="2:9">
      <c r="B49" s="278" t="s">
        <v>5</v>
      </c>
      <c r="C49" s="9" t="s">
        <v>646</v>
      </c>
      <c r="D49" s="9" t="s">
        <v>1465</v>
      </c>
      <c r="E49" s="9" t="s">
        <v>783</v>
      </c>
      <c r="F49" s="9"/>
      <c r="G49" s="9"/>
      <c r="H49" s="9"/>
      <c r="I49" s="9"/>
    </row>
    <row r="50" spans="2:9">
      <c r="B50" s="278" t="s">
        <v>5</v>
      </c>
      <c r="C50" s="9" t="s">
        <v>982</v>
      </c>
      <c r="D50" s="9" t="s">
        <v>1464</v>
      </c>
      <c r="E50" s="9" t="s">
        <v>783</v>
      </c>
      <c r="F50" s="304" t="s">
        <v>440</v>
      </c>
      <c r="G50" s="9"/>
      <c r="H50" s="9"/>
      <c r="I50" s="9"/>
    </row>
    <row r="51" spans="2:9">
      <c r="B51" s="278" t="s">
        <v>5</v>
      </c>
      <c r="C51" s="9" t="s">
        <v>864</v>
      </c>
      <c r="D51" s="9" t="s">
        <v>1463</v>
      </c>
      <c r="E51" s="9" t="s">
        <v>783</v>
      </c>
      <c r="F51" s="9"/>
      <c r="G51" s="9"/>
      <c r="H51" s="9"/>
      <c r="I51" s="9"/>
    </row>
    <row r="52" spans="2:9">
      <c r="B52" s="278" t="s">
        <v>5</v>
      </c>
      <c r="C52" s="9" t="s">
        <v>654</v>
      </c>
      <c r="D52" s="9" t="s">
        <v>1462</v>
      </c>
      <c r="E52" s="9" t="s">
        <v>783</v>
      </c>
      <c r="F52" s="9"/>
      <c r="G52" s="9"/>
      <c r="H52" s="9"/>
      <c r="I52" s="9"/>
    </row>
    <row r="53" spans="2:9">
      <c r="B53" s="278" t="s">
        <v>5</v>
      </c>
      <c r="C53" s="9" t="s">
        <v>61</v>
      </c>
      <c r="D53" s="9" t="s">
        <v>1461</v>
      </c>
      <c r="E53" s="9" t="s">
        <v>783</v>
      </c>
      <c r="F53" s="9"/>
      <c r="G53" s="9"/>
      <c r="H53" s="9"/>
      <c r="I53" s="9"/>
    </row>
    <row r="54" spans="2:9">
      <c r="B54" s="278" t="s">
        <v>5</v>
      </c>
      <c r="C54" s="9" t="s">
        <v>572</v>
      </c>
      <c r="D54" s="9" t="s">
        <v>1471</v>
      </c>
      <c r="E54" s="9" t="s">
        <v>783</v>
      </c>
      <c r="F54" s="9"/>
      <c r="G54" s="9"/>
      <c r="H54" s="9"/>
      <c r="I54" s="9"/>
    </row>
    <row r="55" spans="2:9">
      <c r="B55" s="278" t="s">
        <v>5</v>
      </c>
      <c r="C55" s="9" t="s">
        <v>579</v>
      </c>
      <c r="D55" s="9" t="s">
        <v>1470</v>
      </c>
      <c r="E55" s="9" t="s">
        <v>783</v>
      </c>
      <c r="F55" s="9"/>
      <c r="G55" s="9"/>
      <c r="H55" s="9"/>
      <c r="I55" s="9"/>
    </row>
    <row r="56" spans="2:9">
      <c r="B56" s="278" t="s">
        <v>5</v>
      </c>
      <c r="C56" s="9" t="s">
        <v>981</v>
      </c>
      <c r="D56" s="9" t="s">
        <v>1469</v>
      </c>
      <c r="E56" s="9" t="s">
        <v>783</v>
      </c>
      <c r="F56" s="9"/>
      <c r="G56" s="9"/>
      <c r="H56" s="9"/>
      <c r="I56" s="9"/>
    </row>
    <row r="57" spans="2:9">
      <c r="B57" s="278" t="s">
        <v>5</v>
      </c>
      <c r="C57" s="9" t="s">
        <v>862</v>
      </c>
      <c r="D57" s="9" t="s">
        <v>1468</v>
      </c>
      <c r="E57" s="9" t="s">
        <v>783</v>
      </c>
      <c r="F57" s="9"/>
      <c r="G57" s="9"/>
      <c r="H57" s="9"/>
      <c r="I57" s="9"/>
    </row>
    <row r="58" spans="2:9">
      <c r="B58" s="278" t="s">
        <v>5</v>
      </c>
      <c r="C58" s="9" t="s">
        <v>653</v>
      </c>
      <c r="D58" s="9" t="s">
        <v>1467</v>
      </c>
      <c r="E58" s="9" t="s">
        <v>783</v>
      </c>
      <c r="F58" s="9"/>
      <c r="G58" s="9"/>
      <c r="H58" s="9"/>
      <c r="I58" s="9"/>
    </row>
    <row r="59" spans="2:9">
      <c r="B59" s="278" t="s">
        <v>5</v>
      </c>
      <c r="C59" s="9" t="s">
        <v>60</v>
      </c>
      <c r="D59" s="9" t="s">
        <v>1466</v>
      </c>
      <c r="E59" s="9" t="s">
        <v>783</v>
      </c>
      <c r="F59" s="9"/>
      <c r="G59" s="9"/>
      <c r="H59" s="9"/>
      <c r="I59" s="9"/>
    </row>
    <row r="60" spans="2:9">
      <c r="B60" s="278" t="s">
        <v>5</v>
      </c>
      <c r="C60" s="9" t="s">
        <v>576</v>
      </c>
      <c r="D60" s="9" t="s">
        <v>1478</v>
      </c>
      <c r="E60" s="9" t="s">
        <v>783</v>
      </c>
      <c r="F60" s="9"/>
      <c r="G60" s="9"/>
      <c r="H60" s="9"/>
      <c r="I60" s="9"/>
    </row>
    <row r="61" spans="2:9">
      <c r="B61" s="278" t="s">
        <v>5</v>
      </c>
      <c r="C61" s="9" t="s">
        <v>580</v>
      </c>
      <c r="D61" s="9" t="s">
        <v>1477</v>
      </c>
      <c r="E61" s="9" t="s">
        <v>783</v>
      </c>
      <c r="F61" s="9"/>
      <c r="G61" s="9"/>
      <c r="H61" s="9"/>
      <c r="I61" s="9"/>
    </row>
    <row r="62" spans="2:9">
      <c r="B62" s="278" t="s">
        <v>5</v>
      </c>
      <c r="C62" s="9" t="s">
        <v>983</v>
      </c>
      <c r="D62" s="9" t="s">
        <v>1476</v>
      </c>
      <c r="E62" s="9" t="s">
        <v>783</v>
      </c>
      <c r="F62" s="9"/>
      <c r="G62" s="9"/>
      <c r="H62" s="9"/>
      <c r="I62" s="9"/>
    </row>
    <row r="63" spans="2:9">
      <c r="B63" s="278" t="s">
        <v>5</v>
      </c>
      <c r="C63" s="9" t="s">
        <v>863</v>
      </c>
      <c r="D63" s="9" t="s">
        <v>1475</v>
      </c>
      <c r="E63" s="9" t="s">
        <v>783</v>
      </c>
      <c r="F63" s="9"/>
      <c r="G63" s="9"/>
      <c r="H63" s="9"/>
      <c r="I63" s="9"/>
    </row>
    <row r="64" spans="2:9">
      <c r="B64" s="278" t="s">
        <v>5</v>
      </c>
      <c r="C64" s="9" t="s">
        <v>987</v>
      </c>
      <c r="D64" s="9" t="s">
        <v>1474</v>
      </c>
      <c r="E64" s="9" t="s">
        <v>783</v>
      </c>
      <c r="F64" s="9"/>
      <c r="G64" s="9"/>
      <c r="H64" s="9"/>
      <c r="I64" s="9"/>
    </row>
    <row r="65" spans="2:9">
      <c r="B65" s="278" t="s">
        <v>5</v>
      </c>
      <c r="C65" s="9" t="s">
        <v>75</v>
      </c>
      <c r="D65" s="9" t="s">
        <v>1473</v>
      </c>
      <c r="E65" s="9" t="s">
        <v>783</v>
      </c>
      <c r="F65" s="9"/>
      <c r="G65" s="9"/>
      <c r="H65" s="9"/>
      <c r="I65" s="9"/>
    </row>
    <row r="66" spans="2:9">
      <c r="B66" s="278" t="s">
        <v>5</v>
      </c>
      <c r="C66" s="9" t="s">
        <v>571</v>
      </c>
      <c r="D66" s="9" t="s">
        <v>1484</v>
      </c>
      <c r="E66" s="9" t="s">
        <v>783</v>
      </c>
      <c r="F66" s="9"/>
      <c r="G66" s="9"/>
      <c r="H66" s="9"/>
      <c r="I66" s="9"/>
    </row>
    <row r="67" spans="2:9">
      <c r="B67" s="278" t="s">
        <v>5</v>
      </c>
      <c r="C67" s="9" t="s">
        <v>578</v>
      </c>
      <c r="D67" s="9" t="s">
        <v>1483</v>
      </c>
      <c r="E67" s="9" t="s">
        <v>783</v>
      </c>
      <c r="F67" s="9"/>
      <c r="G67" s="9"/>
      <c r="H67" s="9"/>
      <c r="I67" s="9"/>
    </row>
    <row r="68" spans="2:9">
      <c r="B68" s="278" t="s">
        <v>5</v>
      </c>
      <c r="C68" s="9" t="s">
        <v>980</v>
      </c>
      <c r="D68" s="9" t="s">
        <v>1482</v>
      </c>
      <c r="E68" s="9" t="s">
        <v>783</v>
      </c>
      <c r="F68" s="9"/>
      <c r="G68" s="9"/>
      <c r="H68" s="9"/>
      <c r="I68" s="9"/>
    </row>
    <row r="69" spans="2:9">
      <c r="B69" s="278" t="s">
        <v>5</v>
      </c>
      <c r="C69" s="9" t="s">
        <v>861</v>
      </c>
      <c r="D69" s="9" t="s">
        <v>1481</v>
      </c>
      <c r="E69" s="9" t="s">
        <v>783</v>
      </c>
      <c r="F69" s="9"/>
      <c r="G69" s="9"/>
      <c r="H69" s="9"/>
      <c r="I69" s="9"/>
    </row>
    <row r="70" spans="2:9">
      <c r="B70" s="278" t="s">
        <v>5</v>
      </c>
      <c r="C70" s="9" t="s">
        <v>850</v>
      </c>
      <c r="D70" s="9" t="s">
        <v>1480</v>
      </c>
      <c r="E70" s="9" t="s">
        <v>783</v>
      </c>
      <c r="F70" s="9"/>
      <c r="G70" s="9"/>
      <c r="H70" s="9"/>
      <c r="I70" s="9"/>
    </row>
    <row r="71" spans="2:9">
      <c r="B71" s="278" t="s">
        <v>5</v>
      </c>
      <c r="C71" s="9" t="s">
        <v>57</v>
      </c>
      <c r="D71" s="9" t="s">
        <v>1479</v>
      </c>
      <c r="E71" s="9" t="s">
        <v>783</v>
      </c>
      <c r="F71" s="9"/>
      <c r="G71" s="9"/>
      <c r="H71" s="9"/>
      <c r="I71" s="9"/>
    </row>
    <row r="72" spans="2:9">
      <c r="B72" s="278" t="s">
        <v>5</v>
      </c>
      <c r="C72" s="9" t="s">
        <v>1332</v>
      </c>
      <c r="D72" s="9" t="s">
        <v>1496</v>
      </c>
      <c r="E72" s="9" t="s">
        <v>783</v>
      </c>
      <c r="F72" s="9"/>
      <c r="G72" s="9"/>
      <c r="H72" s="9"/>
      <c r="I72" s="9"/>
    </row>
    <row r="73" spans="2:9">
      <c r="B73" s="278" t="s">
        <v>5</v>
      </c>
      <c r="C73" s="9" t="s">
        <v>917</v>
      </c>
      <c r="D73" s="9" t="s">
        <v>671</v>
      </c>
      <c r="E73" s="9" t="s">
        <v>783</v>
      </c>
      <c r="F73" s="9"/>
      <c r="G73" s="9"/>
      <c r="H73" s="9"/>
      <c r="I73" s="9"/>
    </row>
    <row r="74" spans="2:9">
      <c r="B74" s="278" t="s">
        <v>5</v>
      </c>
      <c r="C74" s="9" t="s">
        <v>1292</v>
      </c>
      <c r="D74" s="9" t="s">
        <v>1293</v>
      </c>
      <c r="E74" s="9" t="s">
        <v>783</v>
      </c>
      <c r="F74" s="9"/>
      <c r="G74" s="9"/>
      <c r="H74" s="9"/>
      <c r="I74" s="9"/>
    </row>
    <row r="75" spans="2:9">
      <c r="B75" s="278" t="s">
        <v>5</v>
      </c>
      <c r="C75" s="9" t="s">
        <v>1455</v>
      </c>
      <c r="D75" s="9" t="s">
        <v>1457</v>
      </c>
      <c r="E75" s="9" t="s">
        <v>783</v>
      </c>
      <c r="F75" s="9"/>
      <c r="G75" s="9"/>
      <c r="H75" s="9"/>
      <c r="I75" s="9"/>
    </row>
    <row r="76" spans="2:9">
      <c r="B76" s="278" t="s">
        <v>5</v>
      </c>
      <c r="C76" s="9" t="s">
        <v>655</v>
      </c>
      <c r="D76" s="9" t="s">
        <v>662</v>
      </c>
      <c r="E76" s="9" t="s">
        <v>783</v>
      </c>
      <c r="F76" s="9"/>
      <c r="G76" s="9"/>
      <c r="H76" s="9"/>
      <c r="I76" s="9"/>
    </row>
    <row r="77" spans="2:9">
      <c r="B77" s="278" t="s">
        <v>5</v>
      </c>
      <c r="C77" s="52" t="s">
        <v>1164</v>
      </c>
      <c r="D77" s="9" t="s">
        <v>1172</v>
      </c>
      <c r="E77" s="9" t="s">
        <v>783</v>
      </c>
      <c r="F77" s="9"/>
      <c r="G77" s="9" t="s">
        <v>896</v>
      </c>
      <c r="H77" s="9"/>
      <c r="I77" s="9"/>
    </row>
    <row r="78" spans="2:9">
      <c r="B78" s="278" t="s">
        <v>5</v>
      </c>
      <c r="C78" s="52" t="s">
        <v>1358</v>
      </c>
      <c r="D78" s="9" t="s">
        <v>1359</v>
      </c>
      <c r="E78" s="9" t="s">
        <v>783</v>
      </c>
      <c r="F78" s="9"/>
      <c r="G78" s="9" t="s">
        <v>896</v>
      </c>
      <c r="H78" s="9"/>
      <c r="I78" s="9"/>
    </row>
    <row r="79" spans="2:9">
      <c r="B79" s="278" t="s">
        <v>5</v>
      </c>
      <c r="C79" s="9" t="s">
        <v>950</v>
      </c>
      <c r="D79" s="9" t="s">
        <v>673</v>
      </c>
      <c r="E79" s="9" t="s">
        <v>783</v>
      </c>
      <c r="F79" s="9"/>
      <c r="G79" s="9"/>
      <c r="H79" s="9"/>
      <c r="I79" s="9"/>
    </row>
    <row r="80" spans="2:9">
      <c r="B80" s="278" t="s">
        <v>5</v>
      </c>
      <c r="C80" s="9" t="s">
        <v>946</v>
      </c>
      <c r="D80" s="9" t="s">
        <v>703</v>
      </c>
      <c r="E80" s="9" t="s">
        <v>783</v>
      </c>
      <c r="F80" s="9"/>
      <c r="G80" s="289" t="s">
        <v>1239</v>
      </c>
      <c r="H80" s="289"/>
      <c r="I80" s="289" t="s">
        <v>995</v>
      </c>
    </row>
    <row r="81" spans="2:9">
      <c r="B81" s="278" t="s">
        <v>5</v>
      </c>
      <c r="C81" s="9" t="s">
        <v>728</v>
      </c>
      <c r="D81" s="9" t="s">
        <v>994</v>
      </c>
      <c r="E81" s="9" t="s">
        <v>783</v>
      </c>
      <c r="F81" s="9"/>
      <c r="G81" s="289" t="s">
        <v>1239</v>
      </c>
      <c r="H81" s="289"/>
      <c r="I81" s="289" t="s">
        <v>995</v>
      </c>
    </row>
    <row r="82" spans="2:9">
      <c r="B82" s="278" t="s">
        <v>5</v>
      </c>
      <c r="C82" s="9" t="s">
        <v>993</v>
      </c>
      <c r="D82" s="9" t="s">
        <v>1492</v>
      </c>
      <c r="E82" s="9" t="s">
        <v>783</v>
      </c>
      <c r="F82" s="9"/>
      <c r="G82" s="289" t="s">
        <v>896</v>
      </c>
      <c r="H82" s="289"/>
      <c r="I82" s="289" t="s">
        <v>824</v>
      </c>
    </row>
    <row r="83" spans="2:9">
      <c r="B83" s="278" t="s">
        <v>5</v>
      </c>
      <c r="C83" s="9" t="s">
        <v>570</v>
      </c>
      <c r="D83" s="9" t="s">
        <v>1485</v>
      </c>
      <c r="E83" s="9" t="s">
        <v>783</v>
      </c>
      <c r="F83" s="9"/>
      <c r="G83" s="289" t="s">
        <v>1239</v>
      </c>
      <c r="H83" s="289"/>
      <c r="I83" s="289" t="s">
        <v>995</v>
      </c>
    </row>
    <row r="84" spans="2:9">
      <c r="B84" s="278" t="s">
        <v>5</v>
      </c>
      <c r="C84" s="9" t="s">
        <v>577</v>
      </c>
      <c r="D84" s="9" t="s">
        <v>1491</v>
      </c>
      <c r="E84" s="9" t="s">
        <v>783</v>
      </c>
      <c r="F84" s="9"/>
      <c r="G84" s="289" t="s">
        <v>1239</v>
      </c>
      <c r="H84" s="289"/>
      <c r="I84" s="289" t="s">
        <v>995</v>
      </c>
    </row>
    <row r="85" spans="2:9">
      <c r="B85" s="278" t="s">
        <v>5</v>
      </c>
      <c r="C85" s="9" t="s">
        <v>979</v>
      </c>
      <c r="D85" s="9" t="s">
        <v>1487</v>
      </c>
      <c r="E85" s="9" t="s">
        <v>783</v>
      </c>
      <c r="F85" s="9"/>
      <c r="G85" s="289" t="s">
        <v>1239</v>
      </c>
      <c r="H85" s="289"/>
      <c r="I85" s="289" t="s">
        <v>995</v>
      </c>
    </row>
    <row r="86" spans="2:9">
      <c r="B86" s="278" t="s">
        <v>5</v>
      </c>
      <c r="C86" s="9" t="s">
        <v>859</v>
      </c>
      <c r="D86" s="9" t="s">
        <v>1488</v>
      </c>
      <c r="E86" s="9" t="s">
        <v>783</v>
      </c>
      <c r="F86" s="9"/>
      <c r="G86" s="289" t="s">
        <v>1239</v>
      </c>
      <c r="H86" s="289"/>
      <c r="I86" s="289" t="s">
        <v>995</v>
      </c>
    </row>
    <row r="87" spans="2:9">
      <c r="B87" s="278" t="s">
        <v>5</v>
      </c>
      <c r="C87" s="9" t="s">
        <v>92</v>
      </c>
      <c r="D87" s="9" t="s">
        <v>1489</v>
      </c>
      <c r="E87" s="9" t="s">
        <v>783</v>
      </c>
      <c r="F87" s="9"/>
      <c r="G87" s="289" t="s">
        <v>1239</v>
      </c>
      <c r="H87" s="289"/>
      <c r="I87" s="289" t="s">
        <v>995</v>
      </c>
    </row>
    <row r="88" spans="2:9">
      <c r="B88" s="278" t="s">
        <v>5</v>
      </c>
      <c r="C88" s="9" t="s">
        <v>48</v>
      </c>
      <c r="D88" s="9" t="s">
        <v>1490</v>
      </c>
      <c r="E88" s="9" t="s">
        <v>783</v>
      </c>
      <c r="F88" s="9"/>
      <c r="G88" s="289" t="s">
        <v>1239</v>
      </c>
      <c r="H88" s="289"/>
      <c r="I88" s="289" t="s">
        <v>995</v>
      </c>
    </row>
    <row r="89" spans="2:9">
      <c r="B89" s="278" t="s">
        <v>5</v>
      </c>
      <c r="C89" s="9" t="s">
        <v>1280</v>
      </c>
      <c r="D89" s="9" t="s">
        <v>1486</v>
      </c>
      <c r="E89" s="9" t="s">
        <v>783</v>
      </c>
      <c r="F89" s="9"/>
      <c r="G89" s="289" t="s">
        <v>896</v>
      </c>
      <c r="H89" s="289"/>
      <c r="I89" s="289" t="s">
        <v>995</v>
      </c>
    </row>
    <row r="90" spans="2:9">
      <c r="B90" s="278" t="s">
        <v>5</v>
      </c>
      <c r="C90" s="52" t="s">
        <v>462</v>
      </c>
      <c r="D90" s="9" t="s">
        <v>179</v>
      </c>
      <c r="E90" s="9" t="s">
        <v>783</v>
      </c>
      <c r="F90" s="9"/>
      <c r="G90" s="9" t="s">
        <v>896</v>
      </c>
      <c r="H90" s="9"/>
      <c r="I90" s="9"/>
    </row>
    <row r="91" spans="2:9">
      <c r="B91" s="278" t="s">
        <v>5</v>
      </c>
      <c r="C91" s="446" t="s">
        <v>847</v>
      </c>
      <c r="D91" s="9" t="s">
        <v>706</v>
      </c>
      <c r="E91" s="9" t="s">
        <v>783</v>
      </c>
      <c r="F91" s="9"/>
      <c r="G91" s="9"/>
      <c r="H91" s="9"/>
      <c r="I91" s="9"/>
    </row>
    <row r="92" spans="2:9">
      <c r="B92" s="278" t="s">
        <v>5</v>
      </c>
      <c r="C92" s="52" t="s">
        <v>1315</v>
      </c>
      <c r="D92" s="9" t="s">
        <v>1316</v>
      </c>
      <c r="E92" s="9" t="s">
        <v>783</v>
      </c>
      <c r="F92" s="9"/>
      <c r="G92" s="9"/>
      <c r="H92" s="9"/>
      <c r="I92" s="9"/>
    </row>
    <row r="93" spans="2:9">
      <c r="B93" s="278" t="s">
        <v>5</v>
      </c>
      <c r="C93" s="52" t="s">
        <v>1281</v>
      </c>
      <c r="D93" s="9" t="s">
        <v>1282</v>
      </c>
      <c r="E93" s="9" t="s">
        <v>783</v>
      </c>
      <c r="F93" s="9"/>
      <c r="G93" s="9"/>
      <c r="H93" s="9"/>
      <c r="I93" s="9"/>
    </row>
    <row r="94" spans="2:9">
      <c r="B94" s="278" t="s">
        <v>5</v>
      </c>
      <c r="C94" s="52" t="s">
        <v>606</v>
      </c>
      <c r="D94" s="9" t="s">
        <v>1243</v>
      </c>
      <c r="E94" s="9" t="s">
        <v>783</v>
      </c>
      <c r="F94" s="9"/>
      <c r="G94" s="9"/>
      <c r="H94" s="9"/>
      <c r="I94" s="9"/>
    </row>
    <row r="95" spans="2:9">
      <c r="B95" s="278" t="s">
        <v>5</v>
      </c>
      <c r="C95" s="52" t="s">
        <v>528</v>
      </c>
      <c r="D95" s="9" t="s">
        <v>529</v>
      </c>
      <c r="E95" s="9" t="s">
        <v>783</v>
      </c>
      <c r="F95" s="9"/>
      <c r="G95" s="9"/>
      <c r="H95" s="9"/>
      <c r="I95" s="9"/>
    </row>
    <row r="96" spans="2:9">
      <c r="B96" s="278" t="s">
        <v>5</v>
      </c>
      <c r="C96" s="52" t="s">
        <v>1229</v>
      </c>
      <c r="D96" s="9" t="s">
        <v>1344</v>
      </c>
      <c r="E96" s="9" t="s">
        <v>783</v>
      </c>
      <c r="F96" s="9"/>
      <c r="G96" s="9"/>
      <c r="H96" s="9"/>
      <c r="I96" s="9"/>
    </row>
    <row r="97" spans="2:9">
      <c r="B97" s="278" t="s">
        <v>5</v>
      </c>
      <c r="C97" s="52" t="s">
        <v>607</v>
      </c>
      <c r="D97" s="9" t="s">
        <v>1171</v>
      </c>
      <c r="E97" s="9" t="s">
        <v>783</v>
      </c>
      <c r="F97" s="9"/>
      <c r="G97" s="9"/>
      <c r="H97" s="9"/>
      <c r="I97" s="9"/>
    </row>
    <row r="98" spans="2:9">
      <c r="B98" s="278" t="s">
        <v>5</v>
      </c>
      <c r="C98" s="52" t="s">
        <v>952</v>
      </c>
      <c r="D98" s="144" t="s">
        <v>707</v>
      </c>
      <c r="E98" s="9" t="s">
        <v>783</v>
      </c>
      <c r="F98" s="9"/>
      <c r="G98" s="9"/>
      <c r="H98" s="9"/>
      <c r="I98" s="9"/>
    </row>
    <row r="99" spans="2:9">
      <c r="B99" s="278" t="s">
        <v>5</v>
      </c>
      <c r="C99" s="446" t="s">
        <v>843</v>
      </c>
      <c r="D99" s="9" t="s">
        <v>779</v>
      </c>
      <c r="E99" s="9" t="s">
        <v>783</v>
      </c>
      <c r="F99" s="9"/>
      <c r="G99" s="9"/>
      <c r="H99" s="9"/>
      <c r="I99" s="9"/>
    </row>
    <row r="100" spans="2:9">
      <c r="B100" s="278" t="s">
        <v>5</v>
      </c>
      <c r="C100" s="52" t="s">
        <v>1084</v>
      </c>
      <c r="D100" s="9" t="s">
        <v>708</v>
      </c>
      <c r="E100" s="9" t="s">
        <v>783</v>
      </c>
      <c r="F100" s="9"/>
      <c r="G100" s="9"/>
      <c r="H100" s="9"/>
      <c r="I100" s="9"/>
    </row>
    <row r="101" spans="2:9">
      <c r="B101" s="278" t="s">
        <v>5</v>
      </c>
      <c r="C101" s="52" t="s">
        <v>951</v>
      </c>
      <c r="D101" s="9" t="s">
        <v>709</v>
      </c>
      <c r="E101" s="9" t="s">
        <v>783</v>
      </c>
      <c r="F101" s="9"/>
      <c r="G101" s="9"/>
      <c r="H101" s="9"/>
      <c r="I101" s="9"/>
    </row>
    <row r="102" spans="2:9">
      <c r="B102" s="278" t="s">
        <v>5</v>
      </c>
      <c r="C102" s="446" t="s">
        <v>836</v>
      </c>
      <c r="D102" s="144" t="s">
        <v>710</v>
      </c>
      <c r="E102" s="9" t="s">
        <v>783</v>
      </c>
      <c r="F102" s="9"/>
      <c r="G102" s="9"/>
      <c r="H102" s="9"/>
      <c r="I102" s="9"/>
    </row>
    <row r="103" spans="2:9">
      <c r="B103" s="278" t="s">
        <v>5</v>
      </c>
      <c r="C103" s="52" t="s">
        <v>835</v>
      </c>
      <c r="D103" s="9" t="s">
        <v>711</v>
      </c>
      <c r="E103" s="9" t="s">
        <v>783</v>
      </c>
      <c r="F103" s="9"/>
      <c r="G103" s="9"/>
      <c r="H103" s="9"/>
      <c r="I103" s="9"/>
    </row>
    <row r="104" spans="2:9">
      <c r="B104" s="278" t="s">
        <v>5</v>
      </c>
      <c r="C104" s="446" t="s">
        <v>841</v>
      </c>
      <c r="D104" s="9" t="s">
        <v>712</v>
      </c>
      <c r="E104" s="9" t="s">
        <v>783</v>
      </c>
      <c r="F104" s="9"/>
      <c r="G104" s="9"/>
      <c r="H104" s="9"/>
      <c r="I104" s="9"/>
    </row>
    <row r="105" spans="2:9">
      <c r="B105" s="278" t="s">
        <v>5</v>
      </c>
      <c r="C105" s="52" t="s">
        <v>756</v>
      </c>
      <c r="D105" s="9" t="s">
        <v>713</v>
      </c>
      <c r="E105" s="9" t="s">
        <v>783</v>
      </c>
      <c r="F105" s="9"/>
      <c r="G105" s="9"/>
      <c r="H105" s="9"/>
      <c r="I105" s="9"/>
    </row>
    <row r="106" spans="2:9">
      <c r="B106" s="278" t="s">
        <v>5</v>
      </c>
      <c r="C106" s="52" t="s">
        <v>954</v>
      </c>
      <c r="D106" s="144" t="s">
        <v>714</v>
      </c>
      <c r="E106" s="9" t="s">
        <v>783</v>
      </c>
      <c r="F106" s="9"/>
      <c r="G106" s="9"/>
      <c r="H106" s="9"/>
      <c r="I106" s="9"/>
    </row>
    <row r="107" spans="2:9">
      <c r="B107" s="278" t="s">
        <v>5</v>
      </c>
      <c r="C107" s="52" t="s">
        <v>839</v>
      </c>
      <c r="D107" s="9" t="s">
        <v>715</v>
      </c>
      <c r="E107" s="9" t="s">
        <v>783</v>
      </c>
      <c r="F107" s="9"/>
      <c r="G107" s="9"/>
      <c r="H107" s="9"/>
      <c r="I107" s="9"/>
    </row>
    <row r="108" spans="2:9">
      <c r="B108" s="278" t="s">
        <v>5</v>
      </c>
      <c r="C108" s="52" t="s">
        <v>842</v>
      </c>
      <c r="D108" s="9" t="s">
        <v>716</v>
      </c>
      <c r="E108" s="9" t="s">
        <v>783</v>
      </c>
      <c r="F108" s="9"/>
      <c r="G108" s="9"/>
      <c r="H108" s="9"/>
      <c r="I108" s="9"/>
    </row>
    <row r="109" spans="2:9">
      <c r="B109" s="278" t="s">
        <v>5</v>
      </c>
      <c r="C109" s="52" t="s">
        <v>310</v>
      </c>
      <c r="D109" s="9" t="s">
        <v>717</v>
      </c>
      <c r="E109" s="9" t="s">
        <v>783</v>
      </c>
      <c r="F109" s="9"/>
      <c r="G109" s="9"/>
      <c r="H109" s="9"/>
      <c r="I109" s="9"/>
    </row>
    <row r="110" spans="2:9">
      <c r="B110" s="278" t="s">
        <v>5</v>
      </c>
      <c r="C110" s="52" t="s">
        <v>311</v>
      </c>
      <c r="D110" s="9" t="s">
        <v>718</v>
      </c>
      <c r="E110" s="9" t="s">
        <v>783</v>
      </c>
      <c r="F110" s="9"/>
      <c r="G110" s="9"/>
      <c r="H110" s="9"/>
      <c r="I110" s="9"/>
    </row>
    <row r="111" spans="2:9">
      <c r="B111" s="278" t="s">
        <v>5</v>
      </c>
      <c r="C111" s="52" t="s">
        <v>312</v>
      </c>
      <c r="D111" s="9" t="s">
        <v>719</v>
      </c>
      <c r="E111" s="9" t="s">
        <v>783</v>
      </c>
      <c r="F111" s="9"/>
      <c r="G111" s="9"/>
      <c r="H111" s="9"/>
      <c r="I111" s="9"/>
    </row>
    <row r="112" spans="2:9">
      <c r="B112" s="278" t="s">
        <v>5</v>
      </c>
      <c r="C112" s="52" t="s">
        <v>313</v>
      </c>
      <c r="D112" s="9" t="s">
        <v>720</v>
      </c>
      <c r="E112" s="9" t="s">
        <v>783</v>
      </c>
      <c r="F112" s="9"/>
      <c r="G112" s="9"/>
      <c r="H112" s="9"/>
      <c r="I112" s="9"/>
    </row>
    <row r="113" spans="2:9">
      <c r="B113" s="278" t="s">
        <v>5</v>
      </c>
      <c r="C113" s="52" t="s">
        <v>4</v>
      </c>
      <c r="D113" s="9" t="s">
        <v>6</v>
      </c>
      <c r="E113" s="9" t="s">
        <v>783</v>
      </c>
      <c r="F113" s="9"/>
      <c r="G113" s="9"/>
      <c r="H113" s="9"/>
      <c r="I113" s="9"/>
    </row>
    <row r="114" spans="2:9">
      <c r="B114" s="278" t="s">
        <v>5</v>
      </c>
      <c r="C114" s="52" t="s">
        <v>186</v>
      </c>
      <c r="D114" s="9" t="s">
        <v>187</v>
      </c>
      <c r="E114" s="9" t="s">
        <v>783</v>
      </c>
      <c r="F114" s="9"/>
      <c r="G114" s="9"/>
      <c r="H114" s="9"/>
      <c r="I114" s="9"/>
    </row>
    <row r="115" spans="2:9">
      <c r="B115" s="278" t="s">
        <v>5</v>
      </c>
      <c r="C115" s="52" t="s">
        <v>1449</v>
      </c>
      <c r="D115" s="9" t="s">
        <v>1450</v>
      </c>
      <c r="E115" s="9" t="s">
        <v>783</v>
      </c>
      <c r="F115" s="9"/>
      <c r="G115" s="9"/>
      <c r="H115" s="9"/>
      <c r="I115" s="9"/>
    </row>
    <row r="116" spans="2:9">
      <c r="B116" s="278" t="s">
        <v>692</v>
      </c>
      <c r="C116" s="9" t="s">
        <v>213</v>
      </c>
      <c r="D116" s="9" t="s">
        <v>693</v>
      </c>
      <c r="E116" s="9" t="s">
        <v>976</v>
      </c>
      <c r="F116" s="9"/>
      <c r="G116" s="9"/>
      <c r="H116" s="9"/>
      <c r="I116" s="9"/>
    </row>
    <row r="117" spans="2:9">
      <c r="B117" s="278" t="s">
        <v>692</v>
      </c>
      <c r="C117" s="9" t="s">
        <v>367</v>
      </c>
      <c r="D117" s="9" t="s">
        <v>694</v>
      </c>
      <c r="E117" s="9" t="s">
        <v>976</v>
      </c>
      <c r="F117" s="9"/>
      <c r="G117" s="9"/>
      <c r="H117" s="9"/>
      <c r="I117" s="9"/>
    </row>
    <row r="118" spans="2:9">
      <c r="B118" s="278" t="s">
        <v>692</v>
      </c>
      <c r="C118" s="9" t="s">
        <v>365</v>
      </c>
      <c r="D118" s="9" t="s">
        <v>695</v>
      </c>
      <c r="E118" s="9" t="s">
        <v>976</v>
      </c>
      <c r="F118" s="9"/>
      <c r="G118" s="9"/>
      <c r="H118" s="9"/>
      <c r="I118" s="9"/>
    </row>
    <row r="119" spans="2:9">
      <c r="B119" s="278" t="s">
        <v>692</v>
      </c>
      <c r="C119" s="9" t="s">
        <v>409</v>
      </c>
      <c r="D119" s="9" t="s">
        <v>408</v>
      </c>
      <c r="E119" s="9" t="s">
        <v>976</v>
      </c>
      <c r="F119" s="9"/>
      <c r="G119" s="9"/>
      <c r="H119" s="9"/>
      <c r="I119" s="9"/>
    </row>
    <row r="120" spans="2:9">
      <c r="B120" s="278" t="s">
        <v>692</v>
      </c>
      <c r="C120" s="9" t="s">
        <v>1285</v>
      </c>
      <c r="D120" s="9" t="s">
        <v>1459</v>
      </c>
      <c r="E120" s="9" t="s">
        <v>976</v>
      </c>
      <c r="F120" s="9"/>
      <c r="G120" s="9"/>
      <c r="H120" s="9"/>
      <c r="I120" s="9"/>
    </row>
    <row r="121" spans="2:9">
      <c r="B121" s="278" t="s">
        <v>692</v>
      </c>
      <c r="C121" s="9" t="s">
        <v>696</v>
      </c>
      <c r="D121" s="9" t="s">
        <v>697</v>
      </c>
      <c r="E121" s="9" t="s">
        <v>976</v>
      </c>
      <c r="F121" s="304"/>
      <c r="G121" s="9"/>
      <c r="H121" s="9"/>
      <c r="I121" s="9"/>
    </row>
    <row r="122" spans="2:9">
      <c r="B122" s="278" t="s">
        <v>692</v>
      </c>
      <c r="C122" s="9" t="s">
        <v>411</v>
      </c>
      <c r="D122" s="9" t="s">
        <v>456</v>
      </c>
      <c r="E122" s="9" t="s">
        <v>976</v>
      </c>
      <c r="F122" s="9"/>
      <c r="G122" s="9"/>
      <c r="H122" s="9"/>
      <c r="I122" s="9"/>
    </row>
    <row r="123" spans="2:9">
      <c r="B123" s="278" t="s">
        <v>692</v>
      </c>
      <c r="C123" s="9" t="s">
        <v>361</v>
      </c>
      <c r="D123" s="9" t="s">
        <v>218</v>
      </c>
      <c r="E123" s="9" t="s">
        <v>976</v>
      </c>
      <c r="F123" s="9"/>
      <c r="G123" s="9"/>
      <c r="H123" s="9"/>
      <c r="I123" s="9"/>
    </row>
    <row r="124" spans="2:9">
      <c r="B124" s="278" t="s">
        <v>692</v>
      </c>
      <c r="C124" s="9" t="s">
        <v>363</v>
      </c>
      <c r="D124" s="9" t="s">
        <v>698</v>
      </c>
      <c r="E124" s="9" t="s">
        <v>976</v>
      </c>
      <c r="F124" s="9"/>
      <c r="G124" s="9"/>
      <c r="H124" s="9"/>
      <c r="I124" s="9"/>
    </row>
    <row r="125" spans="2:9">
      <c r="B125" s="278" t="s">
        <v>692</v>
      </c>
      <c r="C125" s="52" t="s">
        <v>1517</v>
      </c>
      <c r="D125" s="9" t="s">
        <v>1518</v>
      </c>
      <c r="E125" s="9" t="s">
        <v>976</v>
      </c>
      <c r="F125" s="304" t="s">
        <v>1236</v>
      </c>
      <c r="G125" s="9"/>
      <c r="H125" s="9"/>
      <c r="I125" s="9"/>
    </row>
    <row r="126" spans="2:9">
      <c r="B126" s="278" t="s">
        <v>692</v>
      </c>
      <c r="C126" s="52" t="s">
        <v>1519</v>
      </c>
      <c r="D126" s="9" t="s">
        <v>1520</v>
      </c>
      <c r="E126" s="9" t="s">
        <v>976</v>
      </c>
      <c r="F126" s="304"/>
      <c r="G126" s="9"/>
      <c r="H126" s="9"/>
      <c r="I126" s="9"/>
    </row>
    <row r="127" spans="2:9">
      <c r="B127" s="278" t="s">
        <v>692</v>
      </c>
      <c r="C127" s="9" t="s">
        <v>221</v>
      </c>
      <c r="D127" s="9" t="s">
        <v>220</v>
      </c>
      <c r="E127" s="9" t="s">
        <v>976</v>
      </c>
      <c r="F127" s="9"/>
      <c r="G127" s="9"/>
      <c r="H127" s="9"/>
      <c r="I127" s="9"/>
    </row>
    <row r="128" spans="2:9">
      <c r="B128" s="278" t="s">
        <v>692</v>
      </c>
      <c r="C128" s="9" t="s">
        <v>369</v>
      </c>
      <c r="D128" s="9" t="s">
        <v>222</v>
      </c>
      <c r="E128" s="9" t="s">
        <v>976</v>
      </c>
      <c r="F128" s="9"/>
      <c r="G128" s="9"/>
      <c r="H128" s="9"/>
      <c r="I128" s="9"/>
    </row>
    <row r="129" spans="2:9">
      <c r="B129" s="278" t="s">
        <v>692</v>
      </c>
      <c r="C129" s="9" t="s">
        <v>404</v>
      </c>
      <c r="D129" s="9" t="s">
        <v>407</v>
      </c>
      <c r="E129" s="9" t="s">
        <v>976</v>
      </c>
      <c r="F129" s="9"/>
      <c r="G129" s="9"/>
      <c r="H129" s="9"/>
      <c r="I129" s="9"/>
    </row>
    <row r="130" spans="2:9">
      <c r="B130" s="278" t="s">
        <v>692</v>
      </c>
      <c r="C130" s="9" t="s">
        <v>405</v>
      </c>
      <c r="D130" s="9" t="s">
        <v>406</v>
      </c>
      <c r="E130" s="9" t="s">
        <v>976</v>
      </c>
      <c r="F130" s="9"/>
      <c r="G130" s="9"/>
      <c r="H130" s="9"/>
      <c r="I130" s="9"/>
    </row>
    <row r="131" spans="2:9">
      <c r="B131" s="278" t="s">
        <v>692</v>
      </c>
      <c r="C131" s="9" t="s">
        <v>359</v>
      </c>
      <c r="D131" s="9" t="s">
        <v>251</v>
      </c>
      <c r="E131" s="9" t="s">
        <v>976</v>
      </c>
      <c r="F131" s="9"/>
      <c r="G131" s="9"/>
      <c r="H131" s="9"/>
      <c r="I131" s="9"/>
    </row>
    <row r="132" spans="2:9">
      <c r="B132" s="278" t="s">
        <v>692</v>
      </c>
      <c r="C132" s="9" t="s">
        <v>253</v>
      </c>
      <c r="D132" s="9" t="s">
        <v>699</v>
      </c>
      <c r="E132" s="9" t="s">
        <v>976</v>
      </c>
      <c r="F132" s="9"/>
      <c r="G132" s="9"/>
      <c r="H132" s="9"/>
      <c r="I132" s="9"/>
    </row>
    <row r="133" spans="2:9">
      <c r="B133" s="278" t="s">
        <v>692</v>
      </c>
      <c r="C133" s="9" t="s">
        <v>357</v>
      </c>
      <c r="D133" s="9" t="s">
        <v>254</v>
      </c>
      <c r="E133" s="9" t="s">
        <v>976</v>
      </c>
      <c r="F133" s="9"/>
      <c r="G133" s="9"/>
      <c r="H133" s="9"/>
      <c r="I133" s="9"/>
    </row>
    <row r="134" spans="2:9">
      <c r="B134" s="278" t="s">
        <v>692</v>
      </c>
      <c r="C134" s="9" t="s">
        <v>354</v>
      </c>
      <c r="D134" s="9" t="s">
        <v>353</v>
      </c>
      <c r="E134" s="9" t="s">
        <v>976</v>
      </c>
      <c r="F134" s="9"/>
      <c r="G134" s="9"/>
      <c r="H134" s="9"/>
      <c r="I134" s="9"/>
    </row>
    <row r="135" spans="2:9">
      <c r="B135" s="278" t="s">
        <v>692</v>
      </c>
      <c r="C135" s="9" t="s">
        <v>540</v>
      </c>
      <c r="D135" s="9" t="s">
        <v>539</v>
      </c>
      <c r="E135" s="9" t="s">
        <v>976</v>
      </c>
      <c r="F135" s="9"/>
      <c r="G135" s="9"/>
      <c r="H135" s="9"/>
      <c r="I135" s="9"/>
    </row>
    <row r="136" spans="2:9">
      <c r="B136" s="278" t="s">
        <v>692</v>
      </c>
      <c r="C136" s="9" t="s">
        <v>535</v>
      </c>
      <c r="D136" s="9" t="s">
        <v>537</v>
      </c>
      <c r="E136" s="9" t="s">
        <v>976</v>
      </c>
      <c r="F136" s="9"/>
      <c r="G136" s="9"/>
      <c r="H136" s="9"/>
      <c r="I136" s="9"/>
    </row>
    <row r="137" spans="2:9">
      <c r="B137" s="278" t="s">
        <v>692</v>
      </c>
      <c r="C137" s="52" t="s">
        <v>458</v>
      </c>
      <c r="D137" s="9" t="s">
        <v>530</v>
      </c>
      <c r="E137" s="9" t="s">
        <v>976</v>
      </c>
      <c r="F137" s="9"/>
      <c r="G137" s="9"/>
      <c r="H137" s="9"/>
      <c r="I137" s="9"/>
    </row>
    <row r="138" spans="2:9">
      <c r="B138" s="278" t="s">
        <v>692</v>
      </c>
      <c r="C138" s="52" t="s">
        <v>1182</v>
      </c>
      <c r="D138" s="9" t="s">
        <v>1196</v>
      </c>
      <c r="E138" s="9" t="s">
        <v>976</v>
      </c>
      <c r="F138" s="9"/>
      <c r="G138" s="9"/>
      <c r="H138" s="9"/>
      <c r="I138" s="9"/>
    </row>
    <row r="139" spans="2:9">
      <c r="B139" s="278" t="s">
        <v>692</v>
      </c>
      <c r="C139" s="52" t="s">
        <v>1183</v>
      </c>
      <c r="D139" s="9" t="s">
        <v>1197</v>
      </c>
      <c r="E139" s="9" t="s">
        <v>976</v>
      </c>
      <c r="F139" s="9"/>
      <c r="G139" s="9"/>
      <c r="H139" s="9"/>
      <c r="I139" s="9"/>
    </row>
    <row r="140" spans="2:9">
      <c r="B140" s="278" t="s">
        <v>692</v>
      </c>
      <c r="C140" s="52" t="s">
        <v>454</v>
      </c>
      <c r="D140" s="9" t="s">
        <v>531</v>
      </c>
      <c r="E140" s="9" t="s">
        <v>976</v>
      </c>
      <c r="F140" s="9"/>
      <c r="G140" s="9"/>
      <c r="H140" s="9"/>
      <c r="I140" s="9"/>
    </row>
    <row r="141" spans="2:9">
      <c r="B141" s="278" t="s">
        <v>692</v>
      </c>
      <c r="C141" s="52" t="s">
        <v>455</v>
      </c>
      <c r="D141" s="9" t="s">
        <v>532</v>
      </c>
      <c r="E141" s="9" t="s">
        <v>976</v>
      </c>
      <c r="F141" s="9"/>
      <c r="G141" s="9"/>
      <c r="H141" s="9"/>
      <c r="I141" s="9"/>
    </row>
    <row r="142" spans="2:9">
      <c r="B142" s="278" t="s">
        <v>692</v>
      </c>
      <c r="C142" s="52" t="s">
        <v>1387</v>
      </c>
      <c r="D142" s="9" t="s">
        <v>1396</v>
      </c>
      <c r="E142" s="9" t="s">
        <v>976</v>
      </c>
      <c r="F142" s="9"/>
      <c r="G142" s="9"/>
      <c r="H142" s="9"/>
      <c r="I142" s="9"/>
    </row>
    <row r="143" spans="2:9">
      <c r="B143" s="278" t="s">
        <v>692</v>
      </c>
      <c r="C143" s="9" t="s">
        <v>960</v>
      </c>
      <c r="D143" s="9" t="s">
        <v>337</v>
      </c>
      <c r="E143" s="9" t="s">
        <v>783</v>
      </c>
      <c r="F143" s="9"/>
      <c r="G143" s="9" t="s">
        <v>896</v>
      </c>
      <c r="H143" s="9"/>
      <c r="I143" s="9"/>
    </row>
    <row r="144" spans="2:9">
      <c r="B144" s="278" t="s">
        <v>692</v>
      </c>
      <c r="C144" s="9" t="s">
        <v>112</v>
      </c>
      <c r="D144" s="9" t="s">
        <v>697</v>
      </c>
      <c r="E144" s="9" t="s">
        <v>976</v>
      </c>
      <c r="F144" s="304" t="s">
        <v>725</v>
      </c>
      <c r="G144" s="9" t="s">
        <v>896</v>
      </c>
      <c r="H144" s="9"/>
      <c r="I144" s="9"/>
    </row>
    <row r="145" spans="2:9">
      <c r="B145" s="278" t="s">
        <v>692</v>
      </c>
      <c r="C145" s="9" t="s">
        <v>459</v>
      </c>
      <c r="D145" s="9" t="s">
        <v>533</v>
      </c>
      <c r="E145" s="9" t="s">
        <v>976</v>
      </c>
      <c r="F145" s="9"/>
      <c r="G145" s="9" t="s">
        <v>896</v>
      </c>
      <c r="H145" s="9"/>
      <c r="I145" s="9"/>
    </row>
    <row r="146" spans="2:9">
      <c r="B146" s="278" t="s">
        <v>692</v>
      </c>
      <c r="C146" s="52" t="s">
        <v>1343</v>
      </c>
      <c r="D146" s="9" t="s">
        <v>1345</v>
      </c>
      <c r="E146" s="9" t="s">
        <v>783</v>
      </c>
      <c r="F146" s="9"/>
      <c r="G146" s="9" t="s">
        <v>896</v>
      </c>
      <c r="H146" s="9"/>
      <c r="I146" s="9"/>
    </row>
    <row r="147" spans="2:9">
      <c r="B147" s="278" t="s">
        <v>692</v>
      </c>
      <c r="C147" s="9" t="s">
        <v>463</v>
      </c>
      <c r="D147" s="9" t="s">
        <v>534</v>
      </c>
      <c r="E147" s="9" t="s">
        <v>976</v>
      </c>
      <c r="F147" s="304" t="s">
        <v>725</v>
      </c>
      <c r="G147" s="9" t="s">
        <v>896</v>
      </c>
      <c r="H147" s="9"/>
      <c r="I147" s="9"/>
    </row>
    <row r="148" spans="2:9">
      <c r="B148" s="278" t="s">
        <v>692</v>
      </c>
      <c r="C148" s="9" t="s">
        <v>335</v>
      </c>
      <c r="D148" s="9" t="s">
        <v>336</v>
      </c>
      <c r="E148" s="9" t="s">
        <v>976</v>
      </c>
      <c r="F148" s="304" t="s">
        <v>725</v>
      </c>
      <c r="G148" s="9" t="s">
        <v>896</v>
      </c>
      <c r="H148" s="9"/>
      <c r="I148" s="9"/>
    </row>
    <row r="149" spans="2:9">
      <c r="B149" s="278" t="s">
        <v>692</v>
      </c>
      <c r="C149" s="9" t="s">
        <v>395</v>
      </c>
      <c r="D149" s="9" t="s">
        <v>396</v>
      </c>
      <c r="E149" s="9" t="s">
        <v>976</v>
      </c>
      <c r="F149" s="304" t="s">
        <v>147</v>
      </c>
      <c r="G149" s="9" t="s">
        <v>896</v>
      </c>
      <c r="H149" s="9"/>
      <c r="I149" s="9"/>
    </row>
    <row r="150" spans="2:9">
      <c r="B150" s="278" t="s">
        <v>692</v>
      </c>
      <c r="C150" s="52" t="s">
        <v>1283</v>
      </c>
      <c r="D150" s="9" t="s">
        <v>1284</v>
      </c>
      <c r="E150" s="9" t="s">
        <v>976</v>
      </c>
      <c r="F150" s="304" t="s">
        <v>725</v>
      </c>
      <c r="G150" s="9" t="s">
        <v>896</v>
      </c>
      <c r="H150" s="9"/>
      <c r="I150" s="9"/>
    </row>
    <row r="151" spans="2:9">
      <c r="B151" s="278" t="s">
        <v>692</v>
      </c>
      <c r="C151" s="52" t="s">
        <v>1515</v>
      </c>
      <c r="D151" s="9" t="s">
        <v>1516</v>
      </c>
      <c r="E151" s="9" t="s">
        <v>976</v>
      </c>
      <c r="F151" s="304" t="s">
        <v>1236</v>
      </c>
      <c r="G151" s="9" t="s">
        <v>896</v>
      </c>
      <c r="H151" s="9"/>
      <c r="I151" s="9"/>
    </row>
    <row r="152" spans="2:9">
      <c r="B152" s="278" t="s">
        <v>692</v>
      </c>
      <c r="C152" s="52" t="s">
        <v>1521</v>
      </c>
      <c r="D152" s="9" t="s">
        <v>1522</v>
      </c>
      <c r="E152" s="9" t="s">
        <v>976</v>
      </c>
      <c r="F152" s="304"/>
      <c r="G152" s="9" t="s">
        <v>896</v>
      </c>
      <c r="H152" s="9"/>
      <c r="I152" s="9"/>
    </row>
    <row r="153" spans="2:9">
      <c r="B153" s="278" t="s">
        <v>86</v>
      </c>
      <c r="C153" s="9" t="s">
        <v>1174</v>
      </c>
      <c r="D153" s="9" t="s">
        <v>1198</v>
      </c>
      <c r="E153" s="9" t="s">
        <v>976</v>
      </c>
      <c r="F153" s="304" t="s">
        <v>725</v>
      </c>
      <c r="G153" s="9" t="s">
        <v>896</v>
      </c>
      <c r="H153" s="9"/>
      <c r="I153" s="9"/>
    </row>
    <row r="154" spans="2:9">
      <c r="B154" s="278" t="s">
        <v>86</v>
      </c>
      <c r="C154" s="9" t="s">
        <v>1177</v>
      </c>
      <c r="D154" s="9" t="s">
        <v>1199</v>
      </c>
      <c r="E154" s="9" t="s">
        <v>976</v>
      </c>
      <c r="F154" s="304" t="s">
        <v>725</v>
      </c>
      <c r="G154" s="9" t="s">
        <v>896</v>
      </c>
      <c r="H154" s="9"/>
      <c r="I154" s="9"/>
    </row>
    <row r="155" spans="2:9">
      <c r="B155" s="278" t="s">
        <v>86</v>
      </c>
      <c r="C155" s="9" t="s">
        <v>1181</v>
      </c>
      <c r="D155" s="9" t="s">
        <v>1202</v>
      </c>
      <c r="E155" s="9" t="s">
        <v>976</v>
      </c>
      <c r="F155" s="304" t="s">
        <v>725</v>
      </c>
      <c r="G155" s="9" t="s">
        <v>896</v>
      </c>
      <c r="H155" s="9"/>
      <c r="I155" s="9"/>
    </row>
    <row r="156" spans="2:9">
      <c r="B156" s="278" t="s">
        <v>86</v>
      </c>
      <c r="C156" s="9" t="s">
        <v>1175</v>
      </c>
      <c r="D156" s="9" t="s">
        <v>1200</v>
      </c>
      <c r="E156" s="9" t="s">
        <v>976</v>
      </c>
      <c r="F156" s="304" t="s">
        <v>725</v>
      </c>
      <c r="G156" s="9" t="s">
        <v>896</v>
      </c>
      <c r="H156" s="9"/>
      <c r="I156" s="9"/>
    </row>
    <row r="157" spans="2:9">
      <c r="B157" s="278" t="s">
        <v>86</v>
      </c>
      <c r="C157" s="9" t="s">
        <v>1176</v>
      </c>
      <c r="D157" s="9" t="s">
        <v>1201</v>
      </c>
      <c r="E157" s="9" t="s">
        <v>976</v>
      </c>
      <c r="F157" s="304" t="s">
        <v>725</v>
      </c>
      <c r="G157" s="9" t="s">
        <v>896</v>
      </c>
      <c r="H157" s="9"/>
      <c r="I157" s="9"/>
    </row>
    <row r="158" spans="2:9">
      <c r="B158" s="278" t="s">
        <v>86</v>
      </c>
      <c r="C158" s="9" t="s">
        <v>1178</v>
      </c>
      <c r="D158" s="9" t="s">
        <v>1203</v>
      </c>
      <c r="E158" s="9" t="s">
        <v>976</v>
      </c>
      <c r="F158" s="304" t="s">
        <v>725</v>
      </c>
      <c r="G158" s="9" t="s">
        <v>896</v>
      </c>
      <c r="H158" s="9"/>
      <c r="I158" s="9"/>
    </row>
    <row r="159" spans="2:9">
      <c r="B159" s="278" t="s">
        <v>86</v>
      </c>
      <c r="C159" s="9" t="s">
        <v>1179</v>
      </c>
      <c r="D159" s="9" t="s">
        <v>1205</v>
      </c>
      <c r="E159" s="9" t="s">
        <v>976</v>
      </c>
      <c r="F159" s="304" t="s">
        <v>725</v>
      </c>
      <c r="G159" s="9" t="s">
        <v>896</v>
      </c>
      <c r="H159" s="9"/>
      <c r="I159" s="9"/>
    </row>
    <row r="160" spans="2:9">
      <c r="B160" s="278" t="s">
        <v>86</v>
      </c>
      <c r="C160" s="9" t="s">
        <v>1180</v>
      </c>
      <c r="D160" s="9" t="s">
        <v>1204</v>
      </c>
      <c r="E160" s="9" t="s">
        <v>976</v>
      </c>
      <c r="F160" s="304" t="s">
        <v>725</v>
      </c>
      <c r="G160" s="9" t="s">
        <v>896</v>
      </c>
      <c r="H160" s="9"/>
      <c r="I160" s="9"/>
    </row>
    <row r="161" spans="2:9">
      <c r="B161" s="278" t="s">
        <v>86</v>
      </c>
      <c r="C161" s="52" t="s">
        <v>17</v>
      </c>
      <c r="D161" s="9" t="s">
        <v>18</v>
      </c>
      <c r="E161" s="9" t="s">
        <v>783</v>
      </c>
      <c r="F161" s="9"/>
      <c r="G161" s="9"/>
      <c r="H161" s="9"/>
      <c r="I161" s="9"/>
    </row>
    <row r="162" spans="2:9">
      <c r="B162" s="278" t="s">
        <v>86</v>
      </c>
      <c r="C162" s="9" t="s">
        <v>1224</v>
      </c>
      <c r="D162" s="9" t="s">
        <v>1235</v>
      </c>
      <c r="E162" s="9" t="s">
        <v>976</v>
      </c>
      <c r="F162" s="304" t="s">
        <v>1236</v>
      </c>
      <c r="G162" s="9"/>
      <c r="H162" s="9"/>
      <c r="I162" s="9"/>
    </row>
    <row r="163" spans="2:9">
      <c r="B163" s="278" t="s">
        <v>86</v>
      </c>
      <c r="C163" s="9" t="s">
        <v>1328</v>
      </c>
      <c r="D163" s="9" t="s">
        <v>1330</v>
      </c>
      <c r="E163" s="9" t="s">
        <v>783</v>
      </c>
      <c r="F163" s="304" t="s">
        <v>147</v>
      </c>
      <c r="G163" s="9"/>
      <c r="H163" s="9"/>
      <c r="I163" s="9"/>
    </row>
    <row r="164" spans="2:9">
      <c r="B164" s="278" t="s">
        <v>86</v>
      </c>
      <c r="C164" s="9" t="s">
        <v>1327</v>
      </c>
      <c r="D164" s="9" t="s">
        <v>1331</v>
      </c>
      <c r="E164" s="9" t="s">
        <v>783</v>
      </c>
      <c r="F164" s="304" t="s">
        <v>147</v>
      </c>
      <c r="G164" s="9"/>
      <c r="H164" s="9"/>
      <c r="I164" s="9"/>
    </row>
    <row r="165" spans="2:9">
      <c r="B165" s="540" t="s">
        <v>775</v>
      </c>
      <c r="C165" s="429" t="s">
        <v>320</v>
      </c>
      <c r="D165" s="429" t="s">
        <v>869</v>
      </c>
      <c r="E165" s="429" t="s">
        <v>871</v>
      </c>
      <c r="F165" s="429"/>
      <c r="G165" s="429"/>
      <c r="H165" s="429"/>
      <c r="I165" s="429"/>
    </row>
    <row r="166" spans="2:9">
      <c r="B166" s="540" t="s">
        <v>775</v>
      </c>
      <c r="C166" s="429" t="s">
        <v>319</v>
      </c>
      <c r="D166" s="429" t="s">
        <v>868</v>
      </c>
      <c r="E166" s="429" t="s">
        <v>1373</v>
      </c>
      <c r="F166" s="429"/>
      <c r="G166" s="429"/>
      <c r="H166" s="429"/>
      <c r="I166" s="429"/>
    </row>
    <row r="167" spans="2:9">
      <c r="B167" s="540" t="s">
        <v>775</v>
      </c>
      <c r="C167" s="429" t="s">
        <v>372</v>
      </c>
      <c r="D167" s="429" t="s">
        <v>868</v>
      </c>
      <c r="E167" s="429" t="s">
        <v>1373</v>
      </c>
      <c r="F167" s="429"/>
      <c r="G167" s="429"/>
      <c r="H167" s="429"/>
      <c r="I167" s="429"/>
    </row>
    <row r="168" spans="2:9">
      <c r="B168" s="540" t="s">
        <v>775</v>
      </c>
      <c r="C168" s="429" t="s">
        <v>321</v>
      </c>
      <c r="D168" s="429" t="s">
        <v>870</v>
      </c>
      <c r="E168" s="429" t="s">
        <v>871</v>
      </c>
      <c r="F168" s="429"/>
      <c r="G168" s="429"/>
      <c r="H168" s="429"/>
      <c r="I168" s="429"/>
    </row>
    <row r="169" spans="2:9">
      <c r="B169" s="540" t="s">
        <v>775</v>
      </c>
      <c r="C169" s="429" t="s">
        <v>196</v>
      </c>
      <c r="D169" s="429" t="s">
        <v>195</v>
      </c>
      <c r="E169" s="429" t="s">
        <v>1373</v>
      </c>
      <c r="F169" s="429"/>
      <c r="G169" s="429"/>
      <c r="H169" s="429"/>
      <c r="I169" s="429"/>
    </row>
    <row r="170" spans="2:9">
      <c r="B170" s="549" t="s">
        <v>775</v>
      </c>
      <c r="C170" s="547" t="s">
        <v>443</v>
      </c>
      <c r="D170" s="476" t="s">
        <v>445</v>
      </c>
      <c r="E170" s="476" t="s">
        <v>783</v>
      </c>
      <c r="F170" s="550" t="s">
        <v>725</v>
      </c>
      <c r="G170" s="476" t="s">
        <v>896</v>
      </c>
      <c r="H170" s="476"/>
      <c r="I170" s="476"/>
    </row>
    <row r="171" spans="2:9">
      <c r="B171" s="549" t="s">
        <v>775</v>
      </c>
      <c r="C171" s="476" t="s">
        <v>1363</v>
      </c>
      <c r="D171" s="476" t="s">
        <v>1364</v>
      </c>
      <c r="E171" s="476" t="s">
        <v>783</v>
      </c>
      <c r="F171" s="476"/>
      <c r="G171" s="476"/>
      <c r="H171" s="476"/>
      <c r="I171" s="476"/>
    </row>
  </sheetData>
  <phoneticPr fontId="25" type="noConversion"/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N249"/>
  <sheetViews>
    <sheetView topLeftCell="A188" zoomScale="85" workbookViewId="0">
      <selection activeCell="J20" sqref="J20"/>
    </sheetView>
  </sheetViews>
  <sheetFormatPr defaultColWidth="11.42578125" defaultRowHeight="12.75"/>
  <cols>
    <col min="1" max="1" width="11.42578125" customWidth="1"/>
    <col min="2" max="2" width="8.7109375" customWidth="1"/>
    <col min="3" max="3" width="12.7109375" customWidth="1"/>
    <col min="4" max="4" width="40.7109375" customWidth="1"/>
  </cols>
  <sheetData>
    <row r="3" spans="2:14">
      <c r="B3" s="216" t="s">
        <v>1015</v>
      </c>
    </row>
    <row r="4" spans="2:14">
      <c r="B4" s="375" t="s">
        <v>867</v>
      </c>
      <c r="C4" s="376" t="s">
        <v>649</v>
      </c>
      <c r="D4" s="376" t="s">
        <v>650</v>
      </c>
      <c r="E4" s="376" t="s">
        <v>1016</v>
      </c>
      <c r="F4" s="376" t="s">
        <v>1017</v>
      </c>
      <c r="G4" s="376" t="s">
        <v>1018</v>
      </c>
      <c r="H4" s="376" t="s">
        <v>1019</v>
      </c>
      <c r="I4" s="377" t="s">
        <v>1020</v>
      </c>
    </row>
    <row r="5" spans="2:14">
      <c r="B5" s="105" t="s">
        <v>1420</v>
      </c>
      <c r="C5" s="105" t="s">
        <v>1424</v>
      </c>
      <c r="D5" s="105" t="s">
        <v>1153</v>
      </c>
      <c r="E5" s="105" t="s">
        <v>783</v>
      </c>
      <c r="F5" s="105" t="s">
        <v>1023</v>
      </c>
      <c r="G5" s="105"/>
      <c r="H5" s="105"/>
      <c r="I5" s="105" t="s">
        <v>1022</v>
      </c>
      <c r="L5">
        <f ca="1">COUNTIF(OFFSET(IND_Fuels!$B$5,1,0,200),Processes!K5)</f>
        <v>0</v>
      </c>
      <c r="M5" t="s">
        <v>1151</v>
      </c>
      <c r="N5" t="s">
        <v>1424</v>
      </c>
    </row>
    <row r="6" spans="2:14">
      <c r="B6" s="105" t="s">
        <v>1420</v>
      </c>
      <c r="C6" s="105" t="s">
        <v>1399</v>
      </c>
      <c r="D6" s="105" t="s">
        <v>1242</v>
      </c>
      <c r="E6" s="105" t="s">
        <v>783</v>
      </c>
      <c r="F6" s="105" t="s">
        <v>1023</v>
      </c>
      <c r="G6" s="105"/>
      <c r="H6" s="105"/>
      <c r="I6" s="105" t="s">
        <v>1022</v>
      </c>
      <c r="L6">
        <f ca="1">COUNTIF(OFFSET(IND_Fuels!$B$5,1,0,200),Processes!K6)</f>
        <v>0</v>
      </c>
      <c r="M6" t="s">
        <v>1241</v>
      </c>
      <c r="N6" t="s">
        <v>1399</v>
      </c>
    </row>
    <row r="7" spans="2:14">
      <c r="B7" s="105" t="s">
        <v>1420</v>
      </c>
      <c r="C7" s="105" t="s">
        <v>1425</v>
      </c>
      <c r="D7" s="105" t="s">
        <v>123</v>
      </c>
      <c r="E7" s="105" t="s">
        <v>783</v>
      </c>
      <c r="F7" s="105" t="s">
        <v>1023</v>
      </c>
      <c r="G7" s="105"/>
      <c r="H7" s="105"/>
      <c r="I7" s="105" t="s">
        <v>1022</v>
      </c>
      <c r="L7">
        <f ca="1">COUNTIF(OFFSET(IND_Fuels!$B$5,1,0,200),Processes!K7)</f>
        <v>0</v>
      </c>
      <c r="M7" t="s">
        <v>131</v>
      </c>
      <c r="N7" t="s">
        <v>1425</v>
      </c>
    </row>
    <row r="8" spans="2:14">
      <c r="B8" s="105" t="s">
        <v>1420</v>
      </c>
      <c r="C8" s="105" t="s">
        <v>1403</v>
      </c>
      <c r="D8" s="105" t="s">
        <v>188</v>
      </c>
      <c r="E8" s="105" t="s">
        <v>783</v>
      </c>
      <c r="F8" s="105" t="s">
        <v>1023</v>
      </c>
      <c r="G8" s="105"/>
      <c r="H8" s="105"/>
      <c r="I8" s="105" t="s">
        <v>1022</v>
      </c>
      <c r="L8">
        <f ca="1">COUNTIF(OFFSET(IND_Fuels!$B$5,1,0,200),Processes!K8)</f>
        <v>0</v>
      </c>
      <c r="M8" t="s">
        <v>211</v>
      </c>
      <c r="N8" t="s">
        <v>1403</v>
      </c>
    </row>
    <row r="9" spans="2:14">
      <c r="B9" s="105" t="s">
        <v>1420</v>
      </c>
      <c r="C9" s="105" t="s">
        <v>1406</v>
      </c>
      <c r="D9" s="105" t="s">
        <v>1290</v>
      </c>
      <c r="E9" s="105" t="s">
        <v>783</v>
      </c>
      <c r="F9" s="105" t="s">
        <v>1023</v>
      </c>
      <c r="G9" s="105"/>
      <c r="H9" s="105"/>
      <c r="I9" s="105" t="s">
        <v>1022</v>
      </c>
      <c r="L9">
        <f ca="1">COUNTIF(OFFSET(IND_Fuels!$B$5,1,0,200),Processes!K9)</f>
        <v>0</v>
      </c>
      <c r="M9" t="s">
        <v>1294</v>
      </c>
      <c r="N9" t="s">
        <v>1406</v>
      </c>
    </row>
    <row r="10" spans="2:14">
      <c r="B10" s="105" t="s">
        <v>1420</v>
      </c>
      <c r="C10" s="105" t="s">
        <v>1426</v>
      </c>
      <c r="D10" s="105" t="s">
        <v>670</v>
      </c>
      <c r="E10" s="105" t="s">
        <v>783</v>
      </c>
      <c r="F10" s="105" t="s">
        <v>1023</v>
      </c>
      <c r="G10" s="105"/>
      <c r="H10" s="105"/>
      <c r="I10" s="105" t="s">
        <v>1022</v>
      </c>
      <c r="L10">
        <f ca="1">COUNTIF(OFFSET(IND_Fuels!$B$5,1,0,200),Processes!K10)</f>
        <v>0</v>
      </c>
      <c r="M10" t="s">
        <v>137</v>
      </c>
      <c r="N10" t="s">
        <v>1426</v>
      </c>
    </row>
    <row r="11" spans="2:14">
      <c r="B11" s="105" t="s">
        <v>1420</v>
      </c>
      <c r="C11" s="105" t="s">
        <v>1410</v>
      </c>
      <c r="D11" s="105" t="s">
        <v>301</v>
      </c>
      <c r="E11" s="105" t="s">
        <v>783</v>
      </c>
      <c r="F11" s="105" t="s">
        <v>1023</v>
      </c>
      <c r="G11" s="105"/>
      <c r="H11" s="105"/>
      <c r="I11" s="105" t="s">
        <v>1022</v>
      </c>
      <c r="L11">
        <f ca="1">COUNTIF(OFFSET(IND_Fuels!$B$5,1,0,200),Processes!K11)</f>
        <v>0</v>
      </c>
      <c r="M11" t="s">
        <v>300</v>
      </c>
      <c r="N11" t="s">
        <v>1410</v>
      </c>
    </row>
    <row r="12" spans="2:14">
      <c r="B12" s="105" t="s">
        <v>1420</v>
      </c>
      <c r="C12" s="105" t="s">
        <v>1454</v>
      </c>
      <c r="D12" s="105" t="s">
        <v>1453</v>
      </c>
      <c r="E12" s="105" t="s">
        <v>783</v>
      </c>
      <c r="F12" s="105" t="s">
        <v>1023</v>
      </c>
      <c r="G12" s="105"/>
      <c r="H12" s="105"/>
      <c r="I12" s="105" t="s">
        <v>1022</v>
      </c>
    </row>
    <row r="13" spans="2:14">
      <c r="B13" s="105" t="s">
        <v>1420</v>
      </c>
      <c r="C13" s="105" t="s">
        <v>1427</v>
      </c>
      <c r="D13" s="105" t="s">
        <v>657</v>
      </c>
      <c r="E13" s="105" t="s">
        <v>783</v>
      </c>
      <c r="F13" s="105" t="s">
        <v>1023</v>
      </c>
      <c r="G13" s="105"/>
      <c r="H13" s="105"/>
      <c r="I13" s="105" t="s">
        <v>1022</v>
      </c>
      <c r="L13">
        <f ca="1">COUNTIF(OFFSET(IND_Fuels!$B$5,1,0,200),Processes!K13)</f>
        <v>0</v>
      </c>
      <c r="M13" t="s">
        <v>660</v>
      </c>
      <c r="N13" t="s">
        <v>1427</v>
      </c>
    </row>
    <row r="14" spans="2:14">
      <c r="B14" s="105" t="s">
        <v>1420</v>
      </c>
      <c r="C14" s="105" t="s">
        <v>1412</v>
      </c>
      <c r="D14" s="105" t="s">
        <v>1233</v>
      </c>
      <c r="E14" s="105" t="s">
        <v>783</v>
      </c>
      <c r="F14" s="105" t="s">
        <v>1023</v>
      </c>
      <c r="G14" s="105"/>
      <c r="H14" s="105"/>
      <c r="I14" s="105" t="s">
        <v>1022</v>
      </c>
      <c r="L14">
        <f ca="1">COUNTIF(OFFSET(IND_Fuels!$B$5,1,0,200),Processes!K14)</f>
        <v>0</v>
      </c>
      <c r="M14" t="s">
        <v>1232</v>
      </c>
      <c r="N14" t="s">
        <v>1412</v>
      </c>
    </row>
    <row r="15" spans="2:14">
      <c r="B15" s="105" t="s">
        <v>1420</v>
      </c>
      <c r="C15" s="105" t="s">
        <v>1428</v>
      </c>
      <c r="D15" s="105" t="s">
        <v>104</v>
      </c>
      <c r="E15" s="105" t="s">
        <v>783</v>
      </c>
      <c r="F15" s="105" t="s">
        <v>1023</v>
      </c>
      <c r="G15" s="105"/>
      <c r="H15" s="105"/>
      <c r="I15" s="105" t="s">
        <v>1022</v>
      </c>
      <c r="L15">
        <f ca="1">COUNTIF(OFFSET(IND_Fuels!$B$5,1,0,200),Processes!K15)</f>
        <v>0</v>
      </c>
      <c r="M15" t="s">
        <v>128</v>
      </c>
      <c r="N15" t="s">
        <v>1428</v>
      </c>
    </row>
    <row r="16" spans="2:14">
      <c r="B16" s="105" t="s">
        <v>1420</v>
      </c>
      <c r="C16" s="105" t="s">
        <v>1400</v>
      </c>
      <c r="D16" s="105" t="s">
        <v>206</v>
      </c>
      <c r="E16" s="105" t="s">
        <v>783</v>
      </c>
      <c r="F16" s="105" t="s">
        <v>1023</v>
      </c>
      <c r="G16" s="105"/>
      <c r="H16" s="105"/>
      <c r="I16" s="105" t="s">
        <v>1022</v>
      </c>
      <c r="L16">
        <f ca="1">COUNTIF(OFFSET(IND_Fuels!$B$5,1,0,200),Processes!K16)</f>
        <v>0</v>
      </c>
      <c r="M16" t="s">
        <v>205</v>
      </c>
      <c r="N16" t="s">
        <v>1400</v>
      </c>
    </row>
    <row r="17" spans="2:14">
      <c r="B17" s="105" t="s">
        <v>1420</v>
      </c>
      <c r="C17" s="105" t="s">
        <v>1429</v>
      </c>
      <c r="D17" s="105" t="s">
        <v>121</v>
      </c>
      <c r="E17" s="105" t="s">
        <v>783</v>
      </c>
      <c r="F17" s="105" t="s">
        <v>1023</v>
      </c>
      <c r="G17" s="105"/>
      <c r="H17" s="105"/>
      <c r="I17" s="105" t="s">
        <v>1022</v>
      </c>
      <c r="L17">
        <f ca="1">COUNTIF(OFFSET(IND_Fuels!$B$5,1,0,200),Processes!K17)</f>
        <v>0</v>
      </c>
      <c r="M17" t="s">
        <v>130</v>
      </c>
      <c r="N17" t="s">
        <v>1429</v>
      </c>
    </row>
    <row r="18" spans="2:14">
      <c r="B18" s="105" t="s">
        <v>1420</v>
      </c>
      <c r="C18" s="105" t="s">
        <v>1402</v>
      </c>
      <c r="D18" s="105" t="s">
        <v>210</v>
      </c>
      <c r="E18" s="105" t="s">
        <v>783</v>
      </c>
      <c r="F18" s="105" t="s">
        <v>1023</v>
      </c>
      <c r="G18" s="105"/>
      <c r="H18" s="105"/>
      <c r="I18" s="105" t="s">
        <v>1022</v>
      </c>
      <c r="L18">
        <f ca="1">COUNTIF(OFFSET(IND_Fuels!$B$5,1,0,200),Processes!K18)</f>
        <v>0</v>
      </c>
      <c r="M18" t="s">
        <v>209</v>
      </c>
      <c r="N18" t="s">
        <v>1402</v>
      </c>
    </row>
    <row r="19" spans="2:14">
      <c r="B19" s="105" t="s">
        <v>1420</v>
      </c>
      <c r="C19" s="105" t="s">
        <v>1430</v>
      </c>
      <c r="D19" s="105" t="s">
        <v>119</v>
      </c>
      <c r="E19" s="105" t="s">
        <v>783</v>
      </c>
      <c r="F19" s="105" t="s">
        <v>1023</v>
      </c>
      <c r="G19" s="105"/>
      <c r="H19" s="105"/>
      <c r="I19" s="105" t="s">
        <v>1022</v>
      </c>
      <c r="L19">
        <f ca="1">COUNTIF(OFFSET(IND_Fuels!$B$5,1,0,200),Processes!K19)</f>
        <v>0</v>
      </c>
      <c r="M19" t="s">
        <v>129</v>
      </c>
      <c r="N19" t="s">
        <v>1430</v>
      </c>
    </row>
    <row r="20" spans="2:14">
      <c r="B20" s="105" t="s">
        <v>1420</v>
      </c>
      <c r="C20" s="105" t="s">
        <v>1401</v>
      </c>
      <c r="D20" s="105" t="s">
        <v>208</v>
      </c>
      <c r="E20" s="105" t="s">
        <v>783</v>
      </c>
      <c r="F20" s="105" t="s">
        <v>1023</v>
      </c>
      <c r="G20" s="105"/>
      <c r="H20" s="105"/>
      <c r="I20" s="105" t="s">
        <v>1022</v>
      </c>
      <c r="L20">
        <f ca="1">COUNTIF(OFFSET(IND_Fuels!$B$5,1,0,200),Processes!K20)</f>
        <v>0</v>
      </c>
      <c r="M20" t="s">
        <v>207</v>
      </c>
      <c r="N20" t="s">
        <v>1401</v>
      </c>
    </row>
    <row r="21" spans="2:14">
      <c r="B21" s="105" t="s">
        <v>1420</v>
      </c>
      <c r="C21" s="105" t="s">
        <v>1431</v>
      </c>
      <c r="D21" s="105" t="s">
        <v>664</v>
      </c>
      <c r="E21" s="105" t="s">
        <v>783</v>
      </c>
      <c r="F21" s="105" t="s">
        <v>1023</v>
      </c>
      <c r="G21" s="105"/>
      <c r="H21" s="105"/>
      <c r="I21" s="105" t="s">
        <v>1022</v>
      </c>
      <c r="L21">
        <f ca="1">COUNTIF(OFFSET(IND_Fuels!$B$5,1,0,200),Processes!K21)</f>
        <v>0</v>
      </c>
      <c r="M21" t="s">
        <v>134</v>
      </c>
      <c r="N21" t="s">
        <v>1431</v>
      </c>
    </row>
    <row r="22" spans="2:14">
      <c r="B22" s="105" t="s">
        <v>1420</v>
      </c>
      <c r="C22" s="105" t="s">
        <v>1407</v>
      </c>
      <c r="D22" s="105" t="s">
        <v>297</v>
      </c>
      <c r="E22" s="105" t="s">
        <v>783</v>
      </c>
      <c r="F22" s="105" t="s">
        <v>1023</v>
      </c>
      <c r="G22" s="105"/>
      <c r="H22" s="105"/>
      <c r="I22" s="105" t="s">
        <v>1022</v>
      </c>
      <c r="L22">
        <f ca="1">COUNTIF(OFFSET(IND_Fuels!$B$5,1,0,200),Processes!K22)</f>
        <v>0</v>
      </c>
      <c r="M22" t="s">
        <v>296</v>
      </c>
      <c r="N22" t="s">
        <v>1407</v>
      </c>
    </row>
    <row r="23" spans="2:14">
      <c r="B23" s="105" t="s">
        <v>1420</v>
      </c>
      <c r="C23" s="105" t="s">
        <v>1432</v>
      </c>
      <c r="D23" s="105" t="s">
        <v>672</v>
      </c>
      <c r="E23" s="105" t="s">
        <v>783</v>
      </c>
      <c r="F23" s="105" t="s">
        <v>1023</v>
      </c>
      <c r="G23" s="105"/>
      <c r="H23" s="105"/>
      <c r="I23" s="105" t="s">
        <v>1022</v>
      </c>
      <c r="L23">
        <f ca="1">COUNTIF(OFFSET(IND_Fuels!$B$5,1,0,200),Processes!K23)</f>
        <v>0</v>
      </c>
      <c r="M23" t="s">
        <v>1070</v>
      </c>
      <c r="N23" t="s">
        <v>1432</v>
      </c>
    </row>
    <row r="24" spans="2:14">
      <c r="B24" s="105" t="s">
        <v>1420</v>
      </c>
      <c r="C24" s="105" t="s">
        <v>1411</v>
      </c>
      <c r="D24" s="105" t="s">
        <v>303</v>
      </c>
      <c r="E24" s="105" t="s">
        <v>783</v>
      </c>
      <c r="F24" s="105" t="s">
        <v>1023</v>
      </c>
      <c r="G24" s="105"/>
      <c r="H24" s="105"/>
      <c r="I24" s="105" t="s">
        <v>1022</v>
      </c>
      <c r="L24">
        <f ca="1">COUNTIF(OFFSET(IND_Fuels!$B$5,1,0,200),Processes!K24)</f>
        <v>0</v>
      </c>
      <c r="M24" t="s">
        <v>302</v>
      </c>
      <c r="N24" t="s">
        <v>1411</v>
      </c>
    </row>
    <row r="25" spans="2:14">
      <c r="B25" s="105" t="s">
        <v>1420</v>
      </c>
      <c r="C25" s="105" t="s">
        <v>1433</v>
      </c>
      <c r="D25" s="105" t="s">
        <v>140</v>
      </c>
      <c r="E25" s="105" t="s">
        <v>783</v>
      </c>
      <c r="F25" s="105" t="s">
        <v>1023</v>
      </c>
      <c r="G25" s="105"/>
      <c r="H25" s="105"/>
      <c r="I25" s="105" t="s">
        <v>1022</v>
      </c>
      <c r="L25">
        <f ca="1">COUNTIF(OFFSET(IND_Fuels!$B$5,1,0,200),Processes!K25)</f>
        <v>0</v>
      </c>
      <c r="M25" t="s">
        <v>132</v>
      </c>
      <c r="N25" t="s">
        <v>1433</v>
      </c>
    </row>
    <row r="26" spans="2:14">
      <c r="B26" s="105" t="s">
        <v>1420</v>
      </c>
      <c r="C26" s="105" t="s">
        <v>1404</v>
      </c>
      <c r="D26" s="105" t="s">
        <v>293</v>
      </c>
      <c r="E26" s="105" t="s">
        <v>783</v>
      </c>
      <c r="F26" s="105" t="s">
        <v>1023</v>
      </c>
      <c r="G26" s="105"/>
      <c r="H26" s="105"/>
      <c r="I26" s="105" t="s">
        <v>1022</v>
      </c>
      <c r="L26">
        <f ca="1">COUNTIF(OFFSET(IND_Fuels!$B$5,1,0,200),Processes!K26)</f>
        <v>0</v>
      </c>
      <c r="M26" t="s">
        <v>292</v>
      </c>
      <c r="N26" t="s">
        <v>1404</v>
      </c>
    </row>
    <row r="27" spans="2:14">
      <c r="B27" s="105" t="s">
        <v>1420</v>
      </c>
      <c r="C27" s="105" t="s">
        <v>1434</v>
      </c>
      <c r="D27" s="105" t="s">
        <v>100</v>
      </c>
      <c r="E27" s="105" t="s">
        <v>783</v>
      </c>
      <c r="F27" s="105" t="s">
        <v>1023</v>
      </c>
      <c r="G27" s="105"/>
      <c r="H27" s="105"/>
      <c r="I27" s="105" t="s">
        <v>1022</v>
      </c>
      <c r="L27">
        <f ca="1">COUNTIF(OFFSET(IND_Fuels!$B$5,1,0,200),Processes!K27)</f>
        <v>0</v>
      </c>
      <c r="M27" t="s">
        <v>126</v>
      </c>
      <c r="N27" t="s">
        <v>1434</v>
      </c>
    </row>
    <row r="28" spans="2:14">
      <c r="B28" s="105" t="s">
        <v>1420</v>
      </c>
      <c r="C28" s="105" t="s">
        <v>1398</v>
      </c>
      <c r="D28" s="105" t="s">
        <v>204</v>
      </c>
      <c r="E28" s="105" t="s">
        <v>783</v>
      </c>
      <c r="F28" s="105" t="s">
        <v>1023</v>
      </c>
      <c r="G28" s="105"/>
      <c r="H28" s="105"/>
      <c r="I28" s="105" t="s">
        <v>1022</v>
      </c>
      <c r="L28">
        <f ca="1">COUNTIF(OFFSET(IND_Fuels!$B$5,1,0,200),Processes!K28)</f>
        <v>0</v>
      </c>
      <c r="M28" t="s">
        <v>203</v>
      </c>
      <c r="N28" t="s">
        <v>1398</v>
      </c>
    </row>
    <row r="29" spans="2:14">
      <c r="B29" s="105" t="s">
        <v>1420</v>
      </c>
      <c r="C29" s="105" t="s">
        <v>1435</v>
      </c>
      <c r="D29" s="105" t="s">
        <v>666</v>
      </c>
      <c r="E29" s="105" t="s">
        <v>783</v>
      </c>
      <c r="F29" s="105" t="s">
        <v>1023</v>
      </c>
      <c r="G29" s="105"/>
      <c r="H29" s="105"/>
      <c r="I29" s="105" t="s">
        <v>1022</v>
      </c>
      <c r="L29">
        <f ca="1">COUNTIF(OFFSET(IND_Fuels!$B$5,1,0,200),Processes!K29)</f>
        <v>0</v>
      </c>
      <c r="M29" t="s">
        <v>135</v>
      </c>
      <c r="N29" t="s">
        <v>1435</v>
      </c>
    </row>
    <row r="30" spans="2:14">
      <c r="B30" s="105" t="s">
        <v>1420</v>
      </c>
      <c r="C30" s="105" t="s">
        <v>1408</v>
      </c>
      <c r="D30" s="105" t="s">
        <v>299</v>
      </c>
      <c r="E30" s="105" t="s">
        <v>783</v>
      </c>
      <c r="F30" s="105" t="s">
        <v>1023</v>
      </c>
      <c r="G30" s="105"/>
      <c r="H30" s="105"/>
      <c r="I30" s="105" t="s">
        <v>1022</v>
      </c>
      <c r="L30">
        <f ca="1">COUNTIF(OFFSET(IND_Fuels!$B$5,1,0,200),Processes!K30)</f>
        <v>0</v>
      </c>
      <c r="M30" t="s">
        <v>298</v>
      </c>
      <c r="N30" t="s">
        <v>1408</v>
      </c>
    </row>
    <row r="31" spans="2:14">
      <c r="B31" s="105" t="s">
        <v>1420</v>
      </c>
      <c r="C31" s="105" t="s">
        <v>1436</v>
      </c>
      <c r="D31" s="105" t="s">
        <v>98</v>
      </c>
      <c r="E31" s="105" t="s">
        <v>783</v>
      </c>
      <c r="F31" s="105" t="s">
        <v>1023</v>
      </c>
      <c r="G31" s="105"/>
      <c r="H31" s="105"/>
      <c r="I31" s="105" t="s">
        <v>1022</v>
      </c>
      <c r="L31">
        <f ca="1">COUNTIF(OFFSET(IND_Fuels!$B$5,1,0,200),Processes!K31)</f>
        <v>0</v>
      </c>
      <c r="M31" t="s">
        <v>125</v>
      </c>
      <c r="N31" t="s">
        <v>1436</v>
      </c>
    </row>
    <row r="32" spans="2:14">
      <c r="B32" s="105" t="s">
        <v>1420</v>
      </c>
      <c r="C32" s="105" t="s">
        <v>1397</v>
      </c>
      <c r="D32" s="105" t="s">
        <v>202</v>
      </c>
      <c r="E32" s="105" t="s">
        <v>783</v>
      </c>
      <c r="F32" s="105" t="s">
        <v>1023</v>
      </c>
      <c r="G32" s="105"/>
      <c r="H32" s="105"/>
      <c r="I32" s="105" t="s">
        <v>1022</v>
      </c>
      <c r="L32">
        <f ca="1">COUNTIF(OFFSET(IND_Fuels!$B$5,1,0,200),Processes!K32)</f>
        <v>0</v>
      </c>
      <c r="M32" t="s">
        <v>198</v>
      </c>
      <c r="N32" t="s">
        <v>1397</v>
      </c>
    </row>
    <row r="33" spans="2:14">
      <c r="B33" s="105" t="s">
        <v>1420</v>
      </c>
      <c r="C33" s="105" t="s">
        <v>1437</v>
      </c>
      <c r="D33" s="105" t="s">
        <v>102</v>
      </c>
      <c r="E33" s="105" t="s">
        <v>783</v>
      </c>
      <c r="F33" s="105" t="s">
        <v>1023</v>
      </c>
      <c r="G33" s="105"/>
      <c r="H33" s="105"/>
      <c r="I33" s="105" t="s">
        <v>1022</v>
      </c>
      <c r="L33">
        <f ca="1">COUNTIF(OFFSET(IND_Fuels!$B$5,1,0,200),Processes!K33)</f>
        <v>0</v>
      </c>
      <c r="M33" t="s">
        <v>127</v>
      </c>
      <c r="N33" t="s">
        <v>1437</v>
      </c>
    </row>
    <row r="34" spans="2:14">
      <c r="B34" s="105" t="s">
        <v>1420</v>
      </c>
      <c r="C34" s="105" t="s">
        <v>1438</v>
      </c>
      <c r="D34" s="105" t="s">
        <v>39</v>
      </c>
      <c r="E34" s="105" t="s">
        <v>783</v>
      </c>
      <c r="F34" s="105" t="s">
        <v>1023</v>
      </c>
      <c r="G34" s="105"/>
      <c r="H34" s="105"/>
      <c r="I34" s="105" t="s">
        <v>1022</v>
      </c>
      <c r="L34">
        <f ca="1">COUNTIF(OFFSET(IND_Fuels!$B$5,1,0,200),Processes!K34)</f>
        <v>0</v>
      </c>
      <c r="M34" t="s">
        <v>1071</v>
      </c>
      <c r="N34" t="s">
        <v>1438</v>
      </c>
    </row>
    <row r="35" spans="2:14">
      <c r="B35" s="105" t="s">
        <v>1420</v>
      </c>
      <c r="C35" s="105" t="s">
        <v>1422</v>
      </c>
      <c r="D35" s="105" t="s">
        <v>142</v>
      </c>
      <c r="E35" s="105" t="s">
        <v>783</v>
      </c>
      <c r="F35" s="105" t="s">
        <v>1023</v>
      </c>
      <c r="G35" s="105"/>
      <c r="H35" s="105"/>
      <c r="I35" s="105" t="s">
        <v>1022</v>
      </c>
      <c r="L35">
        <f ca="1">COUNTIF(OFFSET(IND_Fuels!$B$5,1,0,200),Processes!K35)</f>
        <v>0</v>
      </c>
      <c r="M35" t="s">
        <v>133</v>
      </c>
      <c r="N35" t="s">
        <v>1422</v>
      </c>
    </row>
    <row r="36" spans="2:14">
      <c r="B36" s="105" t="s">
        <v>1420</v>
      </c>
      <c r="C36" s="105" t="s">
        <v>1409</v>
      </c>
      <c r="D36" s="105" t="s">
        <v>1370</v>
      </c>
      <c r="E36" s="105" t="s">
        <v>783</v>
      </c>
      <c r="F36" s="105" t="s">
        <v>1023</v>
      </c>
      <c r="G36" s="105"/>
      <c r="H36" s="105"/>
      <c r="I36" s="105" t="s">
        <v>1022</v>
      </c>
      <c r="L36">
        <f ca="1">COUNTIF(OFFSET(IND_Fuels!$B$5,1,0,200),Processes!K36)</f>
        <v>0</v>
      </c>
      <c r="M36" t="s">
        <v>1367</v>
      </c>
      <c r="N36" t="s">
        <v>1409</v>
      </c>
    </row>
    <row r="37" spans="2:14">
      <c r="B37" s="105" t="s">
        <v>1420</v>
      </c>
      <c r="C37" s="105" t="s">
        <v>1405</v>
      </c>
      <c r="D37" s="105" t="s">
        <v>295</v>
      </c>
      <c r="E37" s="105" t="s">
        <v>783</v>
      </c>
      <c r="F37" s="105" t="s">
        <v>1023</v>
      </c>
      <c r="G37" s="105"/>
      <c r="H37" s="105"/>
      <c r="I37" s="105" t="s">
        <v>1022</v>
      </c>
      <c r="L37">
        <f ca="1">COUNTIF(OFFSET(IND_Fuels!$B$5,1,0,200),Processes!K37)</f>
        <v>0</v>
      </c>
      <c r="M37" t="s">
        <v>294</v>
      </c>
      <c r="N37" t="s">
        <v>1405</v>
      </c>
    </row>
    <row r="38" spans="2:14">
      <c r="B38" s="105" t="s">
        <v>1420</v>
      </c>
      <c r="C38" s="105" t="s">
        <v>1439</v>
      </c>
      <c r="D38" s="105" t="s">
        <v>668</v>
      </c>
      <c r="E38" s="105" t="s">
        <v>783</v>
      </c>
      <c r="F38" s="105" t="s">
        <v>1023</v>
      </c>
      <c r="G38" s="105"/>
      <c r="H38" s="105"/>
      <c r="I38" s="105" t="s">
        <v>1022</v>
      </c>
      <c r="L38">
        <f ca="1">COUNTIF(OFFSET(IND_Fuels!$B$5,1,0,200),Processes!K38)</f>
        <v>0</v>
      </c>
      <c r="M38" t="s">
        <v>136</v>
      </c>
      <c r="N38" t="s">
        <v>1439</v>
      </c>
    </row>
    <row r="39" spans="2:14">
      <c r="B39" s="105" t="s">
        <v>1420</v>
      </c>
      <c r="C39" s="105" t="s">
        <v>1501</v>
      </c>
      <c r="D39" s="105" t="s">
        <v>1504</v>
      </c>
      <c r="E39" s="105" t="s">
        <v>783</v>
      </c>
      <c r="F39" s="105" t="s">
        <v>1023</v>
      </c>
      <c r="G39" s="105"/>
      <c r="H39" s="105"/>
      <c r="I39" s="105" t="s">
        <v>1022</v>
      </c>
    </row>
    <row r="40" spans="2:14">
      <c r="B40" s="105" t="s">
        <v>1417</v>
      </c>
      <c r="C40" s="105" t="s">
        <v>1440</v>
      </c>
      <c r="D40" s="105" t="s">
        <v>700</v>
      </c>
      <c r="E40" s="105" t="s">
        <v>783</v>
      </c>
      <c r="F40" s="105" t="s">
        <v>1023</v>
      </c>
      <c r="G40" s="105"/>
      <c r="H40" s="105" t="s">
        <v>1230</v>
      </c>
      <c r="I40" s="105" t="s">
        <v>1022</v>
      </c>
      <c r="L40">
        <f ca="1">COUNTIF(OFFSET(IND_Fuels!$B$5,1,0,200),Processes!K40)</f>
        <v>0</v>
      </c>
      <c r="M40" t="s">
        <v>1055</v>
      </c>
      <c r="N40" t="s">
        <v>1440</v>
      </c>
    </row>
    <row r="41" spans="2:14">
      <c r="B41" s="105" t="s">
        <v>1418</v>
      </c>
      <c r="C41" s="105" t="s">
        <v>1441</v>
      </c>
      <c r="D41" s="105" t="s">
        <v>702</v>
      </c>
      <c r="E41" s="105" t="s">
        <v>783</v>
      </c>
      <c r="F41" s="105" t="s">
        <v>1023</v>
      </c>
      <c r="G41" s="105" t="s">
        <v>1239</v>
      </c>
      <c r="H41" s="105"/>
      <c r="I41" s="105" t="s">
        <v>1022</v>
      </c>
      <c r="L41">
        <f ca="1">COUNTIF(OFFSET(IND_Fuels!$B$5,1,0,200),Processes!K41)</f>
        <v>0</v>
      </c>
      <c r="M41" t="s">
        <v>1068</v>
      </c>
      <c r="N41" t="s">
        <v>1441</v>
      </c>
    </row>
    <row r="42" spans="2:14">
      <c r="B42" s="105" t="s">
        <v>1418</v>
      </c>
      <c r="C42" s="105" t="s">
        <v>1442</v>
      </c>
      <c r="D42" s="105" t="s">
        <v>1</v>
      </c>
      <c r="E42" s="105" t="s">
        <v>783</v>
      </c>
      <c r="F42" s="105" t="s">
        <v>1023</v>
      </c>
      <c r="G42" s="105" t="s">
        <v>896</v>
      </c>
      <c r="H42" s="105"/>
      <c r="I42" s="105" t="s">
        <v>1022</v>
      </c>
      <c r="L42">
        <f ca="1">COUNTIF(OFFSET(IND_Fuels!$B$5,1,0,200),Processes!K42)</f>
        <v>0</v>
      </c>
      <c r="M42" t="s">
        <v>1024</v>
      </c>
      <c r="N42" t="s">
        <v>1442</v>
      </c>
    </row>
    <row r="43" spans="2:14">
      <c r="B43" s="378" t="s">
        <v>1420</v>
      </c>
      <c r="C43" s="378" t="s">
        <v>1025</v>
      </c>
      <c r="D43" s="378" t="s">
        <v>1423</v>
      </c>
      <c r="E43" s="378" t="s">
        <v>783</v>
      </c>
      <c r="F43" s="378" t="s">
        <v>1023</v>
      </c>
      <c r="G43" s="378"/>
      <c r="H43" s="378"/>
      <c r="I43" s="378" t="s">
        <v>1022</v>
      </c>
    </row>
    <row r="44" spans="2:14">
      <c r="B44" s="378" t="s">
        <v>1416</v>
      </c>
      <c r="C44" s="378" t="s">
        <v>1255</v>
      </c>
      <c r="D44" s="378" t="s">
        <v>1256</v>
      </c>
      <c r="E44" s="378" t="s">
        <v>783</v>
      </c>
      <c r="F44" s="378" t="s">
        <v>1023</v>
      </c>
      <c r="G44" s="378" t="s">
        <v>896</v>
      </c>
      <c r="H44" s="378" t="s">
        <v>1230</v>
      </c>
      <c r="I44" s="378" t="s">
        <v>1022</v>
      </c>
    </row>
    <row r="45" spans="2:14">
      <c r="B45" s="378" t="s">
        <v>1419</v>
      </c>
      <c r="C45" s="378" t="s">
        <v>788</v>
      </c>
      <c r="D45" s="378" t="s">
        <v>822</v>
      </c>
      <c r="E45" s="378" t="s">
        <v>976</v>
      </c>
      <c r="F45" s="378" t="s">
        <v>1021</v>
      </c>
      <c r="G45" s="378"/>
      <c r="H45" s="378"/>
      <c r="I45" s="378" t="s">
        <v>1022</v>
      </c>
    </row>
    <row r="46" spans="2:14">
      <c r="B46" s="378" t="s">
        <v>1419</v>
      </c>
      <c r="C46" s="378" t="s">
        <v>569</v>
      </c>
      <c r="D46" s="378" t="s">
        <v>290</v>
      </c>
      <c r="E46" s="378" t="s">
        <v>976</v>
      </c>
      <c r="F46" s="378" t="s">
        <v>1021</v>
      </c>
      <c r="G46" s="378"/>
      <c r="H46" s="378"/>
      <c r="I46" s="378" t="s">
        <v>1022</v>
      </c>
    </row>
    <row r="47" spans="2:14">
      <c r="B47" s="378" t="s">
        <v>1419</v>
      </c>
      <c r="C47" s="378" t="s">
        <v>785</v>
      </c>
      <c r="D47" s="378" t="s">
        <v>816</v>
      </c>
      <c r="E47" s="378" t="s">
        <v>976</v>
      </c>
      <c r="F47" s="378" t="s">
        <v>1021</v>
      </c>
      <c r="G47" s="378"/>
      <c r="H47" s="378"/>
      <c r="I47" s="378" t="s">
        <v>1022</v>
      </c>
    </row>
    <row r="48" spans="2:14">
      <c r="B48" s="378" t="s">
        <v>1419</v>
      </c>
      <c r="C48" s="378" t="s">
        <v>789</v>
      </c>
      <c r="D48" s="378" t="s">
        <v>821</v>
      </c>
      <c r="E48" s="378" t="s">
        <v>976</v>
      </c>
      <c r="F48" s="378" t="s">
        <v>1021</v>
      </c>
      <c r="G48" s="378"/>
      <c r="H48" s="378"/>
      <c r="I48" s="378" t="s">
        <v>1022</v>
      </c>
    </row>
    <row r="49" spans="2:9">
      <c r="B49" s="378" t="s">
        <v>1419</v>
      </c>
      <c r="C49" s="378" t="s">
        <v>984</v>
      </c>
      <c r="D49" s="378" t="s">
        <v>453</v>
      </c>
      <c r="E49" s="378" t="s">
        <v>976</v>
      </c>
      <c r="F49" s="378" t="s">
        <v>1021</v>
      </c>
      <c r="G49" s="378"/>
      <c r="H49" s="378"/>
      <c r="I49" s="378" t="s">
        <v>1022</v>
      </c>
    </row>
    <row r="50" spans="2:9">
      <c r="B50" s="378" t="s">
        <v>1419</v>
      </c>
      <c r="C50" s="378" t="s">
        <v>22</v>
      </c>
      <c r="D50" s="378" t="s">
        <v>24</v>
      </c>
      <c r="E50" s="378" t="s">
        <v>783</v>
      </c>
      <c r="F50" s="378" t="s">
        <v>1023</v>
      </c>
      <c r="G50" s="378"/>
      <c r="H50" s="378"/>
      <c r="I50" s="378" t="s">
        <v>1022</v>
      </c>
    </row>
    <row r="51" spans="2:9">
      <c r="B51" s="378" t="s">
        <v>1419</v>
      </c>
      <c r="C51" s="378" t="s">
        <v>1007</v>
      </c>
      <c r="D51" s="378" t="s">
        <v>150</v>
      </c>
      <c r="E51" s="378" t="s">
        <v>783</v>
      </c>
      <c r="F51" s="378" t="s">
        <v>1023</v>
      </c>
      <c r="G51" s="378"/>
      <c r="H51" s="378"/>
      <c r="I51" s="378" t="s">
        <v>1022</v>
      </c>
    </row>
    <row r="52" spans="2:9">
      <c r="B52" s="378" t="s">
        <v>1419</v>
      </c>
      <c r="C52" s="378" t="s">
        <v>149</v>
      </c>
      <c r="D52" s="378" t="s">
        <v>150</v>
      </c>
      <c r="E52" s="378" t="s">
        <v>783</v>
      </c>
      <c r="F52" s="378" t="s">
        <v>1023</v>
      </c>
      <c r="G52" s="378"/>
      <c r="H52" s="378"/>
      <c r="I52" s="378" t="s">
        <v>1022</v>
      </c>
    </row>
    <row r="53" spans="2:9">
      <c r="B53" s="378" t="s">
        <v>1419</v>
      </c>
      <c r="C53" s="378" t="s">
        <v>175</v>
      </c>
      <c r="D53" s="378" t="s">
        <v>176</v>
      </c>
      <c r="E53" s="378" t="s">
        <v>783</v>
      </c>
      <c r="F53" s="378" t="s">
        <v>1023</v>
      </c>
      <c r="G53" s="378"/>
      <c r="H53" s="378"/>
      <c r="I53" s="378" t="s">
        <v>1022</v>
      </c>
    </row>
    <row r="54" spans="2:9">
      <c r="B54" s="378" t="s">
        <v>1418</v>
      </c>
      <c r="C54" s="378" t="s">
        <v>825</v>
      </c>
      <c r="D54" s="378" t="s">
        <v>3</v>
      </c>
      <c r="E54" s="378" t="s">
        <v>783</v>
      </c>
      <c r="F54" s="378" t="s">
        <v>1023</v>
      </c>
      <c r="G54" s="378" t="s">
        <v>1239</v>
      </c>
      <c r="H54" s="378"/>
      <c r="I54" s="378" t="s">
        <v>1022</v>
      </c>
    </row>
    <row r="55" spans="2:9">
      <c r="B55" s="378" t="s">
        <v>1418</v>
      </c>
      <c r="C55" s="378" t="s">
        <v>1273</v>
      </c>
      <c r="D55" s="378" t="s">
        <v>1274</v>
      </c>
      <c r="E55" s="378" t="s">
        <v>783</v>
      </c>
      <c r="F55" s="378" t="s">
        <v>1023</v>
      </c>
      <c r="G55" s="378" t="s">
        <v>1239</v>
      </c>
      <c r="H55" s="378"/>
      <c r="I55" s="378" t="s">
        <v>1022</v>
      </c>
    </row>
    <row r="56" spans="2:9">
      <c r="B56" s="378" t="s">
        <v>1420</v>
      </c>
      <c r="C56" s="378" t="s">
        <v>109</v>
      </c>
      <c r="D56" s="378" t="s">
        <v>192</v>
      </c>
      <c r="E56" s="378" t="s">
        <v>783</v>
      </c>
      <c r="F56" s="378" t="s">
        <v>1023</v>
      </c>
      <c r="G56" s="378"/>
      <c r="H56" s="378"/>
      <c r="I56" s="378" t="s">
        <v>1022</v>
      </c>
    </row>
    <row r="57" spans="2:9">
      <c r="B57" s="378" t="s">
        <v>1420</v>
      </c>
      <c r="C57" s="378" t="s">
        <v>110</v>
      </c>
      <c r="D57" s="378" t="s">
        <v>392</v>
      </c>
      <c r="E57" s="378" t="s">
        <v>783</v>
      </c>
      <c r="F57" s="378" t="s">
        <v>1023</v>
      </c>
      <c r="G57" s="378"/>
      <c r="H57" s="378" t="s">
        <v>1347</v>
      </c>
      <c r="I57" s="378" t="s">
        <v>1022</v>
      </c>
    </row>
    <row r="58" spans="2:9">
      <c r="B58" s="378" t="s">
        <v>1420</v>
      </c>
      <c r="C58" s="378" t="s">
        <v>1210</v>
      </c>
      <c r="D58" s="378" t="s">
        <v>1211</v>
      </c>
      <c r="E58" s="378" t="s">
        <v>783</v>
      </c>
      <c r="F58" s="378" t="s">
        <v>1023</v>
      </c>
      <c r="G58" s="378"/>
      <c r="H58" s="378" t="s">
        <v>459</v>
      </c>
      <c r="I58" s="378" t="s">
        <v>1022</v>
      </c>
    </row>
    <row r="59" spans="2:9">
      <c r="B59" s="378" t="s">
        <v>1415</v>
      </c>
      <c r="C59" s="378" t="s">
        <v>930</v>
      </c>
      <c r="D59" s="378" t="s">
        <v>932</v>
      </c>
      <c r="E59" s="378" t="s">
        <v>783</v>
      </c>
      <c r="F59" s="378" t="s">
        <v>1026</v>
      </c>
      <c r="G59" s="378" t="s">
        <v>1239</v>
      </c>
      <c r="H59" s="378"/>
      <c r="I59" s="378" t="s">
        <v>1022</v>
      </c>
    </row>
    <row r="60" spans="2:9">
      <c r="B60" s="378" t="s">
        <v>1415</v>
      </c>
      <c r="C60" s="378" t="s">
        <v>942</v>
      </c>
      <c r="D60" s="378" t="s">
        <v>943</v>
      </c>
      <c r="E60" s="378" t="s">
        <v>783</v>
      </c>
      <c r="F60" s="378" t="s">
        <v>1026</v>
      </c>
      <c r="G60" s="378" t="s">
        <v>1239</v>
      </c>
      <c r="H60" s="378"/>
      <c r="I60" s="378" t="s">
        <v>1022</v>
      </c>
    </row>
    <row r="61" spans="2:9">
      <c r="B61" s="378" t="s">
        <v>1415</v>
      </c>
      <c r="C61" s="378" t="s">
        <v>1360</v>
      </c>
      <c r="D61" s="378" t="s">
        <v>1361</v>
      </c>
      <c r="E61" s="378" t="s">
        <v>783</v>
      </c>
      <c r="F61" s="378" t="s">
        <v>1026</v>
      </c>
      <c r="G61" s="378" t="s">
        <v>1239</v>
      </c>
      <c r="H61" s="378"/>
      <c r="I61" s="378" t="s">
        <v>1022</v>
      </c>
    </row>
    <row r="62" spans="2:9">
      <c r="B62" s="378" t="s">
        <v>1415</v>
      </c>
      <c r="C62" s="378" t="s">
        <v>1238</v>
      </c>
      <c r="D62" s="378" t="s">
        <v>1362</v>
      </c>
      <c r="E62" s="378" t="s">
        <v>783</v>
      </c>
      <c r="F62" s="378" t="s">
        <v>1026</v>
      </c>
      <c r="G62" s="378" t="s">
        <v>1239</v>
      </c>
      <c r="H62" s="378"/>
      <c r="I62" s="378" t="s">
        <v>1022</v>
      </c>
    </row>
    <row r="63" spans="2:9">
      <c r="B63" s="378" t="s">
        <v>1415</v>
      </c>
      <c r="C63" s="378" t="s">
        <v>924</v>
      </c>
      <c r="D63" s="378" t="s">
        <v>925</v>
      </c>
      <c r="E63" s="378" t="s">
        <v>783</v>
      </c>
      <c r="F63" s="378" t="s">
        <v>1026</v>
      </c>
      <c r="G63" s="378" t="s">
        <v>1239</v>
      </c>
      <c r="H63" s="378"/>
      <c r="I63" s="378" t="s">
        <v>1022</v>
      </c>
    </row>
    <row r="64" spans="2:9">
      <c r="B64" s="378" t="s">
        <v>1415</v>
      </c>
      <c r="C64" s="378" t="s">
        <v>928</v>
      </c>
      <c r="D64" s="378" t="s">
        <v>929</v>
      </c>
      <c r="E64" s="378" t="s">
        <v>783</v>
      </c>
      <c r="F64" s="378" t="s">
        <v>1026</v>
      </c>
      <c r="G64" s="378" t="s">
        <v>1239</v>
      </c>
      <c r="H64" s="378"/>
      <c r="I64" s="378" t="s">
        <v>1022</v>
      </c>
    </row>
    <row r="65" spans="2:9">
      <c r="B65" s="378" t="s">
        <v>1415</v>
      </c>
      <c r="C65" s="378" t="s">
        <v>926</v>
      </c>
      <c r="D65" s="378" t="s">
        <v>927</v>
      </c>
      <c r="E65" s="378" t="s">
        <v>783</v>
      </c>
      <c r="F65" s="378" t="s">
        <v>1026</v>
      </c>
      <c r="G65" s="378" t="s">
        <v>1239</v>
      </c>
      <c r="H65" s="378"/>
      <c r="I65" s="378" t="s">
        <v>1022</v>
      </c>
    </row>
    <row r="66" spans="2:9">
      <c r="B66" s="378" t="s">
        <v>1415</v>
      </c>
      <c r="C66" s="378" t="s">
        <v>937</v>
      </c>
      <c r="D66" s="378" t="s">
        <v>938</v>
      </c>
      <c r="E66" s="378" t="s">
        <v>783</v>
      </c>
      <c r="F66" s="378" t="s">
        <v>1026</v>
      </c>
      <c r="G66" s="378" t="s">
        <v>1239</v>
      </c>
      <c r="H66" s="378"/>
      <c r="I66" s="378" t="s">
        <v>1022</v>
      </c>
    </row>
    <row r="67" spans="2:9">
      <c r="B67" s="378" t="s">
        <v>1415</v>
      </c>
      <c r="C67" s="378" t="s">
        <v>944</v>
      </c>
      <c r="D67" s="378" t="s">
        <v>945</v>
      </c>
      <c r="E67" s="378" t="s">
        <v>783</v>
      </c>
      <c r="F67" s="378" t="s">
        <v>1026</v>
      </c>
      <c r="G67" s="378" t="s">
        <v>1239</v>
      </c>
      <c r="H67" s="378"/>
      <c r="I67" s="378" t="s">
        <v>1022</v>
      </c>
    </row>
    <row r="68" spans="2:9">
      <c r="B68" s="378" t="s">
        <v>1415</v>
      </c>
      <c r="C68" s="378" t="s">
        <v>933</v>
      </c>
      <c r="D68" s="378" t="s">
        <v>934</v>
      </c>
      <c r="E68" s="378" t="s">
        <v>783</v>
      </c>
      <c r="F68" s="378" t="s">
        <v>1026</v>
      </c>
      <c r="G68" s="378" t="s">
        <v>1239</v>
      </c>
      <c r="H68" s="378"/>
      <c r="I68" s="378" t="s">
        <v>1022</v>
      </c>
    </row>
    <row r="69" spans="2:9">
      <c r="B69" s="378" t="s">
        <v>1415</v>
      </c>
      <c r="C69" s="378" t="s">
        <v>920</v>
      </c>
      <c r="D69" s="378" t="s">
        <v>921</v>
      </c>
      <c r="E69" s="378" t="s">
        <v>783</v>
      </c>
      <c r="F69" s="378" t="s">
        <v>1026</v>
      </c>
      <c r="G69" s="378" t="s">
        <v>1239</v>
      </c>
      <c r="H69" s="378"/>
      <c r="I69" s="378" t="s">
        <v>1022</v>
      </c>
    </row>
    <row r="70" spans="2:9">
      <c r="B70" s="378" t="s">
        <v>1415</v>
      </c>
      <c r="C70" s="378" t="s">
        <v>918</v>
      </c>
      <c r="D70" s="378" t="s">
        <v>919</v>
      </c>
      <c r="E70" s="378" t="s">
        <v>783</v>
      </c>
      <c r="F70" s="378" t="s">
        <v>1026</v>
      </c>
      <c r="G70" s="378" t="s">
        <v>1239</v>
      </c>
      <c r="H70" s="378"/>
      <c r="I70" s="378" t="s">
        <v>1022</v>
      </c>
    </row>
    <row r="71" spans="2:9">
      <c r="B71" s="378" t="s">
        <v>1415</v>
      </c>
      <c r="C71" s="378" t="s">
        <v>922</v>
      </c>
      <c r="D71" s="378" t="s">
        <v>923</v>
      </c>
      <c r="E71" s="378" t="s">
        <v>783</v>
      </c>
      <c r="F71" s="378" t="s">
        <v>1026</v>
      </c>
      <c r="G71" s="378" t="s">
        <v>1239</v>
      </c>
      <c r="H71" s="378"/>
      <c r="I71" s="378" t="s">
        <v>1022</v>
      </c>
    </row>
    <row r="72" spans="2:9">
      <c r="B72" s="378" t="s">
        <v>1415</v>
      </c>
      <c r="C72" s="378" t="s">
        <v>935</v>
      </c>
      <c r="D72" s="378" t="s">
        <v>936</v>
      </c>
      <c r="E72" s="378" t="s">
        <v>783</v>
      </c>
      <c r="F72" s="378" t="s">
        <v>1026</v>
      </c>
      <c r="G72" s="378" t="s">
        <v>1239</v>
      </c>
      <c r="H72" s="378"/>
      <c r="I72" s="378" t="s">
        <v>1022</v>
      </c>
    </row>
    <row r="73" spans="2:9">
      <c r="B73" s="378" t="s">
        <v>1415</v>
      </c>
      <c r="C73" s="378" t="s">
        <v>1154</v>
      </c>
      <c r="D73" s="378" t="s">
        <v>1155</v>
      </c>
      <c r="E73" s="378" t="s">
        <v>783</v>
      </c>
      <c r="F73" s="378" t="s">
        <v>1026</v>
      </c>
      <c r="G73" s="378" t="s">
        <v>1239</v>
      </c>
      <c r="H73" s="378"/>
      <c r="I73" s="378" t="s">
        <v>1022</v>
      </c>
    </row>
    <row r="74" spans="2:9">
      <c r="B74" s="378" t="s">
        <v>1415</v>
      </c>
      <c r="C74" s="378" t="s">
        <v>939</v>
      </c>
      <c r="D74" s="378" t="s">
        <v>941</v>
      </c>
      <c r="E74" s="378" t="s">
        <v>783</v>
      </c>
      <c r="F74" s="378" t="s">
        <v>1026</v>
      </c>
      <c r="G74" s="378" t="s">
        <v>1239</v>
      </c>
      <c r="H74" s="378"/>
      <c r="I74" s="378" t="s">
        <v>1022</v>
      </c>
    </row>
    <row r="75" spans="2:9">
      <c r="B75" s="378" t="s">
        <v>1416</v>
      </c>
      <c r="C75" s="378" t="s">
        <v>1027</v>
      </c>
      <c r="D75" s="378" t="s">
        <v>1028</v>
      </c>
      <c r="E75" s="378" t="s">
        <v>783</v>
      </c>
      <c r="F75" s="378" t="s">
        <v>1026</v>
      </c>
      <c r="G75" s="378"/>
      <c r="H75" s="378"/>
      <c r="I75" s="378" t="s">
        <v>1022</v>
      </c>
    </row>
    <row r="76" spans="2:9">
      <c r="B76" s="378" t="s">
        <v>1416</v>
      </c>
      <c r="C76" s="378" t="s">
        <v>1029</v>
      </c>
      <c r="D76" s="378" t="s">
        <v>1030</v>
      </c>
      <c r="E76" s="378" t="s">
        <v>783</v>
      </c>
      <c r="F76" s="378" t="s">
        <v>1026</v>
      </c>
      <c r="G76" s="378"/>
      <c r="H76" s="378"/>
      <c r="I76" s="378" t="s">
        <v>1022</v>
      </c>
    </row>
    <row r="77" spans="2:9">
      <c r="B77" s="378" t="s">
        <v>1416</v>
      </c>
      <c r="C77" s="378" t="s">
        <v>1031</v>
      </c>
      <c r="D77" s="378" t="s">
        <v>1032</v>
      </c>
      <c r="E77" s="378" t="s">
        <v>783</v>
      </c>
      <c r="F77" s="378" t="s">
        <v>1026</v>
      </c>
      <c r="G77" s="378"/>
      <c r="H77" s="378"/>
      <c r="I77" s="378" t="s">
        <v>1022</v>
      </c>
    </row>
    <row r="78" spans="2:9">
      <c r="B78" s="378" t="s">
        <v>1416</v>
      </c>
      <c r="C78" s="378" t="s">
        <v>1033</v>
      </c>
      <c r="D78" s="378" t="s">
        <v>1034</v>
      </c>
      <c r="E78" s="378" t="s">
        <v>783</v>
      </c>
      <c r="F78" s="378" t="s">
        <v>1026</v>
      </c>
      <c r="G78" s="378"/>
      <c r="H78" s="378"/>
      <c r="I78" s="378" t="s">
        <v>1022</v>
      </c>
    </row>
    <row r="79" spans="2:9">
      <c r="B79" s="378" t="s">
        <v>1416</v>
      </c>
      <c r="C79" s="378" t="s">
        <v>1035</v>
      </c>
      <c r="D79" s="378" t="s">
        <v>1036</v>
      </c>
      <c r="E79" s="378" t="s">
        <v>783</v>
      </c>
      <c r="F79" s="378" t="s">
        <v>1026</v>
      </c>
      <c r="G79" s="378"/>
      <c r="H79" s="378"/>
      <c r="I79" s="378" t="s">
        <v>1022</v>
      </c>
    </row>
    <row r="80" spans="2:9">
      <c r="B80" s="378" t="s">
        <v>1416</v>
      </c>
      <c r="C80" s="378" t="s">
        <v>1037</v>
      </c>
      <c r="D80" s="378" t="s">
        <v>1038</v>
      </c>
      <c r="E80" s="378" t="s">
        <v>783</v>
      </c>
      <c r="F80" s="378" t="s">
        <v>1026</v>
      </c>
      <c r="G80" s="378"/>
      <c r="H80" s="378"/>
      <c r="I80" s="378" t="s">
        <v>1022</v>
      </c>
    </row>
    <row r="81" spans="2:9">
      <c r="B81" s="378" t="s">
        <v>1416</v>
      </c>
      <c r="C81" s="378" t="s">
        <v>1039</v>
      </c>
      <c r="D81" s="378" t="s">
        <v>1040</v>
      </c>
      <c r="E81" s="378" t="s">
        <v>783</v>
      </c>
      <c r="F81" s="378" t="s">
        <v>1026</v>
      </c>
      <c r="G81" s="378"/>
      <c r="H81" s="378"/>
      <c r="I81" s="378" t="s">
        <v>1022</v>
      </c>
    </row>
    <row r="82" spans="2:9">
      <c r="B82" s="378" t="s">
        <v>1416</v>
      </c>
      <c r="C82" s="378" t="s">
        <v>1041</v>
      </c>
      <c r="D82" s="378" t="s">
        <v>1042</v>
      </c>
      <c r="E82" s="378" t="s">
        <v>783</v>
      </c>
      <c r="F82" s="378" t="s">
        <v>1026</v>
      </c>
      <c r="G82" s="378"/>
      <c r="H82" s="378"/>
      <c r="I82" s="378" t="s">
        <v>1022</v>
      </c>
    </row>
    <row r="83" spans="2:9">
      <c r="B83" s="378" t="s">
        <v>1416</v>
      </c>
      <c r="C83" s="378" t="s">
        <v>1043</v>
      </c>
      <c r="D83" s="378" t="s">
        <v>1044</v>
      </c>
      <c r="E83" s="378" t="s">
        <v>783</v>
      </c>
      <c r="F83" s="378" t="s">
        <v>1026</v>
      </c>
      <c r="G83" s="378"/>
      <c r="H83" s="378"/>
      <c r="I83" s="378" t="s">
        <v>1022</v>
      </c>
    </row>
    <row r="84" spans="2:9">
      <c r="B84" s="378" t="s">
        <v>1416</v>
      </c>
      <c r="C84" s="378" t="s">
        <v>1045</v>
      </c>
      <c r="D84" s="378" t="s">
        <v>1046</v>
      </c>
      <c r="E84" s="378" t="s">
        <v>783</v>
      </c>
      <c r="F84" s="378" t="s">
        <v>1026</v>
      </c>
      <c r="G84" s="378"/>
      <c r="H84" s="378"/>
      <c r="I84" s="378" t="s">
        <v>1022</v>
      </c>
    </row>
    <row r="85" spans="2:9">
      <c r="B85" s="378" t="s">
        <v>1416</v>
      </c>
      <c r="C85" s="378" t="s">
        <v>1047</v>
      </c>
      <c r="D85" s="378" t="s">
        <v>1048</v>
      </c>
      <c r="E85" s="378" t="s">
        <v>783</v>
      </c>
      <c r="F85" s="378" t="s">
        <v>1026</v>
      </c>
      <c r="G85" s="378"/>
      <c r="H85" s="378"/>
      <c r="I85" s="378" t="s">
        <v>1022</v>
      </c>
    </row>
    <row r="86" spans="2:9">
      <c r="B86" s="378" t="s">
        <v>1416</v>
      </c>
      <c r="C86" s="378" t="s">
        <v>1049</v>
      </c>
      <c r="D86" s="378" t="s">
        <v>1050</v>
      </c>
      <c r="E86" s="378" t="s">
        <v>783</v>
      </c>
      <c r="F86" s="378" t="s">
        <v>1026</v>
      </c>
      <c r="G86" s="378"/>
      <c r="H86" s="378"/>
      <c r="I86" s="378" t="s">
        <v>1022</v>
      </c>
    </row>
    <row r="87" spans="2:9">
      <c r="B87" s="378" t="s">
        <v>1416</v>
      </c>
      <c r="C87" s="378" t="s">
        <v>1051</v>
      </c>
      <c r="D87" s="378" t="s">
        <v>1052</v>
      </c>
      <c r="E87" s="378" t="s">
        <v>783</v>
      </c>
      <c r="F87" s="378" t="s">
        <v>1026</v>
      </c>
      <c r="G87" s="378"/>
      <c r="H87" s="378"/>
      <c r="I87" s="378" t="s">
        <v>1022</v>
      </c>
    </row>
    <row r="88" spans="2:9">
      <c r="B88" s="378" t="s">
        <v>1416</v>
      </c>
      <c r="C88" s="378" t="s">
        <v>1156</v>
      </c>
      <c r="D88" s="378" t="s">
        <v>1157</v>
      </c>
      <c r="E88" s="378" t="s">
        <v>783</v>
      </c>
      <c r="F88" s="378" t="s">
        <v>1026</v>
      </c>
      <c r="G88" s="378"/>
      <c r="H88" s="378"/>
      <c r="I88" s="378" t="s">
        <v>1022</v>
      </c>
    </row>
    <row r="89" spans="2:9">
      <c r="B89" s="378" t="s">
        <v>1416</v>
      </c>
      <c r="C89" s="378" t="s">
        <v>1053</v>
      </c>
      <c r="D89" s="378" t="s">
        <v>1054</v>
      </c>
      <c r="E89" s="378" t="s">
        <v>783</v>
      </c>
      <c r="F89" s="378" t="s">
        <v>1026</v>
      </c>
      <c r="G89" s="378"/>
      <c r="H89" s="378"/>
      <c r="I89" s="378" t="s">
        <v>1022</v>
      </c>
    </row>
    <row r="90" spans="2:9">
      <c r="B90" s="378" t="s">
        <v>1416</v>
      </c>
      <c r="C90" s="378" t="s">
        <v>1226</v>
      </c>
      <c r="D90" s="378" t="s">
        <v>1227</v>
      </c>
      <c r="E90" s="378" t="s">
        <v>783</v>
      </c>
      <c r="F90" s="378" t="s">
        <v>1026</v>
      </c>
      <c r="G90" s="378" t="s">
        <v>896</v>
      </c>
      <c r="H90" s="378" t="s">
        <v>905</v>
      </c>
      <c r="I90" s="378" t="s">
        <v>1022</v>
      </c>
    </row>
    <row r="91" spans="2:9">
      <c r="B91" s="378" t="s">
        <v>1416</v>
      </c>
      <c r="C91" s="378" t="s">
        <v>44</v>
      </c>
      <c r="D91" s="378" t="s">
        <v>45</v>
      </c>
      <c r="E91" s="378" t="s">
        <v>783</v>
      </c>
      <c r="F91" s="378" t="s">
        <v>1026</v>
      </c>
      <c r="G91" s="378"/>
      <c r="H91" s="378"/>
      <c r="I91" s="378" t="s">
        <v>1022</v>
      </c>
    </row>
    <row r="92" spans="2:9">
      <c r="B92" s="378" t="s">
        <v>1418</v>
      </c>
      <c r="C92" s="378" t="s">
        <v>629</v>
      </c>
      <c r="D92" s="378" t="s">
        <v>630</v>
      </c>
      <c r="E92" s="378" t="s">
        <v>783</v>
      </c>
      <c r="F92" s="378" t="s">
        <v>1023</v>
      </c>
      <c r="G92" s="378" t="s">
        <v>1239</v>
      </c>
      <c r="H92" s="378"/>
      <c r="I92" s="378" t="s">
        <v>1022</v>
      </c>
    </row>
    <row r="93" spans="2:9">
      <c r="B93" s="378" t="s">
        <v>1418</v>
      </c>
      <c r="C93" s="378" t="s">
        <v>641</v>
      </c>
      <c r="D93" s="378" t="s">
        <v>642</v>
      </c>
      <c r="E93" s="378" t="s">
        <v>783</v>
      </c>
      <c r="F93" s="378" t="s">
        <v>1023</v>
      </c>
      <c r="G93" s="378" t="s">
        <v>1239</v>
      </c>
      <c r="H93" s="378"/>
      <c r="I93" s="378" t="s">
        <v>1022</v>
      </c>
    </row>
    <row r="94" spans="2:9">
      <c r="B94" s="378" t="s">
        <v>1418</v>
      </c>
      <c r="C94" s="378" t="s">
        <v>1237</v>
      </c>
      <c r="D94" s="378" t="s">
        <v>1168</v>
      </c>
      <c r="E94" s="378" t="s">
        <v>783</v>
      </c>
      <c r="F94" s="378" t="s">
        <v>1023</v>
      </c>
      <c r="G94" s="378" t="s">
        <v>1239</v>
      </c>
      <c r="H94" s="378"/>
      <c r="I94" s="378" t="s">
        <v>1022</v>
      </c>
    </row>
    <row r="95" spans="2:9">
      <c r="B95" s="378" t="s">
        <v>1418</v>
      </c>
      <c r="C95" s="378" t="s">
        <v>623</v>
      </c>
      <c r="D95" s="378" t="s">
        <v>624</v>
      </c>
      <c r="E95" s="378" t="s">
        <v>783</v>
      </c>
      <c r="F95" s="378" t="s">
        <v>1023</v>
      </c>
      <c r="G95" s="378" t="s">
        <v>1239</v>
      </c>
      <c r="H95" s="378"/>
      <c r="I95" s="378" t="s">
        <v>1022</v>
      </c>
    </row>
    <row r="96" spans="2:9">
      <c r="B96" s="378" t="s">
        <v>1418</v>
      </c>
      <c r="C96" s="378" t="s">
        <v>627</v>
      </c>
      <c r="D96" s="378" t="s">
        <v>628</v>
      </c>
      <c r="E96" s="378" t="s">
        <v>783</v>
      </c>
      <c r="F96" s="378" t="s">
        <v>1023</v>
      </c>
      <c r="G96" s="378" t="s">
        <v>1239</v>
      </c>
      <c r="H96" s="378"/>
      <c r="I96" s="378" t="s">
        <v>1022</v>
      </c>
    </row>
    <row r="97" spans="2:9">
      <c r="B97" s="378" t="s">
        <v>1418</v>
      </c>
      <c r="C97" s="378" t="s">
        <v>625</v>
      </c>
      <c r="D97" s="378" t="s">
        <v>626</v>
      </c>
      <c r="E97" s="378" t="s">
        <v>783</v>
      </c>
      <c r="F97" s="378" t="s">
        <v>1023</v>
      </c>
      <c r="G97" s="378" t="s">
        <v>1239</v>
      </c>
      <c r="H97" s="378"/>
      <c r="I97" s="378" t="s">
        <v>1022</v>
      </c>
    </row>
    <row r="98" spans="2:9">
      <c r="B98" s="378" t="s">
        <v>1418</v>
      </c>
      <c r="C98" s="378" t="s">
        <v>635</v>
      </c>
      <c r="D98" s="378" t="s">
        <v>636</v>
      </c>
      <c r="E98" s="378" t="s">
        <v>783</v>
      </c>
      <c r="F98" s="378" t="s">
        <v>1023</v>
      </c>
      <c r="G98" s="378" t="s">
        <v>1239</v>
      </c>
      <c r="H98" s="378"/>
      <c r="I98" s="378" t="s">
        <v>1022</v>
      </c>
    </row>
    <row r="99" spans="2:9">
      <c r="B99" s="378" t="s">
        <v>1418</v>
      </c>
      <c r="C99" s="378" t="s">
        <v>643</v>
      </c>
      <c r="D99" s="378" t="s">
        <v>644</v>
      </c>
      <c r="E99" s="378" t="s">
        <v>783</v>
      </c>
      <c r="F99" s="378" t="s">
        <v>1023</v>
      </c>
      <c r="G99" s="378" t="s">
        <v>1239</v>
      </c>
      <c r="H99" s="378"/>
      <c r="I99" s="378" t="s">
        <v>1022</v>
      </c>
    </row>
    <row r="100" spans="2:9">
      <c r="B100" s="378" t="s">
        <v>1418</v>
      </c>
      <c r="C100" s="378" t="s">
        <v>631</v>
      </c>
      <c r="D100" s="378" t="s">
        <v>632</v>
      </c>
      <c r="E100" s="378" t="s">
        <v>783</v>
      </c>
      <c r="F100" s="378" t="s">
        <v>1023</v>
      </c>
      <c r="G100" s="378" t="s">
        <v>1239</v>
      </c>
      <c r="H100" s="378"/>
      <c r="I100" s="378" t="s">
        <v>1022</v>
      </c>
    </row>
    <row r="101" spans="2:9">
      <c r="B101" s="378" t="s">
        <v>1418</v>
      </c>
      <c r="C101" s="378" t="s">
        <v>619</v>
      </c>
      <c r="D101" s="378" t="s">
        <v>620</v>
      </c>
      <c r="E101" s="378" t="s">
        <v>783</v>
      </c>
      <c r="F101" s="378" t="s">
        <v>1023</v>
      </c>
      <c r="G101" s="378" t="s">
        <v>1239</v>
      </c>
      <c r="H101" s="378"/>
      <c r="I101" s="378" t="s">
        <v>1022</v>
      </c>
    </row>
    <row r="102" spans="2:9">
      <c r="B102" s="378" t="s">
        <v>1418</v>
      </c>
      <c r="C102" s="378" t="s">
        <v>637</v>
      </c>
      <c r="D102" s="378" t="s">
        <v>638</v>
      </c>
      <c r="E102" s="378" t="s">
        <v>783</v>
      </c>
      <c r="F102" s="378" t="s">
        <v>1023</v>
      </c>
      <c r="G102" s="378" t="s">
        <v>1239</v>
      </c>
      <c r="H102" s="378"/>
      <c r="I102" s="378" t="s">
        <v>1022</v>
      </c>
    </row>
    <row r="103" spans="2:9">
      <c r="B103" s="378" t="s">
        <v>1418</v>
      </c>
      <c r="C103" s="378" t="s">
        <v>617</v>
      </c>
      <c r="D103" s="378" t="s">
        <v>618</v>
      </c>
      <c r="E103" s="378" t="s">
        <v>783</v>
      </c>
      <c r="F103" s="378" t="s">
        <v>1023</v>
      </c>
      <c r="G103" s="378" t="s">
        <v>1239</v>
      </c>
      <c r="H103" s="378"/>
      <c r="I103" s="378" t="s">
        <v>1022</v>
      </c>
    </row>
    <row r="104" spans="2:9">
      <c r="B104" s="378" t="s">
        <v>1418</v>
      </c>
      <c r="C104" s="378" t="s">
        <v>621</v>
      </c>
      <c r="D104" s="378" t="s">
        <v>622</v>
      </c>
      <c r="E104" s="378" t="s">
        <v>783</v>
      </c>
      <c r="F104" s="378" t="s">
        <v>1023</v>
      </c>
      <c r="G104" s="378" t="s">
        <v>1239</v>
      </c>
      <c r="H104" s="378"/>
      <c r="I104" s="378" t="s">
        <v>1022</v>
      </c>
    </row>
    <row r="105" spans="2:9">
      <c r="B105" s="378" t="s">
        <v>1418</v>
      </c>
      <c r="C105" s="378" t="s">
        <v>633</v>
      </c>
      <c r="D105" s="378" t="s">
        <v>634</v>
      </c>
      <c r="E105" s="378" t="s">
        <v>783</v>
      </c>
      <c r="F105" s="378" t="s">
        <v>1023</v>
      </c>
      <c r="G105" s="378" t="s">
        <v>1239</v>
      </c>
      <c r="H105" s="378"/>
      <c r="I105" s="378" t="s">
        <v>1022</v>
      </c>
    </row>
    <row r="106" spans="2:9">
      <c r="B106" s="378" t="s">
        <v>1418</v>
      </c>
      <c r="C106" s="378" t="s">
        <v>1158</v>
      </c>
      <c r="D106" s="378" t="s">
        <v>1159</v>
      </c>
      <c r="E106" s="378" t="s">
        <v>783</v>
      </c>
      <c r="F106" s="378" t="s">
        <v>1023</v>
      </c>
      <c r="G106" s="378" t="s">
        <v>1239</v>
      </c>
      <c r="H106" s="378"/>
      <c r="I106" s="378" t="s">
        <v>1022</v>
      </c>
    </row>
    <row r="107" spans="2:9">
      <c r="B107" s="378" t="s">
        <v>1418</v>
      </c>
      <c r="C107" s="378" t="s">
        <v>639</v>
      </c>
      <c r="D107" s="378" t="s">
        <v>640</v>
      </c>
      <c r="E107" s="378" t="s">
        <v>783</v>
      </c>
      <c r="F107" s="378" t="s">
        <v>1023</v>
      </c>
      <c r="G107" s="378" t="s">
        <v>1239</v>
      </c>
      <c r="H107" s="378"/>
      <c r="I107" s="378" t="s">
        <v>1022</v>
      </c>
    </row>
    <row r="108" spans="2:9">
      <c r="B108" s="378" t="s">
        <v>1418</v>
      </c>
      <c r="C108" s="378" t="s">
        <v>1167</v>
      </c>
      <c r="D108" s="378" t="s">
        <v>1162</v>
      </c>
      <c r="E108" s="378" t="s">
        <v>783</v>
      </c>
      <c r="F108" s="378" t="s">
        <v>1023</v>
      </c>
      <c r="G108" s="378" t="s">
        <v>896</v>
      </c>
      <c r="H108" s="378"/>
      <c r="I108" s="378" t="s">
        <v>1022</v>
      </c>
    </row>
    <row r="109" spans="2:9">
      <c r="B109" s="378" t="s">
        <v>1418</v>
      </c>
      <c r="C109" s="378" t="s">
        <v>468</v>
      </c>
      <c r="D109" s="378" t="s">
        <v>334</v>
      </c>
      <c r="E109" s="378" t="s">
        <v>783</v>
      </c>
      <c r="F109" s="378" t="s">
        <v>1023</v>
      </c>
      <c r="G109" s="378" t="s">
        <v>1239</v>
      </c>
      <c r="H109" s="378"/>
      <c r="I109" s="378" t="s">
        <v>1022</v>
      </c>
    </row>
    <row r="110" spans="2:9">
      <c r="B110" s="378" t="s">
        <v>1418</v>
      </c>
      <c r="C110" s="378" t="s">
        <v>726</v>
      </c>
      <c r="D110" s="378" t="s">
        <v>727</v>
      </c>
      <c r="E110" s="378" t="s">
        <v>783</v>
      </c>
      <c r="F110" s="378" t="s">
        <v>1023</v>
      </c>
      <c r="G110" s="378" t="s">
        <v>1239</v>
      </c>
      <c r="H110" s="378"/>
      <c r="I110" s="378" t="s">
        <v>1022</v>
      </c>
    </row>
    <row r="111" spans="2:9">
      <c r="B111" s="378" t="s">
        <v>1418</v>
      </c>
      <c r="C111" s="378" t="s">
        <v>155</v>
      </c>
      <c r="D111" s="378" t="s">
        <v>548</v>
      </c>
      <c r="E111" s="378" t="s">
        <v>783</v>
      </c>
      <c r="F111" s="378" t="s">
        <v>1023</v>
      </c>
      <c r="G111" s="378" t="s">
        <v>1239</v>
      </c>
      <c r="H111" s="378"/>
      <c r="I111" s="378" t="s">
        <v>1022</v>
      </c>
    </row>
    <row r="112" spans="2:9">
      <c r="B112" s="378" t="s">
        <v>1418</v>
      </c>
      <c r="C112" s="378" t="s">
        <v>741</v>
      </c>
      <c r="D112" s="378" t="s">
        <v>740</v>
      </c>
      <c r="E112" s="378" t="s">
        <v>783</v>
      </c>
      <c r="F112" s="378" t="s">
        <v>1023</v>
      </c>
      <c r="G112" s="378" t="s">
        <v>1239</v>
      </c>
      <c r="H112" s="378"/>
      <c r="I112" s="378" t="s">
        <v>1022</v>
      </c>
    </row>
    <row r="113" spans="2:9">
      <c r="B113" s="378" t="s">
        <v>1418</v>
      </c>
      <c r="C113" s="378" t="s">
        <v>153</v>
      </c>
      <c r="D113" s="378" t="s">
        <v>47</v>
      </c>
      <c r="E113" s="378" t="s">
        <v>783</v>
      </c>
      <c r="F113" s="378" t="s">
        <v>1023</v>
      </c>
      <c r="G113" s="378" t="s">
        <v>1239</v>
      </c>
      <c r="H113" s="378"/>
      <c r="I113" s="378" t="s">
        <v>1022</v>
      </c>
    </row>
    <row r="114" spans="2:9">
      <c r="B114" s="378" t="s">
        <v>1418</v>
      </c>
      <c r="C114" s="378" t="s">
        <v>152</v>
      </c>
      <c r="D114" s="378" t="s">
        <v>546</v>
      </c>
      <c r="E114" s="378" t="s">
        <v>783</v>
      </c>
      <c r="F114" s="378" t="s">
        <v>1023</v>
      </c>
      <c r="G114" s="378" t="s">
        <v>1239</v>
      </c>
      <c r="H114" s="378"/>
      <c r="I114" s="378" t="s">
        <v>1022</v>
      </c>
    </row>
    <row r="115" spans="2:9">
      <c r="B115" s="378" t="s">
        <v>1418</v>
      </c>
      <c r="C115" s="378" t="s">
        <v>156</v>
      </c>
      <c r="D115" s="378" t="s">
        <v>553</v>
      </c>
      <c r="E115" s="378" t="s">
        <v>783</v>
      </c>
      <c r="F115" s="378" t="s">
        <v>1023</v>
      </c>
      <c r="G115" s="378" t="s">
        <v>1239</v>
      </c>
      <c r="H115" s="378"/>
      <c r="I115" s="378" t="s">
        <v>1022</v>
      </c>
    </row>
    <row r="116" spans="2:9">
      <c r="B116" s="378" t="s">
        <v>1418</v>
      </c>
      <c r="C116" s="378" t="s">
        <v>154</v>
      </c>
      <c r="D116" s="378" t="s">
        <v>547</v>
      </c>
      <c r="E116" s="378" t="s">
        <v>783</v>
      </c>
      <c r="F116" s="378" t="s">
        <v>1023</v>
      </c>
      <c r="G116" s="378" t="s">
        <v>1239</v>
      </c>
      <c r="H116" s="378"/>
      <c r="I116" s="378" t="s">
        <v>1022</v>
      </c>
    </row>
    <row r="117" spans="2:9">
      <c r="B117" s="378" t="s">
        <v>1418</v>
      </c>
      <c r="C117" s="378" t="s">
        <v>1056</v>
      </c>
      <c r="D117" s="378" t="s">
        <v>683</v>
      </c>
      <c r="E117" s="378" t="s">
        <v>783</v>
      </c>
      <c r="F117" s="378" t="s">
        <v>1023</v>
      </c>
      <c r="G117" s="378" t="s">
        <v>1239</v>
      </c>
      <c r="H117" s="378"/>
      <c r="I117" s="378" t="s">
        <v>1022</v>
      </c>
    </row>
    <row r="118" spans="2:9">
      <c r="B118" s="378" t="s">
        <v>1418</v>
      </c>
      <c r="C118" s="378" t="s">
        <v>1057</v>
      </c>
      <c r="D118" s="378" t="s">
        <v>687</v>
      </c>
      <c r="E118" s="378" t="s">
        <v>783</v>
      </c>
      <c r="F118" s="378" t="s">
        <v>1023</v>
      </c>
      <c r="G118" s="378" t="s">
        <v>1239</v>
      </c>
      <c r="H118" s="378"/>
      <c r="I118" s="378" t="s">
        <v>1022</v>
      </c>
    </row>
    <row r="119" spans="2:9">
      <c r="B119" s="378" t="s">
        <v>1418</v>
      </c>
      <c r="C119" s="378" t="s">
        <v>1058</v>
      </c>
      <c r="D119" s="378" t="s">
        <v>685</v>
      </c>
      <c r="E119" s="378" t="s">
        <v>783</v>
      </c>
      <c r="F119" s="378" t="s">
        <v>1023</v>
      </c>
      <c r="G119" s="378" t="s">
        <v>1239</v>
      </c>
      <c r="H119" s="378"/>
      <c r="I119" s="378" t="s">
        <v>1022</v>
      </c>
    </row>
    <row r="120" spans="2:9">
      <c r="B120" s="378" t="s">
        <v>1418</v>
      </c>
      <c r="C120" s="378" t="s">
        <v>1059</v>
      </c>
      <c r="D120" s="378" t="s">
        <v>682</v>
      </c>
      <c r="E120" s="378" t="s">
        <v>783</v>
      </c>
      <c r="F120" s="378" t="s">
        <v>1023</v>
      </c>
      <c r="G120" s="378" t="s">
        <v>1239</v>
      </c>
      <c r="H120" s="378"/>
      <c r="I120" s="378" t="s">
        <v>1022</v>
      </c>
    </row>
    <row r="121" spans="2:9">
      <c r="B121" s="378" t="s">
        <v>1418</v>
      </c>
      <c r="C121" s="378" t="s">
        <v>1060</v>
      </c>
      <c r="D121" s="378" t="s">
        <v>689</v>
      </c>
      <c r="E121" s="378" t="s">
        <v>783</v>
      </c>
      <c r="F121" s="378" t="s">
        <v>1023</v>
      </c>
      <c r="G121" s="378" t="s">
        <v>1239</v>
      </c>
      <c r="H121" s="378"/>
      <c r="I121" s="378" t="s">
        <v>1022</v>
      </c>
    </row>
    <row r="122" spans="2:9">
      <c r="B122" s="378" t="s">
        <v>1418</v>
      </c>
      <c r="C122" s="378" t="s">
        <v>1061</v>
      </c>
      <c r="D122" s="378" t="s">
        <v>438</v>
      </c>
      <c r="E122" s="378" t="s">
        <v>783</v>
      </c>
      <c r="F122" s="378" t="s">
        <v>1023</v>
      </c>
      <c r="G122" s="378" t="s">
        <v>1239</v>
      </c>
      <c r="H122" s="378"/>
      <c r="I122" s="378" t="s">
        <v>1022</v>
      </c>
    </row>
    <row r="123" spans="2:9">
      <c r="B123" s="378" t="s">
        <v>1418</v>
      </c>
      <c r="C123" s="378" t="s">
        <v>1062</v>
      </c>
      <c r="D123" s="378" t="s">
        <v>686</v>
      </c>
      <c r="E123" s="378" t="s">
        <v>783</v>
      </c>
      <c r="F123" s="378" t="s">
        <v>1023</v>
      </c>
      <c r="G123" s="378" t="s">
        <v>1239</v>
      </c>
      <c r="H123" s="378"/>
      <c r="I123" s="378" t="s">
        <v>1022</v>
      </c>
    </row>
    <row r="124" spans="2:9">
      <c r="B124" s="378" t="s">
        <v>1418</v>
      </c>
      <c r="C124" s="378" t="s">
        <v>1063</v>
      </c>
      <c r="D124" s="378" t="s">
        <v>680</v>
      </c>
      <c r="E124" s="378" t="s">
        <v>783</v>
      </c>
      <c r="F124" s="378" t="s">
        <v>1023</v>
      </c>
      <c r="G124" s="378" t="s">
        <v>1239</v>
      </c>
      <c r="H124" s="378"/>
      <c r="I124" s="378" t="s">
        <v>1022</v>
      </c>
    </row>
    <row r="125" spans="2:9">
      <c r="B125" s="378" t="s">
        <v>1418</v>
      </c>
      <c r="C125" s="378" t="s">
        <v>1064</v>
      </c>
      <c r="D125" s="378" t="s">
        <v>688</v>
      </c>
      <c r="E125" s="378" t="s">
        <v>783</v>
      </c>
      <c r="F125" s="378" t="s">
        <v>1023</v>
      </c>
      <c r="G125" s="378" t="s">
        <v>1239</v>
      </c>
      <c r="H125" s="378"/>
      <c r="I125" s="378" t="s">
        <v>1022</v>
      </c>
    </row>
    <row r="126" spans="2:9">
      <c r="B126" s="378" t="s">
        <v>1418</v>
      </c>
      <c r="C126" s="378" t="s">
        <v>1065</v>
      </c>
      <c r="D126" s="378" t="s">
        <v>684</v>
      </c>
      <c r="E126" s="378" t="s">
        <v>783</v>
      </c>
      <c r="F126" s="378" t="s">
        <v>1023</v>
      </c>
      <c r="G126" s="378" t="s">
        <v>1239</v>
      </c>
      <c r="H126" s="378"/>
      <c r="I126" s="378" t="s">
        <v>1022</v>
      </c>
    </row>
    <row r="127" spans="2:9">
      <c r="B127" s="378" t="s">
        <v>1418</v>
      </c>
      <c r="C127" s="378" t="s">
        <v>1066</v>
      </c>
      <c r="D127" s="378" t="s">
        <v>681</v>
      </c>
      <c r="E127" s="378" t="s">
        <v>783</v>
      </c>
      <c r="F127" s="378" t="s">
        <v>1023</v>
      </c>
      <c r="G127" s="378" t="s">
        <v>1239</v>
      </c>
      <c r="H127" s="378"/>
      <c r="I127" s="378" t="s">
        <v>1022</v>
      </c>
    </row>
    <row r="128" spans="2:9">
      <c r="B128" s="378" t="s">
        <v>1418</v>
      </c>
      <c r="C128" s="378" t="s">
        <v>1160</v>
      </c>
      <c r="D128" s="378" t="s">
        <v>1161</v>
      </c>
      <c r="E128" s="378" t="s">
        <v>783</v>
      </c>
      <c r="F128" s="378" t="s">
        <v>1023</v>
      </c>
      <c r="G128" s="378" t="s">
        <v>1239</v>
      </c>
      <c r="H128" s="378"/>
      <c r="I128" s="378" t="s">
        <v>1022</v>
      </c>
    </row>
    <row r="129" spans="2:9">
      <c r="B129" s="378" t="s">
        <v>1418</v>
      </c>
      <c r="C129" s="378" t="s">
        <v>1067</v>
      </c>
      <c r="D129" s="378" t="s">
        <v>690</v>
      </c>
      <c r="E129" s="378" t="s">
        <v>783</v>
      </c>
      <c r="F129" s="378" t="s">
        <v>1023</v>
      </c>
      <c r="G129" s="378" t="s">
        <v>1239</v>
      </c>
      <c r="H129" s="378"/>
      <c r="I129" s="378" t="s">
        <v>1022</v>
      </c>
    </row>
    <row r="130" spans="2:9">
      <c r="B130" s="378" t="s">
        <v>1418</v>
      </c>
      <c r="C130" s="378" t="s">
        <v>760</v>
      </c>
      <c r="D130" s="378" t="s">
        <v>764</v>
      </c>
      <c r="E130" s="378" t="s">
        <v>783</v>
      </c>
      <c r="F130" s="378" t="s">
        <v>1023</v>
      </c>
      <c r="G130" s="378" t="s">
        <v>1239</v>
      </c>
      <c r="H130" s="378"/>
      <c r="I130" s="378" t="s">
        <v>1022</v>
      </c>
    </row>
    <row r="131" spans="2:9">
      <c r="B131" s="378" t="s">
        <v>1418</v>
      </c>
      <c r="C131" s="378" t="s">
        <v>1069</v>
      </c>
      <c r="D131" s="378" t="s">
        <v>679</v>
      </c>
      <c r="E131" s="378" t="s">
        <v>783</v>
      </c>
      <c r="F131" s="378" t="s">
        <v>1023</v>
      </c>
      <c r="G131" s="378" t="s">
        <v>1239</v>
      </c>
      <c r="H131" s="378"/>
      <c r="I131" s="378" t="s">
        <v>1022</v>
      </c>
    </row>
    <row r="132" spans="2:9">
      <c r="B132" s="378" t="s">
        <v>1421</v>
      </c>
      <c r="C132" s="378" t="s">
        <v>78</v>
      </c>
      <c r="D132" s="378" t="s">
        <v>1222</v>
      </c>
      <c r="E132" s="378" t="s">
        <v>783</v>
      </c>
      <c r="F132" s="378" t="s">
        <v>1023</v>
      </c>
      <c r="G132" s="378"/>
      <c r="H132" s="378"/>
      <c r="I132" s="378" t="s">
        <v>1022</v>
      </c>
    </row>
    <row r="133" spans="2:9">
      <c r="B133" s="378" t="s">
        <v>1421</v>
      </c>
      <c r="C133" s="378" t="s">
        <v>1216</v>
      </c>
      <c r="D133" s="378" t="s">
        <v>1123</v>
      </c>
      <c r="E133" s="378" t="s">
        <v>783</v>
      </c>
      <c r="F133" s="378" t="s">
        <v>1023</v>
      </c>
      <c r="G133" s="378"/>
      <c r="H133" s="378"/>
      <c r="I133" s="378" t="s">
        <v>1022</v>
      </c>
    </row>
    <row r="134" spans="2:9">
      <c r="B134" s="378" t="s">
        <v>1421</v>
      </c>
      <c r="C134" s="378" t="s">
        <v>1217</v>
      </c>
      <c r="D134" s="378" t="s">
        <v>1122</v>
      </c>
      <c r="E134" s="378" t="s">
        <v>783</v>
      </c>
      <c r="F134" s="378" t="s">
        <v>1023</v>
      </c>
      <c r="G134" s="378"/>
      <c r="H134" s="378"/>
      <c r="I134" s="378" t="s">
        <v>1022</v>
      </c>
    </row>
    <row r="135" spans="2:9">
      <c r="B135" s="378" t="s">
        <v>1421</v>
      </c>
      <c r="C135" s="378" t="s">
        <v>1218</v>
      </c>
      <c r="D135" s="378" t="s">
        <v>1121</v>
      </c>
      <c r="E135" s="378" t="s">
        <v>783</v>
      </c>
      <c r="F135" s="378" t="s">
        <v>1023</v>
      </c>
      <c r="G135" s="378"/>
      <c r="H135" s="378"/>
      <c r="I135" s="378" t="s">
        <v>1022</v>
      </c>
    </row>
    <row r="136" spans="2:9">
      <c r="B136" s="378" t="s">
        <v>1421</v>
      </c>
      <c r="C136" s="378" t="s">
        <v>1219</v>
      </c>
      <c r="D136" s="378" t="s">
        <v>1120</v>
      </c>
      <c r="E136" s="378" t="s">
        <v>783</v>
      </c>
      <c r="F136" s="378" t="s">
        <v>1023</v>
      </c>
      <c r="G136" s="378"/>
      <c r="H136" s="378"/>
      <c r="I136" s="378" t="s">
        <v>1022</v>
      </c>
    </row>
    <row r="137" spans="2:9">
      <c r="B137" s="378" t="s">
        <v>1421</v>
      </c>
      <c r="C137" s="378" t="s">
        <v>1220</v>
      </c>
      <c r="D137" s="378" t="s">
        <v>1119</v>
      </c>
      <c r="E137" s="378" t="s">
        <v>783</v>
      </c>
      <c r="F137" s="378" t="s">
        <v>1023</v>
      </c>
      <c r="G137" s="378"/>
      <c r="H137" s="378" t="s">
        <v>1116</v>
      </c>
      <c r="I137" s="378" t="s">
        <v>1022</v>
      </c>
    </row>
    <row r="138" spans="2:9">
      <c r="B138" s="378" t="s">
        <v>1421</v>
      </c>
      <c r="C138" s="378" t="s">
        <v>1221</v>
      </c>
      <c r="D138" s="378" t="s">
        <v>1118</v>
      </c>
      <c r="E138" s="378" t="s">
        <v>783</v>
      </c>
      <c r="F138" s="378" t="s">
        <v>1023</v>
      </c>
      <c r="G138" s="378"/>
      <c r="H138" s="378"/>
      <c r="I138" s="378" t="s">
        <v>1022</v>
      </c>
    </row>
    <row r="139" spans="2:9">
      <c r="B139" s="378" t="s">
        <v>1420</v>
      </c>
      <c r="C139" s="378" t="s">
        <v>385</v>
      </c>
      <c r="D139" s="378" t="s">
        <v>386</v>
      </c>
      <c r="E139" s="378" t="s">
        <v>783</v>
      </c>
      <c r="F139" s="378" t="s">
        <v>1023</v>
      </c>
      <c r="G139" s="378"/>
      <c r="H139" s="378"/>
      <c r="I139" s="378" t="s">
        <v>1022</v>
      </c>
    </row>
    <row r="140" spans="2:9">
      <c r="B140" s="378" t="s">
        <v>1420</v>
      </c>
      <c r="C140" s="378" t="s">
        <v>384</v>
      </c>
      <c r="D140" s="378" t="s">
        <v>397</v>
      </c>
      <c r="E140" s="378" t="s">
        <v>783</v>
      </c>
      <c r="F140" s="378" t="s">
        <v>1023</v>
      </c>
      <c r="G140" s="378"/>
      <c r="H140" s="378"/>
      <c r="I140" s="378" t="s">
        <v>1022</v>
      </c>
    </row>
    <row r="141" spans="2:9">
      <c r="B141" s="378" t="s">
        <v>1420</v>
      </c>
      <c r="C141" s="378" t="s">
        <v>500</v>
      </c>
      <c r="D141" s="378" t="s">
        <v>111</v>
      </c>
      <c r="E141" s="378" t="s">
        <v>783</v>
      </c>
      <c r="F141" s="378" t="s">
        <v>1023</v>
      </c>
      <c r="G141" s="378"/>
      <c r="H141" s="378"/>
      <c r="I141" s="378" t="s">
        <v>1022</v>
      </c>
    </row>
    <row r="142" spans="2:9">
      <c r="B142" s="378" t="s">
        <v>1420</v>
      </c>
      <c r="C142" s="378" t="s">
        <v>383</v>
      </c>
      <c r="D142" s="378" t="s">
        <v>398</v>
      </c>
      <c r="E142" s="378" t="s">
        <v>783</v>
      </c>
      <c r="F142" s="378" t="s">
        <v>1023</v>
      </c>
      <c r="G142" s="378"/>
      <c r="H142" s="378"/>
      <c r="I142" s="378" t="s">
        <v>1022</v>
      </c>
    </row>
    <row r="143" spans="2:9">
      <c r="B143" s="378" t="s">
        <v>1420</v>
      </c>
      <c r="C143" s="378" t="s">
        <v>387</v>
      </c>
      <c r="D143" s="378" t="s">
        <v>399</v>
      </c>
      <c r="E143" s="378" t="s">
        <v>783</v>
      </c>
      <c r="F143" s="378" t="s">
        <v>1023</v>
      </c>
      <c r="G143" s="378"/>
      <c r="H143" s="378"/>
      <c r="I143" s="378" t="s">
        <v>1022</v>
      </c>
    </row>
    <row r="144" spans="2:9">
      <c r="B144" s="378" t="s">
        <v>1420</v>
      </c>
      <c r="C144" s="378" t="s">
        <v>168</v>
      </c>
      <c r="D144" s="378" t="s">
        <v>400</v>
      </c>
      <c r="E144" s="378" t="s">
        <v>783</v>
      </c>
      <c r="F144" s="378" t="s">
        <v>1023</v>
      </c>
      <c r="G144" s="378"/>
      <c r="H144" s="378"/>
      <c r="I144" s="378" t="s">
        <v>1022</v>
      </c>
    </row>
    <row r="145" spans="2:9">
      <c r="B145" s="378" t="s">
        <v>1420</v>
      </c>
      <c r="C145" s="378" t="s">
        <v>522</v>
      </c>
      <c r="D145" s="378" t="s">
        <v>523</v>
      </c>
      <c r="E145" s="378" t="s">
        <v>783</v>
      </c>
      <c r="F145" s="378" t="s">
        <v>1023</v>
      </c>
      <c r="G145" s="378"/>
      <c r="H145" s="378"/>
      <c r="I145" s="378" t="s">
        <v>1022</v>
      </c>
    </row>
    <row r="146" spans="2:9">
      <c r="B146" s="378" t="s">
        <v>1420</v>
      </c>
      <c r="C146" s="378" t="s">
        <v>514</v>
      </c>
      <c r="D146" s="378" t="s">
        <v>515</v>
      </c>
      <c r="E146" s="378" t="s">
        <v>783</v>
      </c>
      <c r="F146" s="378" t="s">
        <v>1023</v>
      </c>
      <c r="G146" s="378"/>
      <c r="H146" s="378"/>
      <c r="I146" s="378" t="s">
        <v>1022</v>
      </c>
    </row>
    <row r="147" spans="2:9">
      <c r="B147" s="378" t="s">
        <v>1420</v>
      </c>
      <c r="C147" s="378" t="s">
        <v>518</v>
      </c>
      <c r="D147" s="378" t="s">
        <v>519</v>
      </c>
      <c r="E147" s="378" t="s">
        <v>783</v>
      </c>
      <c r="F147" s="378" t="s">
        <v>1023</v>
      </c>
      <c r="G147" s="378"/>
      <c r="H147" s="378"/>
      <c r="I147" s="378" t="s">
        <v>1022</v>
      </c>
    </row>
    <row r="148" spans="2:9">
      <c r="B148" s="378" t="s">
        <v>1420</v>
      </c>
      <c r="C148" s="378" t="s">
        <v>520</v>
      </c>
      <c r="D148" s="378" t="s">
        <v>521</v>
      </c>
      <c r="E148" s="378" t="s">
        <v>783</v>
      </c>
      <c r="F148" s="378" t="s">
        <v>1023</v>
      </c>
      <c r="G148" s="378"/>
      <c r="H148" s="378"/>
      <c r="I148" s="378" t="s">
        <v>1022</v>
      </c>
    </row>
    <row r="149" spans="2:9">
      <c r="B149" s="378" t="s">
        <v>1420</v>
      </c>
      <c r="C149" s="378" t="s">
        <v>516</v>
      </c>
      <c r="D149" s="378" t="s">
        <v>517</v>
      </c>
      <c r="E149" s="378" t="s">
        <v>783</v>
      </c>
      <c r="F149" s="378" t="s">
        <v>1023</v>
      </c>
      <c r="G149" s="378"/>
      <c r="H149" s="378"/>
      <c r="I149" s="378" t="s">
        <v>1022</v>
      </c>
    </row>
    <row r="150" spans="2:9">
      <c r="B150" s="378" t="s">
        <v>1420</v>
      </c>
      <c r="C150" s="378" t="s">
        <v>510</v>
      </c>
      <c r="D150" s="378" t="s">
        <v>511</v>
      </c>
      <c r="E150" s="378" t="s">
        <v>783</v>
      </c>
      <c r="F150" s="378" t="s">
        <v>1023</v>
      </c>
      <c r="G150" s="378"/>
      <c r="H150" s="378"/>
      <c r="I150" s="378" t="s">
        <v>1022</v>
      </c>
    </row>
    <row r="151" spans="2:9">
      <c r="B151" s="378" t="s">
        <v>1420</v>
      </c>
      <c r="C151" s="378" t="s">
        <v>524</v>
      </c>
      <c r="D151" s="378" t="s">
        <v>525</v>
      </c>
      <c r="E151" s="378" t="s">
        <v>783</v>
      </c>
      <c r="F151" s="378" t="s">
        <v>1023</v>
      </c>
      <c r="G151" s="378"/>
      <c r="H151" s="378"/>
      <c r="I151" s="378" t="s">
        <v>1022</v>
      </c>
    </row>
    <row r="152" spans="2:9">
      <c r="B152" s="378" t="s">
        <v>1420</v>
      </c>
      <c r="C152" s="378" t="s">
        <v>508</v>
      </c>
      <c r="D152" s="378" t="s">
        <v>509</v>
      </c>
      <c r="E152" s="378" t="s">
        <v>783</v>
      </c>
      <c r="F152" s="378" t="s">
        <v>1023</v>
      </c>
      <c r="G152" s="378"/>
      <c r="H152" s="378"/>
      <c r="I152" s="378" t="s">
        <v>1022</v>
      </c>
    </row>
    <row r="153" spans="2:9">
      <c r="B153" s="378" t="s">
        <v>1420</v>
      </c>
      <c r="C153" s="378" t="s">
        <v>512</v>
      </c>
      <c r="D153" s="378" t="s">
        <v>513</v>
      </c>
      <c r="E153" s="378" t="s">
        <v>783</v>
      </c>
      <c r="F153" s="378" t="s">
        <v>1023</v>
      </c>
      <c r="G153" s="378"/>
      <c r="H153" s="378"/>
      <c r="I153" s="378" t="s">
        <v>1022</v>
      </c>
    </row>
    <row r="154" spans="2:9">
      <c r="B154" s="378" t="s">
        <v>1420</v>
      </c>
      <c r="C154" s="378" t="s">
        <v>1257</v>
      </c>
      <c r="D154" s="378" t="s">
        <v>678</v>
      </c>
      <c r="E154" s="378" t="s">
        <v>783</v>
      </c>
      <c r="F154" s="378" t="s">
        <v>1023</v>
      </c>
      <c r="G154" s="378" t="s">
        <v>896</v>
      </c>
      <c r="H154" s="378"/>
      <c r="I154" s="378" t="s">
        <v>1022</v>
      </c>
    </row>
    <row r="155" spans="2:9">
      <c r="B155" s="378" t="s">
        <v>1420</v>
      </c>
      <c r="C155" s="378" t="s">
        <v>1258</v>
      </c>
      <c r="D155" s="378" t="s">
        <v>677</v>
      </c>
      <c r="E155" s="378" t="s">
        <v>783</v>
      </c>
      <c r="F155" s="378" t="s">
        <v>1023</v>
      </c>
      <c r="G155" s="378" t="s">
        <v>896</v>
      </c>
      <c r="H155" s="378"/>
      <c r="I155" s="378" t="s">
        <v>1022</v>
      </c>
    </row>
    <row r="156" spans="2:9">
      <c r="B156" s="378" t="s">
        <v>1420</v>
      </c>
      <c r="C156" s="378" t="s">
        <v>1259</v>
      </c>
      <c r="D156" s="378" t="s">
        <v>678</v>
      </c>
      <c r="E156" s="378" t="s">
        <v>783</v>
      </c>
      <c r="F156" s="378" t="s">
        <v>1023</v>
      </c>
      <c r="G156" s="378" t="s">
        <v>896</v>
      </c>
      <c r="H156" s="378"/>
      <c r="I156" s="378" t="s">
        <v>1022</v>
      </c>
    </row>
    <row r="157" spans="2:9">
      <c r="B157" s="378" t="s">
        <v>1420</v>
      </c>
      <c r="C157" s="378" t="s">
        <v>1260</v>
      </c>
      <c r="D157" s="378" t="s">
        <v>677</v>
      </c>
      <c r="E157" s="378" t="s">
        <v>783</v>
      </c>
      <c r="F157" s="378" t="s">
        <v>1023</v>
      </c>
      <c r="G157" s="378" t="s">
        <v>896</v>
      </c>
      <c r="H157" s="378"/>
      <c r="I157" s="378" t="s">
        <v>1022</v>
      </c>
    </row>
    <row r="158" spans="2:9">
      <c r="B158" s="378" t="s">
        <v>1420</v>
      </c>
      <c r="C158" s="378" t="s">
        <v>1261</v>
      </c>
      <c r="D158" s="378" t="s">
        <v>678</v>
      </c>
      <c r="E158" s="378" t="s">
        <v>783</v>
      </c>
      <c r="F158" s="378" t="s">
        <v>1023</v>
      </c>
      <c r="G158" s="378" t="s">
        <v>896</v>
      </c>
      <c r="H158" s="378"/>
      <c r="I158" s="378" t="s">
        <v>1022</v>
      </c>
    </row>
    <row r="159" spans="2:9">
      <c r="B159" s="378" t="s">
        <v>1420</v>
      </c>
      <c r="C159" s="378" t="s">
        <v>1262</v>
      </c>
      <c r="D159" s="378" t="s">
        <v>677</v>
      </c>
      <c r="E159" s="378" t="s">
        <v>783</v>
      </c>
      <c r="F159" s="378" t="s">
        <v>1023</v>
      </c>
      <c r="G159" s="378" t="s">
        <v>896</v>
      </c>
      <c r="H159" s="378"/>
      <c r="I159" s="378" t="s">
        <v>1022</v>
      </c>
    </row>
    <row r="160" spans="2:9">
      <c r="B160" s="378" t="s">
        <v>1420</v>
      </c>
      <c r="C160" s="378" t="s">
        <v>1263</v>
      </c>
      <c r="D160" s="378" t="s">
        <v>678</v>
      </c>
      <c r="E160" s="378" t="s">
        <v>783</v>
      </c>
      <c r="F160" s="378" t="s">
        <v>1023</v>
      </c>
      <c r="G160" s="378" t="s">
        <v>896</v>
      </c>
      <c r="H160" s="378"/>
      <c r="I160" s="378" t="s">
        <v>1022</v>
      </c>
    </row>
    <row r="161" spans="2:9">
      <c r="B161" s="378" t="s">
        <v>1420</v>
      </c>
      <c r="C161" s="378" t="s">
        <v>1264</v>
      </c>
      <c r="D161" s="378" t="s">
        <v>677</v>
      </c>
      <c r="E161" s="378" t="s">
        <v>783</v>
      </c>
      <c r="F161" s="378" t="s">
        <v>1023</v>
      </c>
      <c r="G161" s="378" t="s">
        <v>896</v>
      </c>
      <c r="H161" s="378"/>
      <c r="I161" s="378" t="s">
        <v>1022</v>
      </c>
    </row>
    <row r="162" spans="2:9">
      <c r="B162" s="378" t="s">
        <v>1420</v>
      </c>
      <c r="C162" s="378" t="s">
        <v>1265</v>
      </c>
      <c r="D162" s="378" t="s">
        <v>678</v>
      </c>
      <c r="E162" s="378" t="s">
        <v>783</v>
      </c>
      <c r="F162" s="378" t="s">
        <v>1023</v>
      </c>
      <c r="G162" s="378" t="s">
        <v>896</v>
      </c>
      <c r="H162" s="378"/>
      <c r="I162" s="378" t="s">
        <v>1022</v>
      </c>
    </row>
    <row r="163" spans="2:9">
      <c r="B163" s="378" t="s">
        <v>1420</v>
      </c>
      <c r="C163" s="378" t="s">
        <v>1266</v>
      </c>
      <c r="D163" s="378" t="s">
        <v>677</v>
      </c>
      <c r="E163" s="378" t="s">
        <v>783</v>
      </c>
      <c r="F163" s="378" t="s">
        <v>1023</v>
      </c>
      <c r="G163" s="378" t="s">
        <v>896</v>
      </c>
      <c r="H163" s="378"/>
      <c r="I163" s="378" t="s">
        <v>1022</v>
      </c>
    </row>
    <row r="164" spans="2:9">
      <c r="B164" s="378" t="s">
        <v>1420</v>
      </c>
      <c r="C164" s="378" t="s">
        <v>158</v>
      </c>
      <c r="D164" s="378" t="s">
        <v>58</v>
      </c>
      <c r="E164" s="378" t="s">
        <v>783</v>
      </c>
      <c r="F164" s="378" t="s">
        <v>1023</v>
      </c>
      <c r="G164" s="378"/>
      <c r="H164" s="378"/>
      <c r="I164" s="378" t="s">
        <v>1022</v>
      </c>
    </row>
    <row r="165" spans="2:9">
      <c r="B165" s="378" t="s">
        <v>1420</v>
      </c>
      <c r="C165" s="378" t="s">
        <v>160</v>
      </c>
      <c r="D165" s="378" t="s">
        <v>776</v>
      </c>
      <c r="E165" s="378" t="s">
        <v>783</v>
      </c>
      <c r="F165" s="378" t="s">
        <v>1023</v>
      </c>
      <c r="G165" s="378"/>
      <c r="H165" s="378"/>
      <c r="I165" s="378" t="s">
        <v>1022</v>
      </c>
    </row>
    <row r="166" spans="2:9">
      <c r="B166" s="378" t="s">
        <v>1420</v>
      </c>
      <c r="C166" s="378" t="s">
        <v>157</v>
      </c>
      <c r="D166" s="378" t="s">
        <v>554</v>
      </c>
      <c r="E166" s="378" t="s">
        <v>783</v>
      </c>
      <c r="F166" s="378" t="s">
        <v>1023</v>
      </c>
      <c r="G166" s="378"/>
      <c r="H166" s="378"/>
      <c r="I166" s="378" t="s">
        <v>1022</v>
      </c>
    </row>
    <row r="167" spans="2:9">
      <c r="B167" s="378" t="s">
        <v>1420</v>
      </c>
      <c r="C167" s="378" t="s">
        <v>161</v>
      </c>
      <c r="D167" s="378" t="s">
        <v>777</v>
      </c>
      <c r="E167" s="378" t="s">
        <v>783</v>
      </c>
      <c r="F167" s="378" t="s">
        <v>1023</v>
      </c>
      <c r="G167" s="378"/>
      <c r="H167" s="378"/>
      <c r="I167" s="378" t="s">
        <v>1022</v>
      </c>
    </row>
    <row r="168" spans="2:9">
      <c r="B168" s="378" t="s">
        <v>1420</v>
      </c>
      <c r="C168" s="378" t="s">
        <v>159</v>
      </c>
      <c r="D168" s="378" t="s">
        <v>59</v>
      </c>
      <c r="E168" s="378" t="s">
        <v>783</v>
      </c>
      <c r="F168" s="378" t="s">
        <v>1023</v>
      </c>
      <c r="G168" s="378"/>
      <c r="H168" s="378"/>
      <c r="I168" s="378" t="s">
        <v>1022</v>
      </c>
    </row>
    <row r="169" spans="2:9">
      <c r="B169" s="378" t="s">
        <v>1420</v>
      </c>
      <c r="C169" s="378" t="s">
        <v>425</v>
      </c>
      <c r="D169" s="378" t="s">
        <v>426</v>
      </c>
      <c r="E169" s="378" t="s">
        <v>783</v>
      </c>
      <c r="F169" s="378" t="s">
        <v>1023</v>
      </c>
      <c r="G169" s="378"/>
      <c r="H169" s="378"/>
      <c r="I169" s="378" t="s">
        <v>1022</v>
      </c>
    </row>
    <row r="170" spans="2:9">
      <c r="B170" s="378" t="s">
        <v>1420</v>
      </c>
      <c r="C170" s="378" t="s">
        <v>427</v>
      </c>
      <c r="D170" s="378" t="s">
        <v>428</v>
      </c>
      <c r="E170" s="378" t="s">
        <v>783</v>
      </c>
      <c r="F170" s="378" t="s">
        <v>1023</v>
      </c>
      <c r="G170" s="378"/>
      <c r="H170" s="378"/>
      <c r="I170" s="378" t="s">
        <v>1022</v>
      </c>
    </row>
    <row r="171" spans="2:9">
      <c r="B171" s="378" t="s">
        <v>1420</v>
      </c>
      <c r="C171" s="378" t="s">
        <v>421</v>
      </c>
      <c r="D171" s="378" t="s">
        <v>422</v>
      </c>
      <c r="E171" s="378" t="s">
        <v>783</v>
      </c>
      <c r="F171" s="378" t="s">
        <v>1023</v>
      </c>
      <c r="G171" s="378"/>
      <c r="H171" s="378"/>
      <c r="I171" s="378" t="s">
        <v>1022</v>
      </c>
    </row>
    <row r="172" spans="2:9">
      <c r="B172" s="378" t="s">
        <v>1420</v>
      </c>
      <c r="C172" s="378" t="s">
        <v>433</v>
      </c>
      <c r="D172" s="378" t="s">
        <v>434</v>
      </c>
      <c r="E172" s="378" t="s">
        <v>783</v>
      </c>
      <c r="F172" s="378" t="s">
        <v>1023</v>
      </c>
      <c r="G172" s="378"/>
      <c r="H172" s="378"/>
      <c r="I172" s="378" t="s">
        <v>1022</v>
      </c>
    </row>
    <row r="173" spans="2:9">
      <c r="B173" s="378" t="s">
        <v>1420</v>
      </c>
      <c r="C173" s="378" t="s">
        <v>429</v>
      </c>
      <c r="D173" s="378" t="s">
        <v>430</v>
      </c>
      <c r="E173" s="378" t="s">
        <v>783</v>
      </c>
      <c r="F173" s="378" t="s">
        <v>1023</v>
      </c>
      <c r="G173" s="378"/>
      <c r="H173" s="378"/>
      <c r="I173" s="378" t="s">
        <v>1022</v>
      </c>
    </row>
    <row r="174" spans="2:9">
      <c r="B174" s="378" t="s">
        <v>1420</v>
      </c>
      <c r="C174" s="378" t="s">
        <v>419</v>
      </c>
      <c r="D174" s="378" t="s">
        <v>420</v>
      </c>
      <c r="E174" s="378" t="s">
        <v>783</v>
      </c>
      <c r="F174" s="378" t="s">
        <v>1023</v>
      </c>
      <c r="G174" s="378"/>
      <c r="H174" s="378"/>
      <c r="I174" s="378" t="s">
        <v>1022</v>
      </c>
    </row>
    <row r="175" spans="2:9">
      <c r="B175" s="378" t="s">
        <v>1420</v>
      </c>
      <c r="C175" s="378" t="s">
        <v>435</v>
      </c>
      <c r="D175" s="378" t="s">
        <v>436</v>
      </c>
      <c r="E175" s="378" t="s">
        <v>783</v>
      </c>
      <c r="F175" s="378" t="s">
        <v>1023</v>
      </c>
      <c r="G175" s="378"/>
      <c r="H175" s="378"/>
      <c r="I175" s="378" t="s">
        <v>1022</v>
      </c>
    </row>
    <row r="176" spans="2:9">
      <c r="B176" s="378" t="s">
        <v>1420</v>
      </c>
      <c r="C176" s="378" t="s">
        <v>431</v>
      </c>
      <c r="D176" s="378" t="s">
        <v>432</v>
      </c>
      <c r="E176" s="378" t="s">
        <v>783</v>
      </c>
      <c r="F176" s="378" t="s">
        <v>1023</v>
      </c>
      <c r="G176" s="378"/>
      <c r="H176" s="378"/>
      <c r="I176" s="378" t="s">
        <v>1022</v>
      </c>
    </row>
    <row r="177" spans="2:9">
      <c r="B177" s="378" t="s">
        <v>1420</v>
      </c>
      <c r="C177" s="378" t="s">
        <v>423</v>
      </c>
      <c r="D177" s="378" t="s">
        <v>424</v>
      </c>
      <c r="E177" s="378" t="s">
        <v>783</v>
      </c>
      <c r="F177" s="378" t="s">
        <v>1023</v>
      </c>
      <c r="G177" s="378"/>
      <c r="H177" s="378"/>
      <c r="I177" s="378" t="s">
        <v>1022</v>
      </c>
    </row>
    <row r="178" spans="2:9">
      <c r="B178" s="378" t="s">
        <v>1420</v>
      </c>
      <c r="C178" s="378" t="s">
        <v>492</v>
      </c>
      <c r="D178" s="378" t="s">
        <v>493</v>
      </c>
      <c r="E178" s="378" t="s">
        <v>783</v>
      </c>
      <c r="F178" s="378" t="s">
        <v>1023</v>
      </c>
      <c r="G178" s="378"/>
      <c r="H178" s="378"/>
      <c r="I178" s="378" t="s">
        <v>1022</v>
      </c>
    </row>
    <row r="179" spans="2:9">
      <c r="B179" s="378" t="s">
        <v>1420</v>
      </c>
      <c r="C179" s="378" t="s">
        <v>494</v>
      </c>
      <c r="D179" s="378" t="s">
        <v>495</v>
      </c>
      <c r="E179" s="378" t="s">
        <v>783</v>
      </c>
      <c r="F179" s="378" t="s">
        <v>1023</v>
      </c>
      <c r="G179" s="378"/>
      <c r="H179" s="378"/>
      <c r="I179" s="378" t="s">
        <v>1022</v>
      </c>
    </row>
    <row r="180" spans="2:9">
      <c r="B180" s="378" t="s">
        <v>1420</v>
      </c>
      <c r="C180" s="378" t="s">
        <v>496</v>
      </c>
      <c r="D180" s="378" t="s">
        <v>497</v>
      </c>
      <c r="E180" s="378" t="s">
        <v>783</v>
      </c>
      <c r="F180" s="378" t="s">
        <v>1023</v>
      </c>
      <c r="G180" s="378"/>
      <c r="H180" s="378"/>
      <c r="I180" s="378" t="s">
        <v>1022</v>
      </c>
    </row>
    <row r="181" spans="2:9">
      <c r="B181" s="378" t="s">
        <v>1420</v>
      </c>
      <c r="C181" s="378" t="s">
        <v>484</v>
      </c>
      <c r="D181" s="378" t="s">
        <v>485</v>
      </c>
      <c r="E181" s="378" t="s">
        <v>783</v>
      </c>
      <c r="F181" s="378" t="s">
        <v>1023</v>
      </c>
      <c r="G181" s="378"/>
      <c r="H181" s="378"/>
      <c r="I181" s="378" t="s">
        <v>1022</v>
      </c>
    </row>
    <row r="182" spans="2:9">
      <c r="B182" s="378" t="s">
        <v>1420</v>
      </c>
      <c r="C182" s="378" t="s">
        <v>488</v>
      </c>
      <c r="D182" s="378" t="s">
        <v>489</v>
      </c>
      <c r="E182" s="378" t="s">
        <v>783</v>
      </c>
      <c r="F182" s="378" t="s">
        <v>1023</v>
      </c>
      <c r="G182" s="378"/>
      <c r="H182" s="378"/>
      <c r="I182" s="378" t="s">
        <v>1022</v>
      </c>
    </row>
    <row r="183" spans="2:9">
      <c r="B183" s="378" t="s">
        <v>1420</v>
      </c>
      <c r="C183" s="378" t="s">
        <v>482</v>
      </c>
      <c r="D183" s="378" t="s">
        <v>483</v>
      </c>
      <c r="E183" s="378" t="s">
        <v>783</v>
      </c>
      <c r="F183" s="378" t="s">
        <v>1023</v>
      </c>
      <c r="G183" s="378"/>
      <c r="H183" s="378"/>
      <c r="I183" s="378" t="s">
        <v>1022</v>
      </c>
    </row>
    <row r="184" spans="2:9">
      <c r="B184" s="378" t="s">
        <v>1420</v>
      </c>
      <c r="C184" s="378" t="s">
        <v>490</v>
      </c>
      <c r="D184" s="378" t="s">
        <v>491</v>
      </c>
      <c r="E184" s="378" t="s">
        <v>783</v>
      </c>
      <c r="F184" s="378" t="s">
        <v>1023</v>
      </c>
      <c r="G184" s="378"/>
      <c r="H184" s="378"/>
      <c r="I184" s="378" t="s">
        <v>1022</v>
      </c>
    </row>
    <row r="185" spans="2:9">
      <c r="B185" s="378" t="s">
        <v>1420</v>
      </c>
      <c r="C185" s="378" t="s">
        <v>486</v>
      </c>
      <c r="D185" s="378" t="s">
        <v>487</v>
      </c>
      <c r="E185" s="378" t="s">
        <v>783</v>
      </c>
      <c r="F185" s="378" t="s">
        <v>1023</v>
      </c>
      <c r="G185" s="378"/>
      <c r="H185" s="378"/>
      <c r="I185" s="378" t="s">
        <v>1022</v>
      </c>
    </row>
    <row r="186" spans="2:9">
      <c r="B186" s="378" t="s">
        <v>1420</v>
      </c>
      <c r="C186" s="378" t="s">
        <v>865</v>
      </c>
      <c r="D186" s="378" t="s">
        <v>866</v>
      </c>
      <c r="E186" s="378" t="s">
        <v>783</v>
      </c>
      <c r="F186" s="378" t="s">
        <v>1023</v>
      </c>
      <c r="G186" s="378"/>
      <c r="H186" s="378"/>
      <c r="I186" s="378" t="s">
        <v>1022</v>
      </c>
    </row>
    <row r="187" spans="2:9">
      <c r="B187" s="378" t="s">
        <v>1420</v>
      </c>
      <c r="C187" s="378" t="s">
        <v>172</v>
      </c>
      <c r="D187" s="378" t="s">
        <v>76</v>
      </c>
      <c r="E187" s="378" t="s">
        <v>783</v>
      </c>
      <c r="F187" s="378" t="s">
        <v>1023</v>
      </c>
      <c r="G187" s="378"/>
      <c r="H187" s="378"/>
      <c r="I187" s="378" t="s">
        <v>1022</v>
      </c>
    </row>
    <row r="188" spans="2:9">
      <c r="B188" s="378" t="s">
        <v>1420</v>
      </c>
      <c r="C188" s="378" t="s">
        <v>767</v>
      </c>
      <c r="D188" s="378" t="s">
        <v>768</v>
      </c>
      <c r="E188" s="378" t="s">
        <v>783</v>
      </c>
      <c r="F188" s="378" t="s">
        <v>1023</v>
      </c>
      <c r="G188" s="378"/>
      <c r="H188" s="378"/>
      <c r="I188" s="378" t="s">
        <v>1022</v>
      </c>
    </row>
    <row r="189" spans="2:9">
      <c r="B189" s="378" t="s">
        <v>1420</v>
      </c>
      <c r="C189" s="378" t="s">
        <v>170</v>
      </c>
      <c r="D189" s="378" t="s">
        <v>71</v>
      </c>
      <c r="E189" s="378" t="s">
        <v>783</v>
      </c>
      <c r="F189" s="378" t="s">
        <v>1023</v>
      </c>
      <c r="G189" s="378"/>
      <c r="H189" s="378"/>
      <c r="I189" s="448" t="s">
        <v>1353</v>
      </c>
    </row>
    <row r="190" spans="2:9">
      <c r="B190" s="378" t="s">
        <v>1420</v>
      </c>
      <c r="C190" s="378" t="s">
        <v>173</v>
      </c>
      <c r="D190" s="378" t="s">
        <v>73</v>
      </c>
      <c r="E190" s="378" t="s">
        <v>783</v>
      </c>
      <c r="F190" s="378" t="s">
        <v>1023</v>
      </c>
      <c r="G190" s="378"/>
      <c r="H190" s="378"/>
      <c r="I190" s="448" t="s">
        <v>1353</v>
      </c>
    </row>
    <row r="191" spans="2:9">
      <c r="B191" s="378" t="s">
        <v>1420</v>
      </c>
      <c r="C191" s="378" t="s">
        <v>144</v>
      </c>
      <c r="D191" s="378" t="s">
        <v>145</v>
      </c>
      <c r="E191" s="378" t="s">
        <v>783</v>
      </c>
      <c r="F191" s="378" t="s">
        <v>1023</v>
      </c>
      <c r="G191" s="378"/>
      <c r="H191" s="378"/>
      <c r="I191" s="378" t="s">
        <v>1022</v>
      </c>
    </row>
    <row r="192" spans="2:9">
      <c r="B192" s="378" t="s">
        <v>1420</v>
      </c>
      <c r="C192" s="378" t="s">
        <v>742</v>
      </c>
      <c r="D192" s="378" t="s">
        <v>743</v>
      </c>
      <c r="E192" s="378" t="s">
        <v>783</v>
      </c>
      <c r="F192" s="378" t="s">
        <v>1023</v>
      </c>
      <c r="G192" s="378"/>
      <c r="H192" s="378"/>
      <c r="I192" s="378" t="s">
        <v>1022</v>
      </c>
    </row>
    <row r="193" spans="2:9">
      <c r="B193" s="378" t="s">
        <v>1420</v>
      </c>
      <c r="C193" s="378" t="s">
        <v>169</v>
      </c>
      <c r="D193" s="378" t="s">
        <v>62</v>
      </c>
      <c r="E193" s="378" t="s">
        <v>783</v>
      </c>
      <c r="F193" s="378" t="s">
        <v>1023</v>
      </c>
      <c r="G193" s="378"/>
      <c r="H193" s="378"/>
      <c r="I193" s="378" t="s">
        <v>1022</v>
      </c>
    </row>
    <row r="194" spans="2:9">
      <c r="B194" s="378" t="s">
        <v>1420</v>
      </c>
      <c r="C194" s="378" t="s">
        <v>174</v>
      </c>
      <c r="D194" s="378" t="s">
        <v>74</v>
      </c>
      <c r="E194" s="378" t="s">
        <v>783</v>
      </c>
      <c r="F194" s="378" t="s">
        <v>1023</v>
      </c>
      <c r="G194" s="378"/>
      <c r="H194" s="378"/>
      <c r="I194" s="378" t="s">
        <v>1022</v>
      </c>
    </row>
    <row r="195" spans="2:9">
      <c r="B195" s="378" t="s">
        <v>1420</v>
      </c>
      <c r="C195" s="378" t="s">
        <v>171</v>
      </c>
      <c r="D195" s="378" t="s">
        <v>72</v>
      </c>
      <c r="E195" s="378" t="s">
        <v>783</v>
      </c>
      <c r="F195" s="378" t="s">
        <v>1023</v>
      </c>
      <c r="G195" s="378"/>
      <c r="H195" s="378"/>
      <c r="I195" s="378" t="s">
        <v>1022</v>
      </c>
    </row>
    <row r="196" spans="2:9">
      <c r="B196" s="378" t="s">
        <v>1420</v>
      </c>
      <c r="C196" s="378" t="s">
        <v>542</v>
      </c>
      <c r="D196" s="378" t="s">
        <v>543</v>
      </c>
      <c r="E196" s="378" t="s">
        <v>783</v>
      </c>
      <c r="F196" s="378" t="s">
        <v>1023</v>
      </c>
      <c r="G196" s="378"/>
      <c r="H196" s="378"/>
      <c r="I196" s="378" t="s">
        <v>1022</v>
      </c>
    </row>
    <row r="197" spans="2:9">
      <c r="B197" s="378" t="s">
        <v>1420</v>
      </c>
      <c r="C197" s="378" t="s">
        <v>478</v>
      </c>
      <c r="D197" s="378" t="s">
        <v>479</v>
      </c>
      <c r="E197" s="378" t="s">
        <v>783</v>
      </c>
      <c r="F197" s="378" t="s">
        <v>1023</v>
      </c>
      <c r="G197" s="378"/>
      <c r="H197" s="378"/>
      <c r="I197" s="378" t="s">
        <v>1022</v>
      </c>
    </row>
    <row r="198" spans="2:9">
      <c r="B198" s="378" t="s">
        <v>1420</v>
      </c>
      <c r="C198" s="378" t="s">
        <v>476</v>
      </c>
      <c r="D198" s="378" t="s">
        <v>477</v>
      </c>
      <c r="E198" s="378" t="s">
        <v>783</v>
      </c>
      <c r="F198" s="378" t="s">
        <v>1023</v>
      </c>
      <c r="G198" s="378"/>
      <c r="H198" s="378"/>
      <c r="I198" s="378" t="s">
        <v>1022</v>
      </c>
    </row>
    <row r="199" spans="2:9">
      <c r="B199" s="378" t="s">
        <v>1420</v>
      </c>
      <c r="C199" s="378" t="s">
        <v>471</v>
      </c>
      <c r="D199" s="378" t="s">
        <v>472</v>
      </c>
      <c r="E199" s="378" t="s">
        <v>783</v>
      </c>
      <c r="F199" s="378" t="s">
        <v>1023</v>
      </c>
      <c r="G199" s="378"/>
      <c r="H199" s="378"/>
      <c r="I199" s="378" t="s">
        <v>1022</v>
      </c>
    </row>
    <row r="200" spans="2:9">
      <c r="B200" s="378" t="s">
        <v>1420</v>
      </c>
      <c r="C200" s="378" t="s">
        <v>469</v>
      </c>
      <c r="D200" s="378" t="s">
        <v>470</v>
      </c>
      <c r="E200" s="378" t="s">
        <v>783</v>
      </c>
      <c r="F200" s="378" t="s">
        <v>1023</v>
      </c>
      <c r="G200" s="378"/>
      <c r="H200" s="378"/>
      <c r="I200" s="378" t="s">
        <v>1022</v>
      </c>
    </row>
    <row r="201" spans="2:9">
      <c r="B201" s="378" t="s">
        <v>1420</v>
      </c>
      <c r="C201" s="378" t="s">
        <v>480</v>
      </c>
      <c r="D201" s="378" t="s">
        <v>481</v>
      </c>
      <c r="E201" s="378" t="s">
        <v>783</v>
      </c>
      <c r="F201" s="378" t="s">
        <v>1023</v>
      </c>
      <c r="G201" s="378"/>
      <c r="H201" s="378"/>
      <c r="I201" s="378" t="s">
        <v>1022</v>
      </c>
    </row>
    <row r="202" spans="2:9">
      <c r="B202" s="378" t="s">
        <v>1420</v>
      </c>
      <c r="C202" s="378" t="s">
        <v>473</v>
      </c>
      <c r="D202" s="378" t="s">
        <v>474</v>
      </c>
      <c r="E202" s="378" t="s">
        <v>783</v>
      </c>
      <c r="F202" s="378" t="s">
        <v>1023</v>
      </c>
      <c r="G202" s="378"/>
      <c r="H202" s="378"/>
      <c r="I202" s="378" t="s">
        <v>1022</v>
      </c>
    </row>
    <row r="203" spans="2:9">
      <c r="B203" s="378" t="s">
        <v>1420</v>
      </c>
      <c r="C203" s="378" t="s">
        <v>475</v>
      </c>
      <c r="D203" s="378" t="s">
        <v>474</v>
      </c>
      <c r="E203" s="378" t="s">
        <v>783</v>
      </c>
      <c r="F203" s="378" t="s">
        <v>1023</v>
      </c>
      <c r="G203" s="378"/>
      <c r="H203" s="378"/>
      <c r="I203" s="378" t="s">
        <v>1022</v>
      </c>
    </row>
    <row r="204" spans="2:9">
      <c r="B204" s="378" t="s">
        <v>1420</v>
      </c>
      <c r="C204" s="378" t="s">
        <v>165</v>
      </c>
      <c r="D204" s="378" t="s">
        <v>758</v>
      </c>
      <c r="E204" s="378" t="s">
        <v>783</v>
      </c>
      <c r="F204" s="378" t="s">
        <v>1023</v>
      </c>
      <c r="G204" s="378"/>
      <c r="H204" s="378"/>
      <c r="I204" s="378" t="s">
        <v>1022</v>
      </c>
    </row>
    <row r="205" spans="2:9">
      <c r="B205" s="378" t="s">
        <v>1420</v>
      </c>
      <c r="C205" s="378" t="s">
        <v>765</v>
      </c>
      <c r="D205" s="378" t="s">
        <v>766</v>
      </c>
      <c r="E205" s="378" t="s">
        <v>783</v>
      </c>
      <c r="F205" s="378" t="s">
        <v>1023</v>
      </c>
      <c r="G205" s="378"/>
      <c r="H205" s="378"/>
      <c r="I205" s="378" t="s">
        <v>1022</v>
      </c>
    </row>
    <row r="206" spans="2:9">
      <c r="B206" s="378" t="s">
        <v>1420</v>
      </c>
      <c r="C206" s="378" t="s">
        <v>163</v>
      </c>
      <c r="D206" s="378" t="s">
        <v>56</v>
      </c>
      <c r="E206" s="378" t="s">
        <v>783</v>
      </c>
      <c r="F206" s="378" t="s">
        <v>1023</v>
      </c>
      <c r="G206" s="378"/>
      <c r="H206" s="378"/>
      <c r="I206" s="378" t="s">
        <v>1022</v>
      </c>
    </row>
    <row r="207" spans="2:9">
      <c r="B207" s="378" t="s">
        <v>1420</v>
      </c>
      <c r="C207" s="378" t="s">
        <v>166</v>
      </c>
      <c r="D207" s="378" t="s">
        <v>759</v>
      </c>
      <c r="E207" s="378" t="s">
        <v>783</v>
      </c>
      <c r="F207" s="378" t="s">
        <v>1023</v>
      </c>
      <c r="G207" s="378"/>
      <c r="H207" s="378"/>
      <c r="I207" s="378" t="s">
        <v>1022</v>
      </c>
    </row>
    <row r="208" spans="2:9">
      <c r="B208" s="378" t="s">
        <v>1420</v>
      </c>
      <c r="C208" s="378" t="s">
        <v>162</v>
      </c>
      <c r="D208" s="378" t="s">
        <v>49</v>
      </c>
      <c r="E208" s="378" t="s">
        <v>783</v>
      </c>
      <c r="F208" s="378" t="s">
        <v>1023</v>
      </c>
      <c r="G208" s="378"/>
      <c r="H208" s="378"/>
      <c r="I208" s="378" t="s">
        <v>1022</v>
      </c>
    </row>
    <row r="209" spans="2:9">
      <c r="B209" s="378" t="s">
        <v>1420</v>
      </c>
      <c r="C209" s="378" t="s">
        <v>167</v>
      </c>
      <c r="D209" s="378" t="s">
        <v>769</v>
      </c>
      <c r="E209" s="378" t="s">
        <v>783</v>
      </c>
      <c r="F209" s="378" t="s">
        <v>1023</v>
      </c>
      <c r="G209" s="378"/>
      <c r="H209" s="378"/>
      <c r="I209" s="378" t="s">
        <v>1022</v>
      </c>
    </row>
    <row r="210" spans="2:9">
      <c r="B210" s="378" t="s">
        <v>1420</v>
      </c>
      <c r="C210" s="378" t="s">
        <v>164</v>
      </c>
      <c r="D210" s="378" t="s">
        <v>889</v>
      </c>
      <c r="E210" s="378" t="s">
        <v>783</v>
      </c>
      <c r="F210" s="378" t="s">
        <v>1023</v>
      </c>
      <c r="G210" s="378"/>
      <c r="H210" s="378"/>
      <c r="I210" s="378" t="s">
        <v>1022</v>
      </c>
    </row>
    <row r="211" spans="2:9">
      <c r="B211" s="378" t="s">
        <v>1420</v>
      </c>
      <c r="C211" s="378" t="s">
        <v>1334</v>
      </c>
      <c r="D211" s="378" t="s">
        <v>1354</v>
      </c>
      <c r="E211" s="378" t="s">
        <v>783</v>
      </c>
      <c r="F211" s="378" t="s">
        <v>1023</v>
      </c>
      <c r="G211" s="378"/>
      <c r="H211" s="378"/>
      <c r="I211" s="378" t="s">
        <v>1022</v>
      </c>
    </row>
    <row r="212" spans="2:9">
      <c r="B212" s="378" t="s">
        <v>1420</v>
      </c>
      <c r="C212" s="378" t="s">
        <v>1337</v>
      </c>
      <c r="D212" s="378" t="s">
        <v>1355</v>
      </c>
      <c r="E212" s="378" t="s">
        <v>783</v>
      </c>
      <c r="F212" s="378" t="s">
        <v>1023</v>
      </c>
      <c r="G212" s="378"/>
      <c r="H212" s="378"/>
      <c r="I212" s="378" t="s">
        <v>1022</v>
      </c>
    </row>
    <row r="213" spans="2:9">
      <c r="B213" s="378" t="s">
        <v>1420</v>
      </c>
      <c r="C213" s="378" t="s">
        <v>1335</v>
      </c>
      <c r="D213" s="378" t="s">
        <v>1356</v>
      </c>
      <c r="E213" s="378" t="s">
        <v>783</v>
      </c>
      <c r="F213" s="378" t="s">
        <v>1023</v>
      </c>
      <c r="G213" s="378"/>
      <c r="H213" s="378"/>
      <c r="I213" s="378" t="s">
        <v>1022</v>
      </c>
    </row>
    <row r="214" spans="2:9">
      <c r="B214" s="378" t="s">
        <v>1420</v>
      </c>
      <c r="C214" s="378" t="s">
        <v>1336</v>
      </c>
      <c r="D214" s="378" t="s">
        <v>1357</v>
      </c>
      <c r="E214" s="378" t="s">
        <v>783</v>
      </c>
      <c r="F214" s="378" t="s">
        <v>1023</v>
      </c>
      <c r="G214" s="378"/>
      <c r="H214" s="378"/>
      <c r="I214" s="378" t="s">
        <v>1022</v>
      </c>
    </row>
    <row r="215" spans="2:9">
      <c r="B215" s="378" t="s">
        <v>1421</v>
      </c>
      <c r="C215" s="378" t="s">
        <v>358</v>
      </c>
      <c r="D215" s="378" t="s">
        <v>327</v>
      </c>
      <c r="E215" s="378" t="s">
        <v>976</v>
      </c>
      <c r="F215" s="378" t="s">
        <v>1021</v>
      </c>
      <c r="G215" s="378"/>
      <c r="H215" s="378"/>
      <c r="I215" s="378" t="s">
        <v>1022</v>
      </c>
    </row>
    <row r="216" spans="2:9">
      <c r="B216" s="378" t="s">
        <v>1421</v>
      </c>
      <c r="C216" s="378" t="s">
        <v>972</v>
      </c>
      <c r="D216" s="378" t="s">
        <v>326</v>
      </c>
      <c r="E216" s="378" t="s">
        <v>976</v>
      </c>
      <c r="F216" s="378" t="s">
        <v>1021</v>
      </c>
      <c r="G216" s="378"/>
      <c r="H216" s="378"/>
      <c r="I216" s="378" t="s">
        <v>1022</v>
      </c>
    </row>
    <row r="217" spans="2:9">
      <c r="B217" s="378" t="s">
        <v>1421</v>
      </c>
      <c r="C217" s="378" t="s">
        <v>541</v>
      </c>
      <c r="D217" s="378" t="s">
        <v>437</v>
      </c>
      <c r="E217" s="378" t="s">
        <v>976</v>
      </c>
      <c r="F217" s="378" t="s">
        <v>1021</v>
      </c>
      <c r="G217" s="378"/>
      <c r="H217" s="378"/>
      <c r="I217" s="378" t="s">
        <v>1022</v>
      </c>
    </row>
    <row r="218" spans="2:9">
      <c r="B218" s="378" t="s">
        <v>1421</v>
      </c>
      <c r="C218" s="378" t="s">
        <v>356</v>
      </c>
      <c r="D218" s="378" t="s">
        <v>355</v>
      </c>
      <c r="E218" s="378" t="s">
        <v>976</v>
      </c>
      <c r="F218" s="378" t="s">
        <v>1021</v>
      </c>
      <c r="G218" s="378"/>
      <c r="H218" s="378"/>
      <c r="I218" s="378" t="s">
        <v>1022</v>
      </c>
    </row>
    <row r="219" spans="2:9">
      <c r="B219" s="378" t="s">
        <v>1421</v>
      </c>
      <c r="C219" s="378" t="s">
        <v>360</v>
      </c>
      <c r="D219" s="378" t="s">
        <v>325</v>
      </c>
      <c r="E219" s="378" t="s">
        <v>976</v>
      </c>
      <c r="F219" s="378" t="s">
        <v>1021</v>
      </c>
      <c r="G219" s="378"/>
      <c r="H219" s="378"/>
      <c r="I219" s="378" t="s">
        <v>1022</v>
      </c>
    </row>
    <row r="220" spans="2:9">
      <c r="B220" s="378" t="s">
        <v>1421</v>
      </c>
      <c r="C220" s="378" t="s">
        <v>536</v>
      </c>
      <c r="D220" s="378" t="s">
        <v>537</v>
      </c>
      <c r="E220" s="378" t="s">
        <v>976</v>
      </c>
      <c r="F220" s="378" t="s">
        <v>1021</v>
      </c>
      <c r="G220" s="378"/>
      <c r="H220" s="378"/>
      <c r="I220" s="378" t="s">
        <v>1022</v>
      </c>
    </row>
    <row r="221" spans="2:9">
      <c r="B221" s="378" t="s">
        <v>1421</v>
      </c>
      <c r="C221" s="378" t="s">
        <v>961</v>
      </c>
      <c r="D221" s="378" t="s">
        <v>813</v>
      </c>
      <c r="E221" s="378" t="s">
        <v>976</v>
      </c>
      <c r="F221" s="378" t="s">
        <v>1021</v>
      </c>
      <c r="G221" s="378"/>
      <c r="H221" s="378" t="s">
        <v>213</v>
      </c>
      <c r="I221" s="378" t="s">
        <v>1022</v>
      </c>
    </row>
    <row r="222" spans="2:9">
      <c r="B222" s="378" t="s">
        <v>1421</v>
      </c>
      <c r="C222" s="378" t="s">
        <v>368</v>
      </c>
      <c r="D222" s="378" t="s">
        <v>814</v>
      </c>
      <c r="E222" s="378" t="s">
        <v>976</v>
      </c>
      <c r="F222" s="378" t="s">
        <v>1021</v>
      </c>
      <c r="G222" s="378"/>
      <c r="H222" s="378" t="s">
        <v>367</v>
      </c>
      <c r="I222" s="378" t="s">
        <v>1022</v>
      </c>
    </row>
    <row r="223" spans="2:9">
      <c r="B223" s="378" t="s">
        <v>1421</v>
      </c>
      <c r="C223" s="378" t="s">
        <v>410</v>
      </c>
      <c r="D223" s="378" t="s">
        <v>185</v>
      </c>
      <c r="E223" s="378" t="s">
        <v>976</v>
      </c>
      <c r="F223" s="378" t="s">
        <v>1021</v>
      </c>
      <c r="G223" s="378"/>
      <c r="H223" s="378" t="s">
        <v>409</v>
      </c>
      <c r="I223" s="378" t="s">
        <v>1022</v>
      </c>
    </row>
    <row r="224" spans="2:9">
      <c r="B224" s="378" t="s">
        <v>1421</v>
      </c>
      <c r="C224" s="378" t="s">
        <v>366</v>
      </c>
      <c r="D224" s="378" t="s">
        <v>815</v>
      </c>
      <c r="E224" s="378" t="s">
        <v>976</v>
      </c>
      <c r="F224" s="378" t="s">
        <v>1021</v>
      </c>
      <c r="G224" s="378"/>
      <c r="H224" s="378" t="s">
        <v>365</v>
      </c>
      <c r="I224" s="378" t="s">
        <v>1022</v>
      </c>
    </row>
    <row r="225" spans="2:9">
      <c r="B225" s="378" t="s">
        <v>1421</v>
      </c>
      <c r="C225" s="378" t="s">
        <v>1286</v>
      </c>
      <c r="D225" s="378" t="s">
        <v>1287</v>
      </c>
      <c r="E225" s="378" t="s">
        <v>976</v>
      </c>
      <c r="F225" s="378" t="s">
        <v>1021</v>
      </c>
      <c r="G225" s="378"/>
      <c r="H225" s="378"/>
      <c r="I225" s="378" t="s">
        <v>1022</v>
      </c>
    </row>
    <row r="226" spans="2:9">
      <c r="B226" s="378" t="s">
        <v>1421</v>
      </c>
      <c r="C226" s="378" t="s">
        <v>345</v>
      </c>
      <c r="D226" s="378" t="s">
        <v>1072</v>
      </c>
      <c r="E226" s="378" t="s">
        <v>976</v>
      </c>
      <c r="F226" s="378" t="s">
        <v>1021</v>
      </c>
      <c r="G226" s="378"/>
      <c r="H226" s="378"/>
      <c r="I226" s="378" t="s">
        <v>1022</v>
      </c>
    </row>
    <row r="227" spans="2:9">
      <c r="B227" s="378" t="s">
        <v>1421</v>
      </c>
      <c r="C227" s="378" t="s">
        <v>1185</v>
      </c>
      <c r="D227" s="378" t="s">
        <v>1212</v>
      </c>
      <c r="E227" s="378" t="s">
        <v>976</v>
      </c>
      <c r="F227" s="378" t="s">
        <v>1021</v>
      </c>
      <c r="G227" s="378"/>
      <c r="H227" s="378"/>
      <c r="I227" s="378" t="s">
        <v>1022</v>
      </c>
    </row>
    <row r="228" spans="2:9">
      <c r="B228" s="378" t="s">
        <v>1421</v>
      </c>
      <c r="C228" s="378" t="s">
        <v>1184</v>
      </c>
      <c r="D228" s="378" t="s">
        <v>1213</v>
      </c>
      <c r="E228" s="378" t="s">
        <v>976</v>
      </c>
      <c r="F228" s="378" t="s">
        <v>1021</v>
      </c>
      <c r="G228" s="378"/>
      <c r="H228" s="378"/>
      <c r="I228" s="378" t="s">
        <v>1022</v>
      </c>
    </row>
    <row r="229" spans="2:9">
      <c r="B229" s="378" t="s">
        <v>1421</v>
      </c>
      <c r="C229" s="378" t="s">
        <v>341</v>
      </c>
      <c r="D229" s="378" t="s">
        <v>464</v>
      </c>
      <c r="E229" s="378" t="s">
        <v>976</v>
      </c>
      <c r="F229" s="378" t="s">
        <v>1021</v>
      </c>
      <c r="G229" s="378"/>
      <c r="H229" s="378"/>
      <c r="I229" s="378" t="s">
        <v>1022</v>
      </c>
    </row>
    <row r="230" spans="2:9">
      <c r="B230" s="378" t="s">
        <v>1421</v>
      </c>
      <c r="C230" s="378" t="s">
        <v>1147</v>
      </c>
      <c r="D230" s="378" t="s">
        <v>1148</v>
      </c>
      <c r="E230" s="378" t="s">
        <v>976</v>
      </c>
      <c r="F230" s="378" t="s">
        <v>1021</v>
      </c>
      <c r="G230" s="378"/>
      <c r="H230" s="378" t="s">
        <v>458</v>
      </c>
      <c r="I230" s="378" t="s">
        <v>1022</v>
      </c>
    </row>
    <row r="231" spans="2:9">
      <c r="B231" s="378" t="s">
        <v>1421</v>
      </c>
      <c r="C231" s="378" t="s">
        <v>343</v>
      </c>
      <c r="D231" s="378" t="s">
        <v>457</v>
      </c>
      <c r="E231" s="378" t="s">
        <v>976</v>
      </c>
      <c r="F231" s="378" t="s">
        <v>1021</v>
      </c>
      <c r="G231" s="378"/>
      <c r="H231" s="378" t="s">
        <v>458</v>
      </c>
      <c r="I231" s="378" t="s">
        <v>1022</v>
      </c>
    </row>
    <row r="232" spans="2:9">
      <c r="B232" s="378" t="s">
        <v>1421</v>
      </c>
      <c r="C232" s="378" t="s">
        <v>1393</v>
      </c>
      <c r="D232" s="378" t="s">
        <v>1395</v>
      </c>
      <c r="E232" s="378" t="s">
        <v>976</v>
      </c>
      <c r="F232" s="378" t="s">
        <v>1021</v>
      </c>
      <c r="G232" s="378"/>
      <c r="H232" s="378" t="s">
        <v>1387</v>
      </c>
      <c r="I232" s="378" t="s">
        <v>1022</v>
      </c>
    </row>
    <row r="233" spans="2:9">
      <c r="B233" s="378" t="s">
        <v>1421</v>
      </c>
      <c r="C233" s="378" t="s">
        <v>342</v>
      </c>
      <c r="D233" s="378" t="s">
        <v>460</v>
      </c>
      <c r="E233" s="378" t="s">
        <v>976</v>
      </c>
      <c r="F233" s="378" t="s">
        <v>1021</v>
      </c>
      <c r="G233" s="378"/>
      <c r="H233" s="378" t="s">
        <v>458</v>
      </c>
      <c r="I233" s="378" t="s">
        <v>1022</v>
      </c>
    </row>
    <row r="234" spans="2:9">
      <c r="B234" s="378" t="s">
        <v>1421</v>
      </c>
      <c r="C234" s="378" t="s">
        <v>344</v>
      </c>
      <c r="D234" s="378" t="s">
        <v>461</v>
      </c>
      <c r="E234" s="378" t="s">
        <v>976</v>
      </c>
      <c r="F234" s="378" t="s">
        <v>1021</v>
      </c>
      <c r="G234" s="378"/>
      <c r="H234" s="378" t="s">
        <v>458</v>
      </c>
      <c r="I234" s="378" t="s">
        <v>1022</v>
      </c>
    </row>
    <row r="235" spans="2:9">
      <c r="B235" s="378" t="s">
        <v>1421</v>
      </c>
      <c r="C235" s="378" t="s">
        <v>259</v>
      </c>
      <c r="D235" s="378" t="s">
        <v>287</v>
      </c>
      <c r="E235" s="378" t="s">
        <v>976</v>
      </c>
      <c r="F235" s="378" t="s">
        <v>1021</v>
      </c>
      <c r="G235" s="378"/>
      <c r="H235" s="378"/>
      <c r="I235" s="378" t="s">
        <v>1022</v>
      </c>
    </row>
    <row r="236" spans="2:9">
      <c r="B236" s="378" t="s">
        <v>1421</v>
      </c>
      <c r="C236" s="378" t="s">
        <v>418</v>
      </c>
      <c r="D236" s="378" t="s">
        <v>442</v>
      </c>
      <c r="E236" s="378" t="s">
        <v>976</v>
      </c>
      <c r="F236" s="378" t="s">
        <v>1021</v>
      </c>
      <c r="G236" s="378"/>
      <c r="H236" s="378"/>
      <c r="I236" s="378" t="s">
        <v>1022</v>
      </c>
    </row>
    <row r="237" spans="2:9">
      <c r="B237" s="378" t="s">
        <v>1421</v>
      </c>
      <c r="C237" s="378" t="s">
        <v>370</v>
      </c>
      <c r="D237" s="378" t="s">
        <v>288</v>
      </c>
      <c r="E237" s="378" t="s">
        <v>976</v>
      </c>
      <c r="F237" s="378" t="s">
        <v>1021</v>
      </c>
      <c r="G237" s="378"/>
      <c r="H237" s="378"/>
      <c r="I237" s="378" t="s">
        <v>1022</v>
      </c>
    </row>
    <row r="238" spans="2:9">
      <c r="B238" s="378" t="s">
        <v>1421</v>
      </c>
      <c r="C238" s="378" t="s">
        <v>417</v>
      </c>
      <c r="D238" s="378" t="s">
        <v>441</v>
      </c>
      <c r="E238" s="378" t="s">
        <v>976</v>
      </c>
      <c r="F238" s="378" t="s">
        <v>1021</v>
      </c>
      <c r="G238" s="378"/>
      <c r="H238" s="378"/>
      <c r="I238" s="378" t="s">
        <v>1022</v>
      </c>
    </row>
    <row r="239" spans="2:9">
      <c r="B239" s="378" t="s">
        <v>1421</v>
      </c>
      <c r="C239" s="378" t="s">
        <v>965</v>
      </c>
      <c r="D239" s="378" t="s">
        <v>818</v>
      </c>
      <c r="E239" s="378" t="s">
        <v>976</v>
      </c>
      <c r="F239" s="378" t="s">
        <v>1021</v>
      </c>
      <c r="G239" s="378"/>
      <c r="H239" s="378" t="s">
        <v>696</v>
      </c>
      <c r="I239" s="378" t="s">
        <v>1022</v>
      </c>
    </row>
    <row r="240" spans="2:9">
      <c r="B240" s="378" t="s">
        <v>1421</v>
      </c>
      <c r="C240" s="378" t="s">
        <v>964</v>
      </c>
      <c r="D240" s="378" t="s">
        <v>817</v>
      </c>
      <c r="E240" s="378" t="s">
        <v>976</v>
      </c>
      <c r="F240" s="378" t="s">
        <v>1021</v>
      </c>
      <c r="G240" s="378"/>
      <c r="H240" s="378" t="s">
        <v>696</v>
      </c>
      <c r="I240" s="378" t="s">
        <v>1022</v>
      </c>
    </row>
    <row r="241" spans="2:9">
      <c r="B241" s="378" t="s">
        <v>1421</v>
      </c>
      <c r="C241" s="378" t="s">
        <v>364</v>
      </c>
      <c r="D241" s="378" t="s">
        <v>820</v>
      </c>
      <c r="E241" s="378" t="s">
        <v>976</v>
      </c>
      <c r="F241" s="378" t="s">
        <v>1021</v>
      </c>
      <c r="G241" s="378"/>
      <c r="H241" s="378" t="s">
        <v>363</v>
      </c>
      <c r="I241" s="378" t="s">
        <v>1022</v>
      </c>
    </row>
    <row r="242" spans="2:9">
      <c r="B242" s="378" t="s">
        <v>1421</v>
      </c>
      <c r="C242" s="378" t="s">
        <v>362</v>
      </c>
      <c r="D242" s="378" t="s">
        <v>819</v>
      </c>
      <c r="E242" s="378" t="s">
        <v>976</v>
      </c>
      <c r="F242" s="378" t="s">
        <v>1021</v>
      </c>
      <c r="G242" s="378"/>
      <c r="H242" s="378" t="s">
        <v>361</v>
      </c>
      <c r="I242" s="378" t="s">
        <v>1022</v>
      </c>
    </row>
    <row r="243" spans="2:9">
      <c r="B243" s="378" t="s">
        <v>1421</v>
      </c>
      <c r="C243" s="378" t="s">
        <v>412</v>
      </c>
      <c r="D243" s="378" t="s">
        <v>416</v>
      </c>
      <c r="E243" s="378" t="s">
        <v>976</v>
      </c>
      <c r="F243" s="378" t="s">
        <v>1021</v>
      </c>
      <c r="G243" s="378"/>
      <c r="H243" s="378" t="s">
        <v>411</v>
      </c>
      <c r="I243" s="378" t="s">
        <v>1022</v>
      </c>
    </row>
    <row r="244" spans="2:9">
      <c r="B244" s="378" t="s">
        <v>1418</v>
      </c>
      <c r="C244" s="378" t="s">
        <v>1298</v>
      </c>
      <c r="D244" s="378" t="s">
        <v>1306</v>
      </c>
      <c r="E244" s="378" t="s">
        <v>783</v>
      </c>
      <c r="F244" s="378" t="s">
        <v>1023</v>
      </c>
      <c r="G244" s="378" t="s">
        <v>1239</v>
      </c>
      <c r="H244" s="378"/>
      <c r="I244" s="378" t="s">
        <v>1022</v>
      </c>
    </row>
    <row r="245" spans="2:9">
      <c r="B245" s="378" t="s">
        <v>1418</v>
      </c>
      <c r="C245" s="378" t="s">
        <v>1307</v>
      </c>
      <c r="D245" s="378" t="s">
        <v>1305</v>
      </c>
      <c r="E245" s="378" t="s">
        <v>783</v>
      </c>
      <c r="F245" s="378" t="s">
        <v>1023</v>
      </c>
      <c r="G245" s="378" t="s">
        <v>1239</v>
      </c>
      <c r="H245" s="378"/>
      <c r="I245" s="378" t="s">
        <v>1022</v>
      </c>
    </row>
    <row r="246" spans="2:9">
      <c r="B246" s="378" t="s">
        <v>1418</v>
      </c>
      <c r="C246" s="378" t="s">
        <v>1299</v>
      </c>
      <c r="D246" s="378" t="s">
        <v>1302</v>
      </c>
      <c r="E246" s="378" t="s">
        <v>783</v>
      </c>
      <c r="F246" s="378" t="s">
        <v>1023</v>
      </c>
      <c r="G246" s="378" t="s">
        <v>1239</v>
      </c>
      <c r="H246" s="378"/>
      <c r="I246" s="378" t="s">
        <v>1022</v>
      </c>
    </row>
    <row r="247" spans="2:9">
      <c r="B247" s="378" t="s">
        <v>1418</v>
      </c>
      <c r="C247" s="378" t="s">
        <v>1300</v>
      </c>
      <c r="D247" s="378" t="s">
        <v>1304</v>
      </c>
      <c r="E247" s="378" t="s">
        <v>783</v>
      </c>
      <c r="F247" s="378" t="s">
        <v>1023</v>
      </c>
      <c r="G247" s="378" t="s">
        <v>1239</v>
      </c>
      <c r="H247" s="378"/>
      <c r="I247" s="378" t="s">
        <v>1022</v>
      </c>
    </row>
    <row r="248" spans="2:9">
      <c r="B248" s="378" t="s">
        <v>1418</v>
      </c>
      <c r="C248" s="378" t="s">
        <v>1301</v>
      </c>
      <c r="D248" s="378" t="s">
        <v>1303</v>
      </c>
      <c r="E248" s="378" t="s">
        <v>783</v>
      </c>
      <c r="F248" s="378" t="s">
        <v>1023</v>
      </c>
      <c r="G248" s="378" t="s">
        <v>1239</v>
      </c>
      <c r="H248" s="378"/>
      <c r="I248" s="378" t="s">
        <v>1022</v>
      </c>
    </row>
    <row r="249" spans="2:9">
      <c r="B249" s="378" t="s">
        <v>1418</v>
      </c>
      <c r="C249" s="378" t="s">
        <v>1309</v>
      </c>
      <c r="D249" s="378" t="s">
        <v>1308</v>
      </c>
      <c r="E249" s="378" t="s">
        <v>783</v>
      </c>
      <c r="F249" s="378" t="s">
        <v>1023</v>
      </c>
      <c r="G249" s="378" t="s">
        <v>1239</v>
      </c>
      <c r="H249" s="378"/>
      <c r="I249" s="378" t="s">
        <v>1022</v>
      </c>
    </row>
  </sheetData>
  <phoneticPr fontId="25" type="noConversion"/>
  <pageMargins left="0.75" right="0.75" top="1" bottom="1" header="0.4921259845" footer="0.492125984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150"/>
  <sheetViews>
    <sheetView topLeftCell="A66" zoomScale="75" workbookViewId="0">
      <selection activeCell="J20" sqref="J20"/>
    </sheetView>
  </sheetViews>
  <sheetFormatPr defaultColWidth="8.85546875" defaultRowHeight="12.75"/>
  <cols>
    <col min="1" max="1" width="16.140625" customWidth="1"/>
    <col min="2" max="2" width="23.7109375" customWidth="1"/>
    <col min="3" max="3" width="32.5703125" customWidth="1"/>
    <col min="4" max="4" width="12.28515625" customWidth="1"/>
    <col min="5" max="5" width="12.42578125" customWidth="1"/>
    <col min="6" max="6" width="21.28515625" customWidth="1"/>
    <col min="7" max="7" width="9.7109375" customWidth="1"/>
    <col min="8" max="8" width="11.7109375" bestFit="1" customWidth="1"/>
  </cols>
  <sheetData>
    <row r="1" spans="1:21" ht="18">
      <c r="A1" s="8" t="s">
        <v>860</v>
      </c>
      <c r="F1" s="216"/>
      <c r="N1" s="217"/>
      <c r="P1" s="216"/>
      <c r="Q1" s="216"/>
    </row>
    <row r="2" spans="1:21">
      <c r="A2" s="7"/>
      <c r="F2" s="216"/>
      <c r="N2" s="12">
        <v>1.2</v>
      </c>
    </row>
    <row r="3" spans="1:21">
      <c r="F3" s="216"/>
      <c r="G3" s="18"/>
      <c r="I3" s="18"/>
      <c r="J3" s="113"/>
    </row>
    <row r="4" spans="1:21" ht="18">
      <c r="A4" s="114"/>
      <c r="B4" s="185" t="s">
        <v>549</v>
      </c>
      <c r="C4" s="86"/>
      <c r="D4" s="86"/>
      <c r="F4" s="225" t="str">
        <f>"~FI_T: "&amp;Region&amp;"~EUR10"</f>
        <v>~FI_T: FIN~EUR10</v>
      </c>
      <c r="N4" s="3"/>
    </row>
    <row r="5" spans="1:21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45" t="s">
        <v>773</v>
      </c>
      <c r="G5" s="45" t="s">
        <v>526</v>
      </c>
      <c r="H5" s="45" t="str">
        <f ca="1">"Share~UP~"&amp;AuxYear</f>
        <v>Share~UP~2017</v>
      </c>
      <c r="I5" s="45" t="s">
        <v>50</v>
      </c>
      <c r="J5" s="45" t="s">
        <v>872</v>
      </c>
      <c r="K5" s="45" t="s">
        <v>51</v>
      </c>
      <c r="L5" s="45" t="s">
        <v>52</v>
      </c>
      <c r="M5" s="45" t="str">
        <f ca="1">"Share~UP~"&amp;CEILING(AuxYear+2,5)</f>
        <v>Share~UP~2020</v>
      </c>
      <c r="N5" s="45" t="str">
        <f ca="1">"ACT_BND~UP~"&amp;BaseYear</f>
        <v>ACT_BND~UP~2010</v>
      </c>
      <c r="O5" s="45" t="str">
        <f ca="1">"ACT_BND~UP~"&amp;AuxYear</f>
        <v>ACT_BND~UP~2017</v>
      </c>
      <c r="P5" s="45" t="s">
        <v>658</v>
      </c>
      <c r="Q5" s="45" t="s">
        <v>659</v>
      </c>
      <c r="R5" s="355" t="str">
        <f ca="1">"ACT_BND~LO~"&amp;BaseYear</f>
        <v>ACT_BND~LO~2010</v>
      </c>
      <c r="S5" s="45" t="str">
        <f ca="1">"ACT_BND~LO~"&amp;AuxYear</f>
        <v>ACT_BND~LO~2017</v>
      </c>
      <c r="T5" s="45" t="str">
        <f ca="1">"ACT_BND~LO~"&amp;0</f>
        <v>ACT_BND~LO~0</v>
      </c>
      <c r="U5" s="45" t="str">
        <f ca="1">"VAROM~"&amp;BaseYear+25</f>
        <v>VAROM~2035</v>
      </c>
    </row>
    <row r="6" spans="1:21">
      <c r="B6" s="300" t="str">
        <f>CONCATENATE("FT-",E9,"0")</f>
        <v>FT-INDNGA0</v>
      </c>
      <c r="C6" s="300" t="s">
        <v>98</v>
      </c>
      <c r="D6" s="46" t="str">
        <f ca="1">IEAData!C24</f>
        <v>GASNGA</v>
      </c>
      <c r="E6" s="9"/>
      <c r="F6" s="9"/>
      <c r="G6" s="62"/>
      <c r="H6" s="62"/>
      <c r="I6" s="115">
        <v>1</v>
      </c>
      <c r="J6" s="115">
        <v>1</v>
      </c>
      <c r="K6" s="434">
        <v>0</v>
      </c>
      <c r="L6" s="49"/>
      <c r="M6" s="49">
        <v>1</v>
      </c>
      <c r="N6" s="59">
        <f ca="1">VLOOKUP(MID(B6,4,6),IEAData!$BI$49:$BK$63,3,0)*$N$2^0.3</f>
        <v>46.666767193967388</v>
      </c>
      <c r="O6" s="59">
        <f ca="1">VLOOKUP(MID(B6,4,6),AuxData!$BI$49:$BK$63,3,0)*$N$2^0.3</f>
        <v>39.466164838546717</v>
      </c>
      <c r="P6" s="59">
        <f ca="1">MAX(N6:O6)*$N$2</f>
        <v>56.000120632760861</v>
      </c>
      <c r="Q6" s="59">
        <f ca="1">P6*$N$2^0.5</f>
        <v>61.345058587147193</v>
      </c>
      <c r="R6" s="452">
        <f ca="1">VLOOKUP(MID(B6,4,6),IEAData!$BI$49:$BK$63,3,0)*0.995</f>
        <v>43.961896901656502</v>
      </c>
      <c r="S6" s="59">
        <f ca="1">VLOOKUP(MID(B6,4,6),AuxData!$BI$49:$BK$63,3,0)*0.995</f>
        <v>37.178651405710745</v>
      </c>
      <c r="T6" s="59">
        <v>11</v>
      </c>
      <c r="U6" s="443">
        <v>1.25</v>
      </c>
    </row>
    <row r="7" spans="1:21">
      <c r="B7" s="300"/>
      <c r="C7" s="300"/>
      <c r="D7" s="46" t="str">
        <f ca="1">IEAData!M24</f>
        <v>GASGWG</v>
      </c>
      <c r="E7" s="9"/>
      <c r="F7" s="9"/>
      <c r="G7" s="62">
        <f ca="1">VLOOKUP(D7,IEAData!$AE$48:$AO$76,11,0)</f>
        <v>0</v>
      </c>
      <c r="H7" s="62">
        <f ca="1">VLOOKUP($D7,AuxData!$AE$48:$AO$76,11,0)</f>
        <v>0</v>
      </c>
      <c r="I7" s="115"/>
      <c r="J7" s="115"/>
      <c r="K7" s="49"/>
      <c r="L7" s="49"/>
      <c r="M7" s="55">
        <f ca="1">ROUND(G7,2)</f>
        <v>0</v>
      </c>
      <c r="N7" s="9"/>
      <c r="O7" s="9"/>
      <c r="P7" s="52"/>
      <c r="Q7" s="52"/>
      <c r="R7" s="453"/>
      <c r="S7" s="52"/>
      <c r="T7" s="52"/>
      <c r="U7" s="52"/>
    </row>
    <row r="8" spans="1:21">
      <c r="B8" s="300"/>
      <c r="C8" s="300"/>
      <c r="D8" s="46" t="s">
        <v>1449</v>
      </c>
      <c r="E8" s="9"/>
      <c r="F8" s="9"/>
      <c r="G8" s="62">
        <v>0</v>
      </c>
      <c r="H8" s="62">
        <v>0</v>
      </c>
      <c r="I8" s="115"/>
      <c r="J8" s="115"/>
      <c r="K8" s="49"/>
      <c r="L8" s="49"/>
      <c r="M8" s="55">
        <v>0.1</v>
      </c>
      <c r="N8" s="9"/>
      <c r="O8" s="9"/>
      <c r="P8" s="52"/>
      <c r="Q8" s="52"/>
      <c r="R8" s="453"/>
      <c r="S8" s="52"/>
      <c r="T8" s="52"/>
      <c r="U8" s="52"/>
    </row>
    <row r="9" spans="1:21">
      <c r="B9" s="220"/>
      <c r="C9" s="220"/>
      <c r="D9" s="447"/>
      <c r="E9" s="447" t="str">
        <f ca="1">IEAData!C38</f>
        <v>INDNGA</v>
      </c>
      <c r="F9" s="447" t="s">
        <v>99</v>
      </c>
      <c r="G9" s="463"/>
      <c r="H9" s="463"/>
      <c r="I9" s="466"/>
      <c r="J9" s="466"/>
      <c r="K9" s="121"/>
      <c r="L9" s="121"/>
      <c r="M9" s="121"/>
      <c r="N9" s="117"/>
      <c r="O9" s="117"/>
      <c r="P9" s="117"/>
      <c r="Q9" s="117"/>
      <c r="R9" s="477"/>
      <c r="S9" s="117"/>
      <c r="T9" s="117"/>
      <c r="U9" s="117"/>
    </row>
    <row r="10" spans="1:21">
      <c r="B10" s="785" t="str">
        <f>CONCATENATE("FT-",E11,"0")</f>
        <v>FT-INDLPG0</v>
      </c>
      <c r="C10" s="785" t="s">
        <v>100</v>
      </c>
      <c r="D10" s="786" t="str">
        <f ca="1">IEAData!D24</f>
        <v>OILLPG</v>
      </c>
      <c r="E10" s="785"/>
      <c r="F10" s="785"/>
      <c r="G10" s="461"/>
      <c r="H10" s="461"/>
      <c r="I10" s="464">
        <v>1</v>
      </c>
      <c r="J10" s="464">
        <v>1</v>
      </c>
      <c r="K10" s="49"/>
      <c r="L10" s="49"/>
      <c r="M10" s="49"/>
      <c r="N10" s="59">
        <f ca="1">VLOOKUP(MID(B10,4,6),IEAData!$BI$49:$BK$63,3,0)*$N$2^0.3</f>
        <v>11.00917456633767</v>
      </c>
      <c r="O10" s="59">
        <f ca="1">VLOOKUP(MID(B10,4,6),AuxData!$BI$49:$BK$63,3,0)*$N$2^0.3</f>
        <v>18.663448674700078</v>
      </c>
      <c r="P10" s="59">
        <f ca="1">MAX(N10:O10)*$N$2</f>
        <v>22.396138409640091</v>
      </c>
      <c r="Q10" s="59">
        <f ca="1">P10*$N$2</f>
        <v>26.875366091568107</v>
      </c>
      <c r="R10" s="452">
        <f ca="1">VLOOKUP(MID(B10,4,6),IEAData!$BI$49:$BK$63,3,0)*0.995</f>
        <v>10.371067600333802</v>
      </c>
      <c r="S10" s="59">
        <f ca="1">VLOOKUP(MID(B10,4,6),AuxData!$BI$49:$BK$63,3,0)*0.995</f>
        <v>17.581689407715945</v>
      </c>
      <c r="T10" s="59">
        <v>11</v>
      </c>
      <c r="U10" s="59"/>
    </row>
    <row r="11" spans="1:21">
      <c r="B11" s="447"/>
      <c r="C11" s="447"/>
      <c r="D11" s="447"/>
      <c r="E11" s="447" t="str">
        <f ca="1">IEAData!D38</f>
        <v>INDLPG</v>
      </c>
      <c r="F11" s="447" t="s">
        <v>101</v>
      </c>
      <c r="G11" s="463"/>
      <c r="H11" s="463"/>
      <c r="I11" s="466"/>
      <c r="J11" s="466"/>
      <c r="K11" s="121"/>
      <c r="L11" s="121"/>
      <c r="M11" s="121"/>
      <c r="N11" s="117"/>
      <c r="O11" s="117"/>
      <c r="P11" s="117"/>
      <c r="Q11" s="117"/>
      <c r="R11" s="477"/>
      <c r="S11" s="117"/>
      <c r="T11" s="117"/>
      <c r="U11" s="117"/>
    </row>
    <row r="12" spans="1:21">
      <c r="B12" s="785" t="str">
        <f>CONCATENATE("FT-",E13,"0")</f>
        <v>FT-INDNGL0</v>
      </c>
      <c r="C12" s="785" t="s">
        <v>102</v>
      </c>
      <c r="D12" s="786" t="str">
        <f ca="1">IEAData!E$24</f>
        <v>OILNGL</v>
      </c>
      <c r="E12" s="785"/>
      <c r="F12" s="785"/>
      <c r="G12" s="461"/>
      <c r="H12" s="461"/>
      <c r="I12" s="464">
        <v>1</v>
      </c>
      <c r="J12" s="464">
        <v>1</v>
      </c>
      <c r="K12" s="49"/>
      <c r="L12" s="49"/>
      <c r="M12" s="49"/>
      <c r="N12" s="59">
        <f ca="1">VLOOKUP(MID(B12,4,6),IEAData!$BI$49:$BK$63,3,0)*$N$2^0.3</f>
        <v>0</v>
      </c>
      <c r="O12" s="59">
        <f ca="1">VLOOKUP(MID(B12,4,6),AuxData!$BI$49:$BK$63,3,0)*$N$2^0.3</f>
        <v>0</v>
      </c>
      <c r="P12" s="59">
        <f ca="1">MAX(N12:O12)*$N$2</f>
        <v>0</v>
      </c>
      <c r="Q12" s="59">
        <f ca="1">P12*$N$2</f>
        <v>0</v>
      </c>
      <c r="R12" s="452"/>
      <c r="S12" s="59"/>
      <c r="T12" s="59"/>
      <c r="U12" s="59"/>
    </row>
    <row r="13" spans="1:21">
      <c r="B13" s="447"/>
      <c r="C13" s="447"/>
      <c r="D13" s="447"/>
      <c r="E13" s="447" t="str">
        <f ca="1">IEAData!E38</f>
        <v>INDNGL</v>
      </c>
      <c r="F13" s="447" t="s">
        <v>103</v>
      </c>
      <c r="G13" s="463"/>
      <c r="H13" s="463"/>
      <c r="I13" s="466"/>
      <c r="J13" s="466"/>
      <c r="K13" s="121"/>
      <c r="L13" s="121"/>
      <c r="M13" s="121"/>
      <c r="N13" s="117"/>
      <c r="O13" s="117"/>
      <c r="P13" s="117"/>
      <c r="Q13" s="117"/>
      <c r="R13" s="477"/>
      <c r="S13" s="117"/>
      <c r="T13" s="117"/>
      <c r="U13" s="117"/>
    </row>
    <row r="14" spans="1:21">
      <c r="B14" s="785" t="str">
        <f>CONCATENATE("FT-",E15,"0")</f>
        <v>FT-INDCOA0</v>
      </c>
      <c r="C14" s="785" t="s">
        <v>104</v>
      </c>
      <c r="D14" s="786" t="str">
        <f ca="1">IEAData!F$24</f>
        <v>COAHCO</v>
      </c>
      <c r="E14" s="785"/>
      <c r="F14" s="785"/>
      <c r="G14" s="62"/>
      <c r="H14" s="62"/>
      <c r="I14" s="464">
        <v>1</v>
      </c>
      <c r="J14" s="464">
        <v>1</v>
      </c>
      <c r="K14" s="49"/>
      <c r="L14" s="49"/>
      <c r="M14" s="55"/>
      <c r="N14" s="59">
        <f ca="1">VLOOKUP(MID(B14,4,6),IEAData!$BI$49:$BK$63,3,0)*$N$2^0.3</f>
        <v>8.6358938156354075</v>
      </c>
      <c r="O14" s="59">
        <f ca="1">VLOOKUP(MID(B14,4,6),AuxData!$BI$49:$BK$63,3,0)*$N$2^0.3</f>
        <v>6.3434829732439617</v>
      </c>
      <c r="P14" s="59">
        <f ca="1">MAX(N14:O14)*$N$2</f>
        <v>10.363072578762489</v>
      </c>
      <c r="Q14" s="59">
        <f ca="1">P14*$N$2</f>
        <v>12.435687094514988</v>
      </c>
      <c r="R14" s="452">
        <f ca="1">VLOOKUP(MID(B14,4,6),IEAData!$BI$49:$BK$63,3,0)*0.995</f>
        <v>8.1353454804063254</v>
      </c>
      <c r="S14" s="59">
        <f ca="1">VLOOKUP(MID(B14,4,6),AuxData!$BI$49:$BK$63,3,0)*0.995</f>
        <v>5.9758059371897998</v>
      </c>
      <c r="T14" s="59">
        <v>11</v>
      </c>
      <c r="U14" s="59"/>
    </row>
    <row r="15" spans="1:21">
      <c r="B15" s="300"/>
      <c r="C15" s="300"/>
      <c r="D15" s="447"/>
      <c r="E15" s="447" t="str">
        <f ca="1">IEAData!F38</f>
        <v>INDCOA</v>
      </c>
      <c r="F15" s="447" t="s">
        <v>105</v>
      </c>
      <c r="G15" s="463"/>
      <c r="H15" s="463"/>
      <c r="I15" s="115"/>
      <c r="J15" s="115"/>
      <c r="K15" s="121"/>
      <c r="L15" s="121"/>
      <c r="M15" s="121"/>
      <c r="N15" s="117"/>
      <c r="O15" s="117"/>
      <c r="P15" s="117"/>
      <c r="Q15" s="117"/>
      <c r="R15" s="477"/>
      <c r="S15" s="117"/>
      <c r="T15" s="117"/>
      <c r="U15" s="117"/>
    </row>
    <row r="16" spans="1:21">
      <c r="B16" s="785" t="str">
        <f>CONCATENATE("FT-",E17,"0")</f>
        <v>FT-INDCOK0</v>
      </c>
      <c r="C16" s="785" t="s">
        <v>119</v>
      </c>
      <c r="D16" s="786" t="str">
        <f ca="1">IEAData!H$24</f>
        <v>COAOVC</v>
      </c>
      <c r="E16" s="785"/>
      <c r="F16" s="785"/>
      <c r="G16" s="461"/>
      <c r="H16" s="461"/>
      <c r="I16" s="464">
        <v>1</v>
      </c>
      <c r="J16" s="464">
        <v>1</v>
      </c>
      <c r="K16" s="49"/>
      <c r="L16" s="49"/>
      <c r="M16" s="49"/>
      <c r="N16" s="59">
        <f ca="1">VLOOKUP(MID(B16,4,6),IEAData!$BI$49:$BK$63,3,0)*$N$2^0.3</f>
        <v>9.0100007326338094</v>
      </c>
      <c r="O16" s="59">
        <f ca="1">VLOOKUP(MID(B16,4,6),AuxData!$BI$49:$BK$63,3,0)*$N$2^0.3</f>
        <v>4.4873514865121598</v>
      </c>
      <c r="P16" s="59">
        <f ca="1">MAX(N16:O16)*$N$2</f>
        <v>10.812000879160571</v>
      </c>
      <c r="Q16" s="59">
        <f ca="1">P16*$N$2</f>
        <v>12.974401054992684</v>
      </c>
      <c r="R16" s="452"/>
      <c r="S16" s="59"/>
      <c r="T16" s="59"/>
      <c r="U16" s="59"/>
    </row>
    <row r="17" spans="2:21">
      <c r="B17" s="447"/>
      <c r="C17" s="447"/>
      <c r="D17" s="447"/>
      <c r="E17" s="447" t="str">
        <f ca="1">IEAData!G38</f>
        <v>INDCOK</v>
      </c>
      <c r="F17" s="447" t="s">
        <v>120</v>
      </c>
      <c r="G17" s="463"/>
      <c r="H17" s="463"/>
      <c r="I17" s="466"/>
      <c r="J17" s="466"/>
      <c r="K17" s="121"/>
      <c r="L17" s="121"/>
      <c r="M17" s="121"/>
      <c r="N17" s="117"/>
      <c r="O17" s="117"/>
      <c r="P17" s="117"/>
      <c r="Q17" s="117"/>
      <c r="R17" s="477"/>
      <c r="S17" s="117"/>
      <c r="T17" s="117"/>
      <c r="U17" s="117"/>
    </row>
    <row r="18" spans="2:21">
      <c r="B18" s="785" t="str">
        <f>CONCATENATE("FT-",E19,"0")</f>
        <v>FT-INDCOG0</v>
      </c>
      <c r="C18" s="785" t="s">
        <v>121</v>
      </c>
      <c r="D18" s="786" t="str">
        <f ca="1">IEAData!J$24</f>
        <v>GASCOG</v>
      </c>
      <c r="E18" s="785"/>
      <c r="F18" s="785"/>
      <c r="G18" s="461"/>
      <c r="H18" s="461"/>
      <c r="I18" s="464">
        <v>1</v>
      </c>
      <c r="J18" s="464">
        <v>1</v>
      </c>
      <c r="K18" s="49"/>
      <c r="L18" s="49"/>
      <c r="M18" s="49"/>
      <c r="N18" s="59">
        <f ca="1">VLOOKUP(MID(B18,4,6),IEAData!$BI$49:$BK$63,3,0)*$N$2^0.3</f>
        <v>4.8295531479484062</v>
      </c>
      <c r="O18" s="59">
        <f ca="1">VLOOKUP(MID(B18,4,6),AuxData!$BI$49:$BK$63,3,0)*$N$2^0.3</f>
        <v>2.9649137003198827</v>
      </c>
      <c r="P18" s="59">
        <f ca="1">MAX(N18:O18)*$N$2</f>
        <v>5.7954637775380871</v>
      </c>
      <c r="Q18" s="59">
        <f ca="1">P18*$N$2</f>
        <v>6.9545565330457046</v>
      </c>
      <c r="R18" s="452"/>
      <c r="S18" s="59"/>
      <c r="T18" s="59"/>
      <c r="U18" s="59"/>
    </row>
    <row r="19" spans="2:21">
      <c r="B19" s="447"/>
      <c r="C19" s="447"/>
      <c r="D19" s="447"/>
      <c r="E19" s="447" t="str">
        <f ca="1">IEAData!H38</f>
        <v>INDCOG</v>
      </c>
      <c r="F19" s="447" t="s">
        <v>122</v>
      </c>
      <c r="G19" s="463"/>
      <c r="H19" s="463"/>
      <c r="I19" s="466"/>
      <c r="J19" s="466"/>
      <c r="K19" s="121"/>
      <c r="L19" s="121"/>
      <c r="M19" s="121"/>
      <c r="N19" s="117"/>
      <c r="O19" s="117"/>
      <c r="P19" s="117"/>
      <c r="Q19" s="117"/>
      <c r="R19" s="477"/>
      <c r="S19" s="117"/>
      <c r="T19" s="117"/>
      <c r="U19" s="117"/>
    </row>
    <row r="20" spans="2:21">
      <c r="B20" s="785" t="str">
        <f>CONCATENATE("FT-",E23,"0")</f>
        <v>FT-INDBFG0</v>
      </c>
      <c r="C20" s="785" t="s">
        <v>123</v>
      </c>
      <c r="D20" s="786" t="str">
        <f ca="1">IEAData!K$24</f>
        <v>GASBFG</v>
      </c>
      <c r="E20" s="9"/>
      <c r="F20" s="9"/>
      <c r="G20" s="62"/>
      <c r="H20" s="62"/>
      <c r="I20" s="464">
        <v>1</v>
      </c>
      <c r="J20" s="464">
        <v>1</v>
      </c>
      <c r="K20" s="49"/>
      <c r="L20" s="49"/>
      <c r="M20" s="55">
        <v>1</v>
      </c>
      <c r="N20" s="59">
        <f ca="1">VLOOKUP(MID(B20,4,6),IEAData!$BI$49:$BK$63,3,0)*$N$2^0.3</f>
        <v>9.4291528441760164</v>
      </c>
      <c r="O20" s="59">
        <f ca="1">VLOOKUP(MID(B20,4,6),AuxData!$BI$49:$BK$63,3,0)*$N$2^0.3</f>
        <v>2.4366973547494317</v>
      </c>
      <c r="P20" s="59">
        <f ca="1">MAX(N20:O20)*$N$2</f>
        <v>11.31498341301122</v>
      </c>
      <c r="Q20" s="59">
        <f ca="1">P20*$N$2</f>
        <v>13.577980095613464</v>
      </c>
      <c r="R20" s="452"/>
      <c r="S20" s="59"/>
      <c r="T20" s="59"/>
      <c r="U20" s="59"/>
    </row>
    <row r="21" spans="2:21">
      <c r="B21" s="446"/>
      <c r="C21" s="446"/>
      <c r="D21" s="787" t="str">
        <f ca="1">IEAData!L$24</f>
        <v>GASOXY</v>
      </c>
      <c r="E21" s="9"/>
      <c r="F21" s="9"/>
      <c r="G21" s="62"/>
      <c r="H21" s="62"/>
      <c r="I21" s="465"/>
      <c r="J21" s="465"/>
      <c r="K21" s="49"/>
      <c r="L21" s="49"/>
      <c r="M21" s="55"/>
      <c r="N21" s="59"/>
      <c r="O21" s="59"/>
      <c r="P21" s="59"/>
      <c r="Q21" s="59"/>
      <c r="R21" s="452"/>
      <c r="S21" s="59"/>
      <c r="T21" s="59"/>
      <c r="U21" s="59"/>
    </row>
    <row r="22" spans="2:21">
      <c r="B22" s="300"/>
      <c r="C22" s="300"/>
      <c r="D22" s="787" t="str">
        <f ca="1">IEAData!I$24</f>
        <v>COAGSC</v>
      </c>
      <c r="E22" s="9"/>
      <c r="F22" s="9"/>
      <c r="G22" s="62">
        <f ca="1">VLOOKUP(D22,IEAData!$AE$48:$AO$76,11,0)</f>
        <v>0</v>
      </c>
      <c r="H22" s="62">
        <f ca="1">VLOOKUP($D22,AuxData!$AE$48:$AO$76,11,0)</f>
        <v>0</v>
      </c>
      <c r="I22" s="115"/>
      <c r="J22" s="115"/>
      <c r="K22" s="49"/>
      <c r="L22" s="49"/>
      <c r="M22" s="55">
        <f ca="1">ROUND(G22,2)</f>
        <v>0</v>
      </c>
      <c r="N22" s="52"/>
      <c r="O22" s="52"/>
      <c r="P22" s="52"/>
      <c r="Q22" s="52"/>
      <c r="R22" s="453"/>
      <c r="S22" s="52"/>
      <c r="T22" s="52"/>
      <c r="U22" s="52"/>
    </row>
    <row r="23" spans="2:21">
      <c r="B23" s="519"/>
      <c r="C23" s="519"/>
      <c r="D23" s="117"/>
      <c r="E23" s="447" t="str">
        <f ca="1">IEAData!I38</f>
        <v>INDBFG</v>
      </c>
      <c r="F23" s="447" t="s">
        <v>124</v>
      </c>
      <c r="G23" s="119"/>
      <c r="H23" s="119"/>
      <c r="I23" s="120"/>
      <c r="J23" s="120"/>
      <c r="K23" s="121"/>
      <c r="L23" s="121"/>
      <c r="M23" s="121"/>
      <c r="N23" s="117"/>
      <c r="O23" s="117"/>
      <c r="P23" s="117"/>
      <c r="Q23" s="117"/>
      <c r="R23" s="477"/>
      <c r="S23" s="117"/>
      <c r="T23" s="117"/>
      <c r="U23" s="117"/>
    </row>
    <row r="24" spans="2:21">
      <c r="B24" s="785" t="str">
        <f>CONCATENATE("FT-",E25,"0")</f>
        <v>FT-INDBCO0</v>
      </c>
      <c r="C24" s="785" t="s">
        <v>1153</v>
      </c>
      <c r="D24" s="786" t="str">
        <f ca="1">IEAData!G$24</f>
        <v>COABCO</v>
      </c>
      <c r="E24" s="9"/>
      <c r="F24" s="9"/>
      <c r="G24" s="461"/>
      <c r="H24" s="461"/>
      <c r="I24" s="115">
        <v>1</v>
      </c>
      <c r="J24" s="115">
        <v>1</v>
      </c>
      <c r="K24" s="49"/>
      <c r="L24" s="49"/>
      <c r="M24" s="49"/>
      <c r="N24" s="59">
        <f ca="1">VLOOKUP(MID(B24,4,6),IEAData!$BI$49:$BK$63,3,0)*$N$2^0.3</f>
        <v>26.318292733111971</v>
      </c>
      <c r="O24" s="59">
        <f ca="1">VLOOKUP(MID(B24,4,6),AuxData!$BI$49:$BK$63,3,0)*$N$2^0.3</f>
        <v>17.222814318932244</v>
      </c>
      <c r="P24" s="59">
        <f ca="1">O24*$N$2^2.3</f>
        <v>26.195155770784055</v>
      </c>
      <c r="Q24" s="59">
        <f ca="1">P24*$N$2</f>
        <v>31.434186924940864</v>
      </c>
      <c r="R24" s="452">
        <f ca="1">VLOOKUP(MID(B24,4,6),IEAData!$BI$49:$BK$63,3,0)*0.995</f>
        <v>24.792848130055379</v>
      </c>
      <c r="S24" s="59">
        <f ca="1">VLOOKUP(MID(B24,4,6),AuxData!$BI$49:$BK$63,3,0)*0.995</f>
        <v>16.224556209309245</v>
      </c>
      <c r="T24" s="59">
        <v>11</v>
      </c>
      <c r="U24" s="59"/>
    </row>
    <row r="25" spans="2:21">
      <c r="B25" s="300"/>
      <c r="C25" s="300"/>
      <c r="D25" s="447"/>
      <c r="E25" s="447" t="str">
        <f ca="1">IEAData!J38</f>
        <v>INDBCO</v>
      </c>
      <c r="F25" s="447" t="s">
        <v>1152</v>
      </c>
      <c r="G25" s="463"/>
      <c r="H25" s="463"/>
      <c r="I25" s="115"/>
      <c r="J25" s="115"/>
      <c r="K25" s="121"/>
      <c r="L25" s="121"/>
      <c r="M25" s="121"/>
      <c r="N25" s="117"/>
      <c r="O25" s="117"/>
      <c r="P25" s="117"/>
      <c r="Q25" s="117"/>
      <c r="R25" s="477"/>
      <c r="S25" s="117"/>
      <c r="T25" s="117"/>
      <c r="U25" s="117"/>
    </row>
    <row r="26" spans="2:21">
      <c r="B26" s="785" t="str">
        <f>CONCATENATE("FT-",E29,"0")</f>
        <v>FT-INDHFO0</v>
      </c>
      <c r="C26" s="785" t="s">
        <v>140</v>
      </c>
      <c r="D26" s="786" t="str">
        <f ca="1">IEAData!P$24</f>
        <v>OILHFO</v>
      </c>
      <c r="E26" s="9"/>
      <c r="F26" s="9"/>
      <c r="G26" s="62"/>
      <c r="H26" s="62"/>
      <c r="I26" s="464">
        <v>1</v>
      </c>
      <c r="J26" s="464">
        <v>1</v>
      </c>
      <c r="K26" s="49"/>
      <c r="L26" s="49"/>
      <c r="M26" s="55">
        <v>1</v>
      </c>
      <c r="N26" s="59">
        <f ca="1">VLOOKUP(MID(B26,4,6),IEAData!$BI$49:$BK$63,3,0)*$N$2^0.3</f>
        <v>16.777320638497976</v>
      </c>
      <c r="O26" s="59">
        <f ca="1">VLOOKUP(MID(B26,4,6),AuxData!$BI$49:$BK$63,3,0)*$N$2^0.3</f>
        <v>13.381073785654676</v>
      </c>
      <c r="P26" s="59">
        <f ca="1">MAX(N26:O26)*$N$2</f>
        <v>20.13278476619757</v>
      </c>
      <c r="Q26" s="59">
        <f ca="1">P26*$N$2</f>
        <v>24.159341719437084</v>
      </c>
      <c r="R26" s="452">
        <f ca="1">VLOOKUP(MID(B26,4,6),IEAData!$BI$49:$BK$63,3,0)*0.995</f>
        <v>15.804883958000557</v>
      </c>
      <c r="S26" s="59">
        <f ca="1">VLOOKUP(MID(B26,4,6),AuxData!$BI$49:$BK$63,3,0)*0.995</f>
        <v>12.605488264343569</v>
      </c>
      <c r="T26" s="59">
        <v>11</v>
      </c>
      <c r="U26" s="59"/>
    </row>
    <row r="27" spans="2:21">
      <c r="B27" s="300"/>
      <c r="C27" s="300"/>
      <c r="D27" s="787" t="str">
        <f ca="1">IEAData!O$24</f>
        <v>OILCRD</v>
      </c>
      <c r="E27" s="9"/>
      <c r="F27" s="9"/>
      <c r="G27" s="62">
        <f ca="1">VLOOKUP(D27,IEAData!$AE$48:$AO$76,11,0)</f>
        <v>0</v>
      </c>
      <c r="H27" s="62">
        <f ca="1">VLOOKUP($D27,AuxData!$AE$48:$AO$76,11,0)</f>
        <v>0</v>
      </c>
      <c r="I27" s="115"/>
      <c r="J27" s="115"/>
      <c r="K27" s="49"/>
      <c r="L27" s="49"/>
      <c r="M27" s="55">
        <f ca="1">ROUND(G27,2)</f>
        <v>0</v>
      </c>
      <c r="N27" s="52"/>
      <c r="O27" s="52"/>
      <c r="P27" s="52"/>
      <c r="Q27" s="52"/>
      <c r="R27" s="453"/>
      <c r="S27" s="52"/>
      <c r="T27" s="52"/>
      <c r="U27" s="52"/>
    </row>
    <row r="28" spans="2:21">
      <c r="B28" s="520"/>
      <c r="C28" s="520"/>
      <c r="D28" s="787" t="str">
        <f ca="1">IEAData!T$24</f>
        <v>OILNSP</v>
      </c>
      <c r="E28" s="446"/>
      <c r="F28" s="446"/>
      <c r="G28" s="62">
        <f ca="1">VLOOKUP(D28,IEAData!$AE$48:$AO$76,11,0)</f>
        <v>7.5544930126209373E-2</v>
      </c>
      <c r="H28" s="62">
        <f ca="1">VLOOKUP($D28,AuxData!$AE$48:$AO$76,11,0)</f>
        <v>0.29971466555547027</v>
      </c>
      <c r="I28" s="158"/>
      <c r="J28" s="158"/>
      <c r="K28" s="49"/>
      <c r="L28" s="49"/>
      <c r="M28" s="55">
        <f ca="1">ROUND(G28,2)</f>
        <v>0.08</v>
      </c>
      <c r="N28" s="52"/>
      <c r="O28" s="52"/>
      <c r="P28" s="52"/>
      <c r="Q28" s="52"/>
      <c r="R28" s="453"/>
      <c r="S28" s="52"/>
      <c r="T28" s="52"/>
      <c r="U28" s="52"/>
    </row>
    <row r="29" spans="2:21">
      <c r="B29" s="447"/>
      <c r="C29" s="447"/>
      <c r="D29" s="447"/>
      <c r="E29" s="447" t="str">
        <f ca="1">IEAData!K38</f>
        <v>INDHFO</v>
      </c>
      <c r="F29" s="447" t="s">
        <v>141</v>
      </c>
      <c r="G29" s="463"/>
      <c r="H29" s="463"/>
      <c r="I29" s="466"/>
      <c r="J29" s="466"/>
      <c r="K29" s="121"/>
      <c r="L29" s="121"/>
      <c r="M29" s="121"/>
      <c r="N29" s="117"/>
      <c r="O29" s="117"/>
      <c r="P29" s="117"/>
      <c r="Q29" s="117"/>
      <c r="R29" s="477"/>
      <c r="S29" s="117"/>
      <c r="T29" s="117"/>
      <c r="U29" s="117"/>
    </row>
    <row r="30" spans="2:21">
      <c r="B30" s="785" t="str">
        <f>CONCATENATE("FT-",E34,"0")</f>
        <v>FT-INDOIL0</v>
      </c>
      <c r="C30" s="785" t="s">
        <v>142</v>
      </c>
      <c r="D30" s="786" t="str">
        <f ca="1">IEAData!Q$24</f>
        <v>OILDST</v>
      </c>
      <c r="E30" s="785"/>
      <c r="F30" s="785"/>
      <c r="G30" s="62"/>
      <c r="H30" s="62"/>
      <c r="I30" s="464">
        <v>1</v>
      </c>
      <c r="J30" s="464">
        <v>1</v>
      </c>
      <c r="K30" s="49"/>
      <c r="L30" s="49"/>
      <c r="M30" s="55">
        <v>1</v>
      </c>
      <c r="N30" s="358">
        <f ca="1">VLOOKUP(MID(B30,4,6),IEAData!$BI$49:$BK$63,3,0)*Calibration!$M$104*$N$2^0.3</f>
        <v>1.5175438846326512</v>
      </c>
      <c r="O30" s="358">
        <f ca="1">VLOOKUP(MID(B30,4,6),AuxData!$BI$49:$BK$63,3,0)*Calibrati2!$M$104*$N$2^0.3</f>
        <v>1.3588348008475453</v>
      </c>
      <c r="P30" s="59">
        <f ca="1">MAX(N30:O30)*$N$2</f>
        <v>1.8210526615591813</v>
      </c>
      <c r="Q30" s="59">
        <f ca="1">P30*$N$2</f>
        <v>2.1852631938710174</v>
      </c>
      <c r="R30" s="454">
        <f ca="1">VLOOKUP(MID(B30,4,6),IEAData!$BI$49:$BK$63,3,0)*Calibration!M$104*0.995</f>
        <v>1.4295849447352345</v>
      </c>
      <c r="S30" s="358">
        <f ca="1">VLOOKUP(MID(B30,4,6),AuxData!$BI$49:$BK$63,3,0)*Calibrati2!M$104*0.995</f>
        <v>1.2800748586879813</v>
      </c>
      <c r="T30" s="59">
        <v>11</v>
      </c>
      <c r="U30" s="59"/>
    </row>
    <row r="31" spans="2:21">
      <c r="B31" s="446"/>
      <c r="C31" s="446"/>
      <c r="D31" s="787" t="str">
        <f ca="1">IEAData!R$24</f>
        <v>OILKER</v>
      </c>
      <c r="E31" s="9"/>
      <c r="F31" s="9"/>
      <c r="G31" s="62">
        <f ca="1">VLOOKUP(D31,IEAData!$AE$48:$AO$76,11,0)</f>
        <v>0</v>
      </c>
      <c r="H31" s="62">
        <f ca="1">VLOOKUP($D31,AuxData!$AE$48:$AO$76,11,0)</f>
        <v>0</v>
      </c>
      <c r="I31" s="465"/>
      <c r="J31" s="465"/>
      <c r="K31" s="49"/>
      <c r="L31" s="49"/>
      <c r="M31" s="55">
        <f ca="1">ROUND(G31,2)</f>
        <v>0</v>
      </c>
      <c r="N31" s="52"/>
      <c r="O31" s="52"/>
      <c r="P31" s="52"/>
      <c r="Q31" s="52"/>
      <c r="R31" s="453"/>
      <c r="S31" s="52"/>
      <c r="T31" s="52"/>
      <c r="U31" s="52"/>
    </row>
    <row r="32" spans="2:21">
      <c r="B32" s="300"/>
      <c r="C32" s="300"/>
      <c r="D32" s="787" t="str">
        <f ca="1">IEAData!S$24</f>
        <v>OILGSL</v>
      </c>
      <c r="E32" s="9"/>
      <c r="F32" s="9"/>
      <c r="G32" s="62">
        <f ca="1">VLOOKUP(D32,IEAData!$AE$48:$AO$76,11,0)/Calibration!M$104</f>
        <v>0</v>
      </c>
      <c r="H32" s="62">
        <f ca="1">VLOOKUP($D32,AuxData!$AE$48:$AO$76,11,0)/Calibrati2!$M$104</f>
        <v>6.255553387848839E-2</v>
      </c>
      <c r="I32" s="115"/>
      <c r="J32" s="115"/>
      <c r="K32" s="49"/>
      <c r="L32" s="49"/>
      <c r="M32" s="55">
        <f ca="1">ROUND(G32,2)</f>
        <v>0</v>
      </c>
      <c r="N32" s="52"/>
      <c r="O32" s="52"/>
      <c r="P32" s="52"/>
      <c r="Q32" s="52"/>
      <c r="R32" s="453"/>
      <c r="S32" s="52"/>
      <c r="T32" s="52"/>
      <c r="U32" s="52"/>
    </row>
    <row r="33" spans="1:28">
      <c r="B33" s="520"/>
      <c r="C33" s="520"/>
      <c r="D33" s="787" t="str">
        <f ca="1">IEAData!AF$24</f>
        <v>OILJTK</v>
      </c>
      <c r="E33" s="446"/>
      <c r="F33" s="446"/>
      <c r="G33" s="62">
        <f ca="1">VLOOKUP(D33,IEAData!$AE$48:$AO$76,11,0)/Calibration!M$104</f>
        <v>0</v>
      </c>
      <c r="H33" s="62">
        <f ca="1">VLOOKUP($D33,AuxData!$AE$48:$AO$76,11,0)/Calibrati2!$M$104</f>
        <v>0</v>
      </c>
      <c r="I33" s="158"/>
      <c r="J33" s="158"/>
      <c r="K33" s="49"/>
      <c r="L33" s="49"/>
      <c r="M33" s="55">
        <f ca="1">ROUND(G33,2)</f>
        <v>0</v>
      </c>
      <c r="N33" s="52"/>
      <c r="O33" s="52"/>
      <c r="P33" s="52"/>
      <c r="Q33" s="52"/>
      <c r="R33" s="453"/>
      <c r="S33" s="52"/>
      <c r="T33" s="52"/>
      <c r="U33" s="52"/>
    </row>
    <row r="34" spans="1:28">
      <c r="B34" s="447"/>
      <c r="C34" s="447"/>
      <c r="D34" s="447"/>
      <c r="E34" s="447" t="str">
        <f ca="1">IEAData!L38</f>
        <v>INDOIL</v>
      </c>
      <c r="F34" s="447" t="s">
        <v>143</v>
      </c>
      <c r="G34" s="463"/>
      <c r="H34" s="463"/>
      <c r="I34" s="466"/>
      <c r="J34" s="466"/>
      <c r="K34" s="121"/>
      <c r="L34" s="121"/>
      <c r="M34" s="121"/>
      <c r="N34" s="117"/>
      <c r="O34" s="117"/>
      <c r="P34" s="117"/>
      <c r="Q34" s="117"/>
      <c r="R34" s="477"/>
      <c r="S34" s="117"/>
      <c r="T34" s="117"/>
      <c r="U34" s="117"/>
    </row>
    <row r="35" spans="1:28">
      <c r="B35" s="785" t="str">
        <f>CONCATENATE("FT-",E37,"0")</f>
        <v>FT-INDETH0</v>
      </c>
      <c r="C35" s="785" t="s">
        <v>664</v>
      </c>
      <c r="D35" s="786" t="str">
        <f ca="1">IEAData!U$24</f>
        <v>GASETH</v>
      </c>
      <c r="E35" s="9"/>
      <c r="F35" s="9"/>
      <c r="G35" s="62"/>
      <c r="H35" s="62"/>
      <c r="I35" s="464">
        <v>1</v>
      </c>
      <c r="J35" s="464">
        <v>1</v>
      </c>
      <c r="K35" s="49"/>
      <c r="L35" s="49"/>
      <c r="M35" s="55">
        <v>1</v>
      </c>
      <c r="N35" s="59">
        <f ca="1">VLOOKUP(MID(B35,4,6),IEAData!$BI$49:$BK$63,3,0)*$N$2^0.3</f>
        <v>9.5677882424730729</v>
      </c>
      <c r="O35" s="59">
        <f ca="1">VLOOKUP(MID(B35,4,6),AuxData!$BI$49:$BK$63,3,0)*$N$2^0.3</f>
        <v>0.5355911759974491</v>
      </c>
      <c r="P35" s="59">
        <f ca="1">MAX(N35:O35)*$N$2</f>
        <v>11.481345890967686</v>
      </c>
      <c r="Q35" s="59">
        <f ca="1">P35*$N$2</f>
        <v>13.777615069161223</v>
      </c>
      <c r="R35" s="452">
        <f ca="1">VLOOKUP(MID(B35,4,6),IEAData!$BI$49:$BK$63,3,0)*0.995</f>
        <v>9.0132260189400011</v>
      </c>
      <c r="S35" s="59">
        <f ca="1">VLOOKUP(MID(B35,4,6),AuxData!$BI$49:$BK$63,3,0)*0.995</f>
        <v>0.50454757156781505</v>
      </c>
      <c r="T35" s="59">
        <v>11</v>
      </c>
      <c r="U35" s="59"/>
    </row>
    <row r="36" spans="1:28">
      <c r="B36" s="300"/>
      <c r="C36" s="300"/>
      <c r="D36" s="787" t="str">
        <f ca="1">IEAData!N$24</f>
        <v>GASRFG</v>
      </c>
      <c r="E36" s="9"/>
      <c r="F36" s="9"/>
      <c r="G36" s="62">
        <f ca="1">VLOOKUP(D36,IEAData!$AE$48:$AO$76,11,0)</f>
        <v>1</v>
      </c>
      <c r="H36" s="62">
        <f ca="1">VLOOKUP($D36,AuxData!$AE$48:$AO$76,11,0)</f>
        <v>0.99999999999999978</v>
      </c>
      <c r="I36" s="115"/>
      <c r="J36" s="115"/>
      <c r="K36" s="49"/>
      <c r="L36" s="49"/>
      <c r="M36" s="55">
        <v>1</v>
      </c>
      <c r="N36" s="52"/>
      <c r="O36" s="52"/>
      <c r="P36" s="52"/>
      <c r="Q36" s="52"/>
      <c r="R36" s="453"/>
      <c r="S36" s="52"/>
      <c r="T36" s="52"/>
      <c r="U36" s="52"/>
    </row>
    <row r="37" spans="1:28">
      <c r="B37" s="300"/>
      <c r="C37" s="300"/>
      <c r="D37" s="447"/>
      <c r="E37" s="447" t="str">
        <f ca="1">IEAData!M38</f>
        <v>INDETH</v>
      </c>
      <c r="F37" s="447" t="s">
        <v>665</v>
      </c>
      <c r="G37" s="463"/>
      <c r="H37" s="463"/>
      <c r="I37" s="115"/>
      <c r="J37" s="115"/>
      <c r="K37" s="121"/>
      <c r="L37" s="121"/>
      <c r="M37" s="121"/>
      <c r="N37" s="117"/>
      <c r="O37" s="117"/>
      <c r="P37" s="117"/>
      <c r="Q37" s="117"/>
      <c r="R37" s="477"/>
      <c r="S37" s="117"/>
      <c r="T37" s="117"/>
      <c r="U37" s="117"/>
    </row>
    <row r="38" spans="1:28">
      <c r="B38" s="785" t="str">
        <f>CONCATENATE("FT-",E39,"0")</f>
        <v>FT-INDNAP0</v>
      </c>
      <c r="C38" s="785" t="s">
        <v>666</v>
      </c>
      <c r="D38" s="786" t="str">
        <f ca="1">IEAData!V$24</f>
        <v>OILNAP</v>
      </c>
      <c r="E38" s="9"/>
      <c r="F38" s="9"/>
      <c r="G38" s="461"/>
      <c r="H38" s="461"/>
      <c r="I38" s="464">
        <v>1</v>
      </c>
      <c r="J38" s="464">
        <v>1</v>
      </c>
      <c r="K38" s="49"/>
      <c r="L38" s="49"/>
      <c r="M38" s="49"/>
      <c r="N38" s="59">
        <f ca="1">VLOOKUP(MID(B38,4,6),IEAData!$BI$49:$BK$63,3,0)*$N$2^0.3</f>
        <v>0</v>
      </c>
      <c r="O38" s="59">
        <f ca="1">VLOOKUP(MID(B38,4,6),AuxData!$BI$49:$BK$63,3,0)*$N$2^0.3</f>
        <v>3.5404708691790758</v>
      </c>
      <c r="P38" s="59">
        <f ca="1">MAX(N38:O38)*$N$2</f>
        <v>4.2485650430148905</v>
      </c>
      <c r="Q38" s="59">
        <f ca="1">P38*$N$2</f>
        <v>5.0982780516178687</v>
      </c>
      <c r="R38" s="452">
        <f ca="1">VLOOKUP(MID(B38,4,6),IEAData!$BI$49:$BK$63,3,0)*0.995</f>
        <v>0</v>
      </c>
      <c r="S38" s="59">
        <f ca="1">VLOOKUP(MID(B38,4,6),AuxData!$BI$49:$BK$63,3,0)*0.995</f>
        <v>3.3352602867740333</v>
      </c>
      <c r="T38" s="59">
        <v>11</v>
      </c>
      <c r="U38" s="59"/>
    </row>
    <row r="39" spans="1:28">
      <c r="B39" s="519"/>
      <c r="C39" s="519"/>
      <c r="D39" s="117"/>
      <c r="E39" s="447" t="str">
        <f ca="1">IEAData!N38</f>
        <v>INDNAP</v>
      </c>
      <c r="F39" s="447" t="s">
        <v>667</v>
      </c>
      <c r="G39" s="119"/>
      <c r="H39" s="119"/>
      <c r="I39" s="120"/>
      <c r="J39" s="120"/>
      <c r="K39" s="121"/>
      <c r="L39" s="121"/>
      <c r="M39" s="121"/>
      <c r="N39" s="117"/>
      <c r="O39" s="117"/>
      <c r="P39" s="117"/>
      <c r="Q39" s="117"/>
      <c r="R39" s="477"/>
      <c r="S39" s="117"/>
      <c r="T39" s="117"/>
      <c r="U39" s="117"/>
    </row>
    <row r="40" spans="1:28">
      <c r="B40" s="785" t="str">
        <f>CONCATENATE("FT-",E41,"0")</f>
        <v>FT-INDPTC0</v>
      </c>
      <c r="C40" s="785" t="s">
        <v>668</v>
      </c>
      <c r="D40" s="786" t="str">
        <f ca="1">IEAData!W$24</f>
        <v>OILPTC</v>
      </c>
      <c r="E40" s="9"/>
      <c r="F40" s="9"/>
      <c r="G40" s="461"/>
      <c r="H40" s="461"/>
      <c r="I40" s="115">
        <v>1</v>
      </c>
      <c r="J40" s="115">
        <v>1</v>
      </c>
      <c r="K40" s="49"/>
      <c r="L40" s="49"/>
      <c r="M40" s="49"/>
      <c r="N40" s="59">
        <f ca="1">VLOOKUP(MID(B40,4,6),IEAData!$BI$49:$BK$63,3,0)*$N$2^0.3</f>
        <v>0.99075586883362055</v>
      </c>
      <c r="O40" s="59">
        <f ca="1">VLOOKUP(MID(B40,4,6),AuxData!$BI$49:$BK$63,3,0)*$N$2^0.3</f>
        <v>1.8399358187531687</v>
      </c>
      <c r="P40" s="358">
        <f ca="1">MAX(N40:O40)*$N$2</f>
        <v>2.2079229825038023</v>
      </c>
      <c r="Q40" s="358">
        <f ca="1">P40*$N$2</f>
        <v>2.6495075790045628</v>
      </c>
      <c r="R40" s="454"/>
      <c r="S40" s="358"/>
      <c r="T40" s="358"/>
      <c r="U40" s="358"/>
    </row>
    <row r="41" spans="1:28">
      <c r="B41" s="519"/>
      <c r="C41" s="519"/>
      <c r="D41" s="117"/>
      <c r="E41" s="447" t="str">
        <f ca="1">IEAData!O38</f>
        <v>INDPTC</v>
      </c>
      <c r="F41" s="447" t="s">
        <v>669</v>
      </c>
      <c r="G41" s="119"/>
      <c r="H41" s="119"/>
      <c r="I41" s="120"/>
      <c r="J41" s="120"/>
      <c r="K41" s="121"/>
      <c r="L41" s="121"/>
      <c r="M41" s="121"/>
      <c r="N41" s="117"/>
      <c r="O41" s="117"/>
      <c r="P41" s="117"/>
      <c r="Q41" s="117"/>
      <c r="R41" s="477"/>
      <c r="S41" s="117"/>
      <c r="T41" s="117"/>
      <c r="U41" s="117"/>
    </row>
    <row r="42" spans="1:28">
      <c r="B42" s="785" t="str">
        <f>CONCATENATE("FT-",E47,"0")</f>
        <v>FT-INDBIO0</v>
      </c>
      <c r="C42" s="785" t="s">
        <v>670</v>
      </c>
      <c r="D42" s="786" t="s">
        <v>1281</v>
      </c>
      <c r="E42" s="169"/>
      <c r="F42" s="169"/>
      <c r="G42" s="62">
        <v>1</v>
      </c>
      <c r="H42" s="62">
        <v>1</v>
      </c>
      <c r="I42" s="464">
        <v>1</v>
      </c>
      <c r="J42" s="464">
        <v>1</v>
      </c>
      <c r="K42" s="49"/>
      <c r="L42" s="49"/>
      <c r="M42" s="55">
        <v>1</v>
      </c>
      <c r="N42" s="59">
        <f ca="1">VLOOKUP(MID(B42,4,6),IEAData!$BI$49:$BK$63,3,0)*$N$2^0.3</f>
        <v>217.41112346155722</v>
      </c>
      <c r="O42" s="59">
        <f ca="1">VLOOKUP(MID(B42,4,6),AuxData!$BI$49:$BK$63,3,0)*$N$2^0.3</f>
        <v>241.73088640457925</v>
      </c>
      <c r="P42" s="59">
        <f ca="1">O42*$N$2^1.3</f>
        <v>306.3851870508463</v>
      </c>
      <c r="Q42" s="59">
        <f ca="1">P42*$N$2^1.5</f>
        <v>402.7537877596518</v>
      </c>
      <c r="R42" s="452"/>
      <c r="S42" s="59"/>
      <c r="T42" s="59"/>
      <c r="U42" s="59"/>
    </row>
    <row r="43" spans="1:28">
      <c r="B43" s="520"/>
      <c r="C43" s="520"/>
      <c r="D43" s="787" t="s">
        <v>1315</v>
      </c>
      <c r="E43" s="52"/>
      <c r="F43" s="52"/>
      <c r="G43" s="62">
        <v>0.1</v>
      </c>
      <c r="H43" s="62">
        <v>0.1</v>
      </c>
      <c r="I43" s="52"/>
      <c r="J43" s="52"/>
      <c r="K43" s="49"/>
      <c r="L43" s="49"/>
      <c r="M43" s="55">
        <v>0.2</v>
      </c>
      <c r="N43" s="52"/>
      <c r="O43" s="52"/>
      <c r="P43" s="52"/>
      <c r="Q43" s="52"/>
      <c r="R43" s="453"/>
      <c r="S43" s="52"/>
      <c r="T43" s="52"/>
      <c r="U43" s="52"/>
    </row>
    <row r="44" spans="1:28" ht="14.25">
      <c r="A44" s="114"/>
      <c r="B44" s="446"/>
      <c r="C44" s="446"/>
      <c r="D44" s="787" t="str">
        <f ca="1">IEAData!AA$24</f>
        <v>BIOGAS</v>
      </c>
      <c r="E44" s="52"/>
      <c r="F44" s="446"/>
      <c r="G44" s="62">
        <f ca="1">VLOOKUP(D44,IEAData!$AE$48:$AO$76,11,0)</f>
        <v>7.3276954673940034E-2</v>
      </c>
      <c r="H44" s="62">
        <f ca="1">VLOOKUP($D44,AuxData!$AE$48:$AO$76,11,0)</f>
        <v>6.2213245348406013E-2</v>
      </c>
      <c r="I44" s="52"/>
      <c r="J44" s="52"/>
      <c r="K44" s="49"/>
      <c r="L44" s="49"/>
      <c r="M44" s="55">
        <f ca="1">ROUND(G44,3)</f>
        <v>7.2999999999999995E-2</v>
      </c>
      <c r="N44" s="52"/>
      <c r="O44" s="52"/>
      <c r="P44" s="52"/>
      <c r="Q44" s="52"/>
      <c r="R44" s="453"/>
      <c r="S44" s="52"/>
      <c r="T44" s="52"/>
      <c r="U44" s="52"/>
    </row>
    <row r="45" spans="1:28" ht="14.25">
      <c r="A45" s="114"/>
      <c r="B45" s="446"/>
      <c r="C45" s="446"/>
      <c r="D45" s="787" t="str">
        <f ca="1">IEAData!AB$24</f>
        <v>BIOBMU</v>
      </c>
      <c r="E45" s="446"/>
      <c r="F45" s="446"/>
      <c r="G45" s="62">
        <f ca="1">VLOOKUP(D45,IEAData!$AE$48:$AO$76,11,0)</f>
        <v>0.2869965058123331</v>
      </c>
      <c r="H45" s="62">
        <f ca="1">VLOOKUP($D45,AuxData!$AE$48:$AO$76,11,0)</f>
        <v>0.38044324539403751</v>
      </c>
      <c r="I45" s="446"/>
      <c r="J45" s="446"/>
      <c r="K45" s="788"/>
      <c r="L45" s="788"/>
      <c r="M45" s="55">
        <f ca="1">ROUND(G45,3)</f>
        <v>0.28699999999999998</v>
      </c>
      <c r="N45" s="446"/>
      <c r="O45" s="446"/>
      <c r="P45" s="446"/>
      <c r="Q45" s="446"/>
      <c r="R45" s="789"/>
      <c r="S45" s="446"/>
      <c r="T45" s="446"/>
      <c r="U45" s="446"/>
      <c r="Y45" s="472"/>
      <c r="Z45" s="472"/>
      <c r="AA45" s="472"/>
      <c r="AB45" s="472"/>
    </row>
    <row r="46" spans="1:28" ht="14.25">
      <c r="A46" s="114"/>
      <c r="B46" s="446"/>
      <c r="C46" s="446"/>
      <c r="D46" s="787" t="str">
        <f ca="1">IEAData!AC$24</f>
        <v>BIOBIN</v>
      </c>
      <c r="E46" s="52"/>
      <c r="F46" s="52"/>
      <c r="G46" s="62"/>
      <c r="H46" s="62"/>
      <c r="I46" s="465"/>
      <c r="J46" s="465"/>
      <c r="K46" s="49"/>
      <c r="L46" s="49"/>
      <c r="M46" s="55"/>
      <c r="N46" s="52"/>
      <c r="O46" s="52"/>
      <c r="P46" s="52"/>
      <c r="Q46" s="52"/>
      <c r="R46" s="453"/>
      <c r="S46" s="52"/>
      <c r="T46" s="52"/>
      <c r="U46" s="52"/>
      <c r="Y46" s="472"/>
      <c r="Z46" s="472"/>
      <c r="AA46" s="472"/>
      <c r="AB46" s="472"/>
    </row>
    <row r="47" spans="1:28" ht="14.25">
      <c r="A47" s="114"/>
      <c r="B47" s="519"/>
      <c r="C47" s="519"/>
      <c r="D47" s="447"/>
      <c r="E47" s="447" t="str">
        <f ca="1">IEAData!P38</f>
        <v>INDBIO</v>
      </c>
      <c r="F47" s="447" t="s">
        <v>671</v>
      </c>
      <c r="G47" s="119"/>
      <c r="H47" s="119"/>
      <c r="I47" s="120"/>
      <c r="J47" s="120"/>
      <c r="K47" s="121"/>
      <c r="L47" s="121"/>
      <c r="M47" s="121"/>
      <c r="N47" s="117"/>
      <c r="O47" s="117"/>
      <c r="P47" s="117"/>
      <c r="Q47" s="117"/>
      <c r="R47" s="477"/>
      <c r="S47" s="117"/>
      <c r="T47" s="117"/>
      <c r="U47" s="117"/>
      <c r="Y47" s="472"/>
      <c r="Z47" s="472"/>
      <c r="AA47" s="472"/>
      <c r="AB47" s="472"/>
    </row>
    <row r="48" spans="1:28">
      <c r="B48" s="785" t="str">
        <f>CONCATENATE("FT-",E49,"0")</f>
        <v>FT-INDGEO0</v>
      </c>
      <c r="C48" s="785" t="s">
        <v>672</v>
      </c>
      <c r="D48" s="786" t="str">
        <f ca="1">IEAData!AE$24</f>
        <v>GEO</v>
      </c>
      <c r="E48" s="9"/>
      <c r="F48" s="9"/>
      <c r="G48" s="461"/>
      <c r="H48" s="461"/>
      <c r="I48" s="464">
        <v>1</v>
      </c>
      <c r="J48" s="464">
        <v>1</v>
      </c>
      <c r="K48" s="49"/>
      <c r="L48" s="49"/>
      <c r="M48" s="49"/>
      <c r="N48" s="59">
        <f ca="1">VLOOKUP(MID(B48,4,6),IEAData!$BI$49:$BK$63,3,0)*$N$2^0.3</f>
        <v>0</v>
      </c>
      <c r="O48" s="59">
        <f ca="1">VLOOKUP(MID(B48,4,6),AuxData!$BI$49:$BK$63,3,0)*$N$2^0.3</f>
        <v>0</v>
      </c>
      <c r="P48" s="59">
        <f ca="1">MAX(N48:O48)*$N$2</f>
        <v>0</v>
      </c>
      <c r="Q48" s="59">
        <f ca="1">P48*$N$2</f>
        <v>0</v>
      </c>
      <c r="R48" s="452"/>
      <c r="S48" s="59"/>
      <c r="T48" s="59"/>
      <c r="U48" s="59"/>
      <c r="Y48" s="472"/>
      <c r="Z48" s="472"/>
      <c r="AA48" s="472"/>
      <c r="AB48" s="472"/>
    </row>
    <row r="49" spans="1:28">
      <c r="B49" s="300"/>
      <c r="C49" s="300"/>
      <c r="D49" s="447"/>
      <c r="E49" s="447" t="str">
        <f ca="1">IEAData!Q38</f>
        <v>INDGEO</v>
      </c>
      <c r="F49" s="447" t="s">
        <v>673</v>
      </c>
      <c r="G49" s="62"/>
      <c r="H49" s="115"/>
      <c r="I49" s="115"/>
      <c r="J49" s="115"/>
      <c r="K49" s="121"/>
      <c r="L49" s="121"/>
      <c r="M49" s="121"/>
      <c r="N49" s="117"/>
      <c r="O49" s="117"/>
      <c r="P49" s="117"/>
      <c r="Q49" s="117"/>
      <c r="R49" s="477"/>
      <c r="S49" s="117"/>
      <c r="T49" s="117"/>
      <c r="U49" s="117"/>
      <c r="Y49" s="472"/>
      <c r="Z49" s="472"/>
      <c r="AA49" s="472"/>
      <c r="AB49" s="472"/>
    </row>
    <row r="50" spans="1:28">
      <c r="B50" s="790"/>
      <c r="C50" s="790"/>
      <c r="D50" s="790"/>
      <c r="E50" s="790"/>
      <c r="F50" s="790"/>
      <c r="G50" s="790"/>
      <c r="H50" s="790"/>
      <c r="I50" s="790"/>
      <c r="J50" s="790"/>
      <c r="K50" s="790"/>
      <c r="L50" s="790"/>
      <c r="M50" s="790"/>
      <c r="P50" s="790"/>
      <c r="Q50" s="790"/>
      <c r="X50" s="472"/>
      <c r="Y50" s="472"/>
      <c r="Z50" s="472"/>
      <c r="AA50" s="472"/>
    </row>
    <row r="51" spans="1:28">
      <c r="B51" s="472"/>
      <c r="C51" s="472"/>
      <c r="D51" s="472"/>
      <c r="E51" s="472"/>
      <c r="F51" s="472"/>
      <c r="G51" s="472"/>
      <c r="H51" s="472"/>
      <c r="I51" s="472"/>
      <c r="J51" s="472"/>
      <c r="K51" s="472"/>
      <c r="L51" s="472"/>
      <c r="M51" s="472"/>
      <c r="P51" s="472"/>
      <c r="Q51" s="472"/>
      <c r="X51" s="472"/>
      <c r="Y51" s="472"/>
      <c r="Z51" s="472"/>
      <c r="AA51" s="472"/>
    </row>
    <row r="52" spans="1:28">
      <c r="F52" s="221"/>
      <c r="G52" s="16"/>
      <c r="H52" s="18"/>
      <c r="I52" s="18"/>
      <c r="J52" s="113"/>
      <c r="K52" s="14"/>
      <c r="L52" s="14"/>
      <c r="M52" s="14"/>
    </row>
    <row r="53" spans="1:28" ht="18">
      <c r="B53" s="185" t="s">
        <v>1413</v>
      </c>
      <c r="C53" s="171"/>
      <c r="D53" s="91"/>
      <c r="E53" s="14"/>
      <c r="F53" s="225" t="str">
        <f>"~FI_T: "&amp;Region&amp;"~EUR10"</f>
        <v>~FI_T: FIN~EUR10</v>
      </c>
      <c r="G53" s="16"/>
      <c r="H53" s="18"/>
      <c r="I53" s="18"/>
      <c r="J53" s="113"/>
      <c r="K53" s="14"/>
      <c r="L53" s="14"/>
      <c r="M53" s="14"/>
    </row>
    <row r="54" spans="1:28" ht="39" thickBot="1">
      <c r="A54" s="114"/>
      <c r="B54" s="791" t="s">
        <v>649</v>
      </c>
      <c r="C54" s="791" t="s">
        <v>650</v>
      </c>
      <c r="D54" s="791" t="s">
        <v>648</v>
      </c>
      <c r="E54" s="791" t="s">
        <v>651</v>
      </c>
      <c r="F54" s="791" t="s">
        <v>773</v>
      </c>
      <c r="G54" s="791" t="s">
        <v>848</v>
      </c>
      <c r="H54" s="791" t="s">
        <v>827</v>
      </c>
      <c r="I54" s="791" t="s">
        <v>828</v>
      </c>
      <c r="J54" s="791" t="s">
        <v>388</v>
      </c>
      <c r="K54" s="791" t="s">
        <v>55</v>
      </c>
      <c r="L54" s="791" t="s">
        <v>50</v>
      </c>
      <c r="M54" s="791" t="s">
        <v>872</v>
      </c>
      <c r="N54" s="45" t="s">
        <v>556</v>
      </c>
      <c r="O54" s="791" t="s">
        <v>53</v>
      </c>
      <c r="P54" s="791" t="s">
        <v>52</v>
      </c>
      <c r="Q54" s="791" t="s">
        <v>51</v>
      </c>
      <c r="R54" s="45" t="s">
        <v>1093</v>
      </c>
      <c r="S54" s="45" t="s">
        <v>658</v>
      </c>
      <c r="T54" s="45" t="s">
        <v>659</v>
      </c>
      <c r="U54" s="791" t="s">
        <v>1379</v>
      </c>
    </row>
    <row r="55" spans="1:28">
      <c r="B55" s="792" t="str">
        <f>CONCATENATE("FT-",E57,"0")</f>
        <v>FT-INDELC0</v>
      </c>
      <c r="C55" s="792" t="s">
        <v>700</v>
      </c>
      <c r="D55" s="793" t="s">
        <v>1231</v>
      </c>
      <c r="E55" s="792"/>
      <c r="F55" s="792"/>
      <c r="G55" s="794">
        <v>1</v>
      </c>
      <c r="H55" s="795"/>
      <c r="I55" s="795"/>
      <c r="J55" s="796"/>
      <c r="K55" s="797"/>
      <c r="L55" s="794">
        <v>1</v>
      </c>
      <c r="M55" s="798">
        <v>1</v>
      </c>
      <c r="N55" s="796"/>
      <c r="O55" s="796"/>
      <c r="P55" s="796"/>
      <c r="Q55" s="796">
        <v>1</v>
      </c>
      <c r="R55" s="799"/>
      <c r="S55" s="799"/>
      <c r="T55" s="799"/>
      <c r="U55" s="799"/>
    </row>
    <row r="56" spans="1:28">
      <c r="B56" s="446"/>
      <c r="C56" s="446"/>
      <c r="D56" s="800" t="s">
        <v>958</v>
      </c>
      <c r="E56" s="9"/>
      <c r="F56" s="9"/>
      <c r="G56" s="801"/>
      <c r="H56" s="802"/>
      <c r="I56" s="802"/>
      <c r="J56" s="410"/>
      <c r="K56" s="62"/>
      <c r="L56" s="62"/>
      <c r="M56" s="803"/>
      <c r="N56" s="410"/>
      <c r="O56" s="410"/>
      <c r="P56" s="410"/>
      <c r="Q56" s="410"/>
      <c r="R56" s="12"/>
      <c r="S56" s="12"/>
      <c r="T56" s="12"/>
      <c r="U56" s="12"/>
    </row>
    <row r="57" spans="1:28">
      <c r="B57" s="519"/>
      <c r="C57" s="519"/>
      <c r="D57" s="117"/>
      <c r="E57" s="447" t="str">
        <f ca="1">IEAData!B38</f>
        <v>INDELC</v>
      </c>
      <c r="F57" s="447" t="s">
        <v>701</v>
      </c>
      <c r="G57" s="526"/>
      <c r="H57" s="117"/>
      <c r="I57" s="117"/>
      <c r="J57" s="522"/>
      <c r="K57" s="463"/>
      <c r="L57" s="463"/>
      <c r="M57" s="526"/>
      <c r="N57" s="522"/>
      <c r="O57" s="522"/>
      <c r="P57" s="522"/>
      <c r="Q57" s="522"/>
      <c r="R57" s="121"/>
      <c r="S57" s="121"/>
      <c r="T57" s="121"/>
      <c r="U57" s="121"/>
    </row>
    <row r="58" spans="1:28">
      <c r="B58" s="520" t="s">
        <v>1255</v>
      </c>
      <c r="C58" s="520" t="s">
        <v>1458</v>
      </c>
      <c r="D58" s="52" t="str">
        <f>E57</f>
        <v>INDELC</v>
      </c>
      <c r="E58" s="446"/>
      <c r="F58" s="446"/>
      <c r="G58" s="386"/>
      <c r="H58" s="52"/>
      <c r="I58" s="52"/>
      <c r="J58" s="434">
        <v>1</v>
      </c>
      <c r="K58" s="462"/>
      <c r="L58" s="462"/>
      <c r="M58" s="386"/>
      <c r="N58" s="434"/>
      <c r="O58" s="434"/>
      <c r="P58" s="434"/>
      <c r="Q58" s="434"/>
      <c r="R58" s="49"/>
      <c r="S58" s="49"/>
      <c r="T58" s="49"/>
      <c r="U58" s="49"/>
    </row>
    <row r="59" spans="1:28">
      <c r="B59" s="218"/>
      <c r="C59" s="52"/>
      <c r="D59" s="52"/>
      <c r="E59" s="446" t="s">
        <v>1245</v>
      </c>
      <c r="F59" s="446" t="s">
        <v>1250</v>
      </c>
      <c r="G59" s="386"/>
      <c r="H59" s="52"/>
      <c r="I59" s="52"/>
      <c r="J59" s="434"/>
      <c r="K59" s="462"/>
      <c r="L59" s="462"/>
      <c r="M59" s="386"/>
      <c r="N59" s="434"/>
      <c r="O59" s="434"/>
      <c r="P59" s="434"/>
      <c r="Q59" s="434"/>
      <c r="R59" s="49"/>
      <c r="S59" s="49"/>
      <c r="T59" s="49"/>
      <c r="U59" s="49"/>
    </row>
    <row r="60" spans="1:28">
      <c r="B60" s="218"/>
      <c r="C60" s="52"/>
      <c r="D60" s="52"/>
      <c r="E60" s="446" t="s">
        <v>1246</v>
      </c>
      <c r="F60" s="446" t="s">
        <v>1254</v>
      </c>
      <c r="G60" s="386"/>
      <c r="H60" s="52"/>
      <c r="I60" s="52"/>
      <c r="J60" s="434"/>
      <c r="K60" s="462"/>
      <c r="L60" s="462"/>
      <c r="M60" s="386"/>
      <c r="N60" s="434"/>
      <c r="O60" s="434"/>
      <c r="P60" s="434"/>
      <c r="Q60" s="434"/>
      <c r="R60" s="49"/>
      <c r="S60" s="49"/>
      <c r="T60" s="49"/>
      <c r="U60" s="49"/>
    </row>
    <row r="61" spans="1:28">
      <c r="B61" s="218"/>
      <c r="C61" s="52"/>
      <c r="D61" s="52"/>
      <c r="E61" s="446" t="s">
        <v>1248</v>
      </c>
      <c r="F61" s="446" t="s">
        <v>1253</v>
      </c>
      <c r="G61" s="386"/>
      <c r="H61" s="52"/>
      <c r="I61" s="52"/>
      <c r="J61" s="434"/>
      <c r="K61" s="462"/>
      <c r="L61" s="462"/>
      <c r="M61" s="386"/>
      <c r="N61" s="434"/>
      <c r="O61" s="434"/>
      <c r="P61" s="434"/>
      <c r="Q61" s="434"/>
      <c r="R61" s="49"/>
      <c r="S61" s="49"/>
      <c r="T61" s="49"/>
      <c r="U61" s="49"/>
    </row>
    <row r="62" spans="1:28">
      <c r="B62" s="218"/>
      <c r="C62" s="52"/>
      <c r="D62" s="52"/>
      <c r="E62" s="446" t="s">
        <v>1247</v>
      </c>
      <c r="F62" s="446" t="s">
        <v>1252</v>
      </c>
      <c r="G62" s="386"/>
      <c r="H62" s="52"/>
      <c r="I62" s="52"/>
      <c r="J62" s="434"/>
      <c r="K62" s="462"/>
      <c r="L62" s="462"/>
      <c r="M62" s="386"/>
      <c r="N62" s="434"/>
      <c r="O62" s="434"/>
      <c r="P62" s="434"/>
      <c r="Q62" s="434"/>
      <c r="R62" s="49"/>
      <c r="S62" s="49"/>
      <c r="T62" s="49"/>
      <c r="U62" s="49"/>
    </row>
    <row r="63" spans="1:28">
      <c r="B63" s="218"/>
      <c r="C63" s="52"/>
      <c r="D63" s="52"/>
      <c r="E63" s="446" t="s">
        <v>1249</v>
      </c>
      <c r="F63" s="446" t="s">
        <v>1251</v>
      </c>
      <c r="G63" s="386"/>
      <c r="H63" s="52"/>
      <c r="I63" s="52"/>
      <c r="J63" s="434"/>
      <c r="K63" s="462"/>
      <c r="L63" s="462"/>
      <c r="M63" s="386"/>
      <c r="N63" s="434"/>
      <c r="O63" s="434"/>
      <c r="P63" s="434"/>
      <c r="Q63" s="434"/>
      <c r="R63" s="49"/>
      <c r="S63" s="49"/>
      <c r="T63" s="49"/>
      <c r="U63" s="49"/>
    </row>
    <row r="64" spans="1:28">
      <c r="B64" s="218"/>
      <c r="C64" s="52"/>
      <c r="D64" s="52"/>
      <c r="E64" s="446" t="s">
        <v>1349</v>
      </c>
      <c r="F64" s="446" t="s">
        <v>1350</v>
      </c>
      <c r="G64" s="386"/>
      <c r="H64" s="52"/>
      <c r="I64" s="52"/>
      <c r="J64" s="434"/>
      <c r="K64" s="462"/>
      <c r="L64" s="462"/>
      <c r="M64" s="386"/>
      <c r="N64" s="434"/>
      <c r="O64" s="434"/>
      <c r="P64" s="434"/>
      <c r="Q64" s="434"/>
      <c r="R64" s="49"/>
      <c r="S64" s="49"/>
      <c r="T64" s="49"/>
      <c r="U64" s="49"/>
    </row>
    <row r="65" spans="1:27">
      <c r="B65" s="117"/>
      <c r="C65" s="117"/>
      <c r="D65" s="117"/>
      <c r="E65" s="117" t="s">
        <v>1351</v>
      </c>
      <c r="F65" s="117" t="s">
        <v>1352</v>
      </c>
      <c r="G65" s="526"/>
      <c r="H65" s="117"/>
      <c r="I65" s="117"/>
      <c r="J65" s="522"/>
      <c r="K65" s="463"/>
      <c r="L65" s="463"/>
      <c r="M65" s="526"/>
      <c r="N65" s="522"/>
      <c r="O65" s="522"/>
      <c r="P65" s="522"/>
      <c r="Q65" s="522"/>
      <c r="R65" s="121"/>
      <c r="S65" s="121"/>
      <c r="T65" s="121"/>
      <c r="U65" s="121"/>
    </row>
    <row r="66" spans="1:27">
      <c r="B66" s="9" t="str">
        <f>CONCATENATE("FT-",E67,"0")</f>
        <v>FT-INDHET0</v>
      </c>
      <c r="C66" s="9" t="s">
        <v>1414</v>
      </c>
      <c r="D66" s="9" t="str">
        <f ca="1">IEAData!AD$24</f>
        <v>HET</v>
      </c>
      <c r="E66" s="9"/>
      <c r="F66" s="9"/>
      <c r="G66" s="304">
        <v>1</v>
      </c>
      <c r="H66" s="9"/>
      <c r="I66" s="9"/>
      <c r="J66" s="523">
        <v>1</v>
      </c>
      <c r="K66" s="9"/>
      <c r="L66" s="9"/>
      <c r="M66" s="529">
        <v>1</v>
      </c>
      <c r="N66" s="410"/>
      <c r="O66" s="410"/>
      <c r="P66" s="410"/>
      <c r="Q66" s="410"/>
      <c r="R66" s="59">
        <f ca="1">MAX(0,IEAData!$BG$40-IEAData!BB$41-IEAData!BB$69+Calibration!S96)*IND_Fuels!$N$2</f>
        <v>0.71455106178136296</v>
      </c>
      <c r="S66" s="59">
        <f>R66*$N$2</f>
        <v>0.85746127413763551</v>
      </c>
      <c r="T66" s="59">
        <f>S66*$N$2</f>
        <v>1.0289535289651626</v>
      </c>
      <c r="U66" s="410">
        <v>1</v>
      </c>
    </row>
    <row r="67" spans="1:27" ht="14.25">
      <c r="A67" s="114"/>
      <c r="B67" s="447"/>
      <c r="C67" s="447"/>
      <c r="D67" s="447"/>
      <c r="E67" s="447" t="str">
        <f ca="1">IEAData!R38</f>
        <v>INDHET</v>
      </c>
      <c r="F67" s="447" t="s">
        <v>703</v>
      </c>
      <c r="G67" s="804"/>
      <c r="H67" s="463"/>
      <c r="I67" s="463"/>
      <c r="J67" s="804"/>
      <c r="K67" s="463"/>
      <c r="L67" s="463"/>
      <c r="M67" s="526"/>
      <c r="N67" s="522"/>
      <c r="O67" s="522"/>
      <c r="P67" s="522"/>
      <c r="Q67" s="522"/>
      <c r="R67" s="117"/>
      <c r="S67" s="117"/>
      <c r="T67" s="117"/>
      <c r="U67" s="121"/>
    </row>
    <row r="68" spans="1:27" ht="14.25">
      <c r="A68" s="114"/>
      <c r="B68" s="9" t="str">
        <f>CONCATENATE("FT-",E69,"0")</f>
        <v>FT-INDLTH0</v>
      </c>
      <c r="C68" s="9" t="s">
        <v>1</v>
      </c>
      <c r="D68" s="9" t="s">
        <v>844</v>
      </c>
      <c r="E68" s="457" t="s">
        <v>1363</v>
      </c>
      <c r="F68" s="9"/>
      <c r="G68" s="805"/>
      <c r="H68" s="462"/>
      <c r="I68" s="462"/>
      <c r="J68" s="806"/>
      <c r="K68" s="62">
        <f ca="1">7/SUM(AuxData!$T$69)</f>
        <v>0.96926456459166599</v>
      </c>
      <c r="L68" s="801">
        <v>1</v>
      </c>
      <c r="M68" s="386">
        <v>0.3</v>
      </c>
      <c r="N68" s="434">
        <v>70</v>
      </c>
      <c r="O68" s="434">
        <v>15</v>
      </c>
      <c r="P68" s="434"/>
      <c r="Q68" s="434"/>
      <c r="R68" s="52"/>
      <c r="S68" s="52"/>
      <c r="T68" s="52"/>
      <c r="U68" s="49"/>
    </row>
    <row r="69" spans="1:27" ht="14.25">
      <c r="A69" s="114"/>
      <c r="B69" s="447"/>
      <c r="C69" s="447"/>
      <c r="D69" s="447"/>
      <c r="E69" s="447" t="s">
        <v>993</v>
      </c>
      <c r="F69" s="447" t="s">
        <v>1492</v>
      </c>
      <c r="G69" s="804"/>
      <c r="H69" s="463"/>
      <c r="I69" s="463"/>
      <c r="J69" s="804"/>
      <c r="K69" s="463"/>
      <c r="L69" s="463"/>
      <c r="M69" s="526"/>
      <c r="N69" s="522"/>
      <c r="O69" s="522"/>
      <c r="P69" s="522"/>
      <c r="Q69" s="522"/>
      <c r="R69" s="117"/>
      <c r="S69" s="117"/>
      <c r="T69" s="117"/>
      <c r="U69" s="121"/>
    </row>
    <row r="70" spans="1:27" ht="14.25">
      <c r="A70" s="114"/>
      <c r="B70" s="9" t="str">
        <f>CONCATENATE("FT-",E71,"0")</f>
        <v>FT-INDNUC0</v>
      </c>
      <c r="C70" s="9" t="s">
        <v>39</v>
      </c>
      <c r="D70" s="9" t="s">
        <v>4</v>
      </c>
      <c r="E70" s="9"/>
      <c r="F70" s="9"/>
      <c r="G70" s="304">
        <v>1</v>
      </c>
      <c r="H70" s="62"/>
      <c r="I70" s="62"/>
      <c r="J70" s="445">
        <f ca="1">1/IEAData!BC64</f>
        <v>3.3333333333333335</v>
      </c>
      <c r="K70" s="62"/>
      <c r="L70" s="62"/>
      <c r="M70" s="530">
        <v>1</v>
      </c>
      <c r="N70" s="410"/>
      <c r="O70" s="410"/>
      <c r="P70" s="410"/>
      <c r="Q70" s="410">
        <v>5</v>
      </c>
      <c r="R70" s="12"/>
      <c r="S70" s="12"/>
      <c r="T70" s="12"/>
      <c r="U70" s="12"/>
    </row>
    <row r="71" spans="1:27" ht="14.25">
      <c r="A71" s="114"/>
      <c r="B71" s="447"/>
      <c r="C71" s="447"/>
      <c r="D71" s="447"/>
      <c r="E71" s="447" t="str">
        <f ca="1">IEAData!AX64</f>
        <v>INDNUC</v>
      </c>
      <c r="F71" s="447" t="s">
        <v>40</v>
      </c>
      <c r="G71" s="804"/>
      <c r="H71" s="119"/>
      <c r="I71" s="119"/>
      <c r="J71" s="804"/>
      <c r="K71" s="119"/>
      <c r="L71" s="119"/>
      <c r="M71" s="531"/>
      <c r="N71" s="522"/>
      <c r="O71" s="522"/>
      <c r="P71" s="522"/>
      <c r="Q71" s="522"/>
      <c r="R71" s="121"/>
      <c r="S71" s="121"/>
      <c r="T71" s="121"/>
      <c r="U71" s="121"/>
      <c r="V71" s="15"/>
      <c r="W71" s="15"/>
      <c r="X71" s="15"/>
      <c r="Y71" s="15"/>
      <c r="Z71" s="15"/>
      <c r="AA71" s="15"/>
    </row>
    <row r="72" spans="1:27">
      <c r="B72" s="472"/>
      <c r="C72" s="472"/>
      <c r="D72" s="472"/>
      <c r="E72" s="472"/>
      <c r="F72" s="221"/>
      <c r="G72" s="472"/>
      <c r="H72" s="472"/>
      <c r="I72" s="472"/>
      <c r="J72" s="472"/>
      <c r="L72" s="472"/>
      <c r="M72" s="472"/>
      <c r="P72" s="472"/>
      <c r="Q72" s="472"/>
      <c r="R72" s="472"/>
      <c r="S72" s="472"/>
      <c r="T72" s="472"/>
      <c r="U72" s="472"/>
      <c r="V72" s="15"/>
      <c r="W72" s="15"/>
      <c r="X72" s="15"/>
      <c r="Y72" s="15"/>
      <c r="Z72" s="15"/>
    </row>
    <row r="73" spans="1:27">
      <c r="B73" s="472"/>
      <c r="C73" s="472"/>
      <c r="D73" s="472"/>
      <c r="E73" s="472"/>
      <c r="F73" s="221"/>
      <c r="G73" s="472"/>
      <c r="H73" s="472"/>
      <c r="I73" s="472"/>
      <c r="J73" s="472"/>
      <c r="K73" s="472"/>
      <c r="L73" s="472"/>
      <c r="M73" s="472"/>
      <c r="O73" s="472"/>
      <c r="P73" s="472"/>
      <c r="Q73" s="472"/>
      <c r="R73" s="472"/>
      <c r="S73" s="472"/>
      <c r="T73" s="472"/>
      <c r="U73" s="472"/>
      <c r="V73" s="15"/>
      <c r="W73" s="15"/>
      <c r="X73" s="15"/>
      <c r="Y73" s="15"/>
      <c r="Z73" s="15"/>
    </row>
    <row r="75" spans="1:27">
      <c r="F75" s="216"/>
    </row>
    <row r="76" spans="1:27" ht="18">
      <c r="B76" s="112" t="s">
        <v>197</v>
      </c>
      <c r="C76" s="86"/>
      <c r="D76" s="86"/>
      <c r="F76" s="225" t="str">
        <f>"~FI_T: "&amp;Region&amp;"~EUR10"</f>
        <v>~FI_T: FIN~EUR10</v>
      </c>
    </row>
    <row r="77" spans="1:27" ht="39" thickBot="1">
      <c r="B77" s="45" t="s">
        <v>649</v>
      </c>
      <c r="C77" s="45" t="s">
        <v>650</v>
      </c>
      <c r="D77" s="45" t="s">
        <v>648</v>
      </c>
      <c r="E77" s="45" t="s">
        <v>651</v>
      </c>
      <c r="F77" s="45" t="s">
        <v>773</v>
      </c>
      <c r="G77" s="45" t="s">
        <v>848</v>
      </c>
      <c r="H77" s="45" t="s">
        <v>1010</v>
      </c>
      <c r="I77" s="45" t="s">
        <v>50</v>
      </c>
      <c r="J77" s="45" t="s">
        <v>872</v>
      </c>
      <c r="K77" s="45" t="s">
        <v>556</v>
      </c>
      <c r="L77" s="45" t="s">
        <v>53</v>
      </c>
      <c r="M77" s="45" t="s">
        <v>526</v>
      </c>
      <c r="N77" s="45" t="s">
        <v>289</v>
      </c>
      <c r="O77" s="45" t="s">
        <v>1523</v>
      </c>
      <c r="P77" s="791" t="s">
        <v>931</v>
      </c>
      <c r="Q77" s="791" t="s">
        <v>499</v>
      </c>
      <c r="R77" s="791" t="s">
        <v>704</v>
      </c>
      <c r="S77" s="45" t="s">
        <v>1093</v>
      </c>
      <c r="T77" s="45" t="s">
        <v>658</v>
      </c>
    </row>
    <row r="78" spans="1:27">
      <c r="B78" s="792" t="s">
        <v>1397</v>
      </c>
      <c r="C78" s="300" t="s">
        <v>202</v>
      </c>
      <c r="D78" s="46" t="s">
        <v>951</v>
      </c>
      <c r="E78" s="9"/>
      <c r="F78" s="9"/>
      <c r="G78" s="46">
        <v>1</v>
      </c>
      <c r="H78" s="62">
        <f ca="1">IF(AuxData!$C$34=0,1,AuxData!C$18/AuxData!$C$34)</f>
        <v>1</v>
      </c>
      <c r="I78" s="530">
        <v>1</v>
      </c>
      <c r="J78" s="530">
        <v>1</v>
      </c>
      <c r="K78" s="49">
        <v>50</v>
      </c>
      <c r="L78" s="49">
        <f>ROUND(PV(0.05,K78,-1.35)*1,0)</f>
        <v>25</v>
      </c>
      <c r="M78" s="49">
        <v>1</v>
      </c>
      <c r="N78" s="49"/>
      <c r="O78" s="49"/>
      <c r="P78" s="345"/>
      <c r="Q78" s="345"/>
      <c r="R78" s="52">
        <f ca="1">BaseYear+1</f>
        <v>2011</v>
      </c>
      <c r="S78" s="52"/>
      <c r="T78" s="52"/>
    </row>
    <row r="79" spans="1:27">
      <c r="B79" s="9"/>
      <c r="C79" s="300"/>
      <c r="D79" s="46" t="s">
        <v>1348</v>
      </c>
      <c r="E79" s="9"/>
      <c r="F79" s="9"/>
      <c r="G79" s="46"/>
      <c r="H79" s="62"/>
      <c r="I79" s="530"/>
      <c r="J79" s="530"/>
      <c r="K79" s="49"/>
      <c r="L79" s="49"/>
      <c r="M79" s="55">
        <v>0.05</v>
      </c>
      <c r="N79" s="55">
        <v>0.65</v>
      </c>
      <c r="O79" s="55">
        <v>0.9</v>
      </c>
      <c r="P79" s="304"/>
      <c r="Q79" s="304"/>
      <c r="R79" s="9"/>
      <c r="S79" s="9"/>
      <c r="T79" s="9"/>
    </row>
    <row r="80" spans="1:27">
      <c r="B80" s="9"/>
      <c r="C80" s="300"/>
      <c r="D80" s="46" t="s">
        <v>1449</v>
      </c>
      <c r="E80" s="9"/>
      <c r="F80" s="9"/>
      <c r="G80" s="46"/>
      <c r="H80" s="62"/>
      <c r="I80" s="530"/>
      <c r="J80" s="530"/>
      <c r="K80" s="49"/>
      <c r="L80" s="49"/>
      <c r="M80" s="55">
        <v>0.02</v>
      </c>
      <c r="N80" s="55">
        <v>0.15</v>
      </c>
      <c r="O80" s="55"/>
      <c r="P80" s="304"/>
      <c r="Q80" s="304"/>
      <c r="R80" s="9"/>
      <c r="S80" s="9"/>
      <c r="T80" s="9"/>
    </row>
    <row r="81" spans="2:20">
      <c r="B81" s="220"/>
      <c r="C81" s="220"/>
      <c r="D81" s="447"/>
      <c r="E81" s="447" t="s">
        <v>906</v>
      </c>
      <c r="F81" s="447" t="s">
        <v>99</v>
      </c>
      <c r="G81" s="807"/>
      <c r="H81" s="463"/>
      <c r="I81" s="808"/>
      <c r="J81" s="808"/>
      <c r="K81" s="121"/>
      <c r="L81" s="121"/>
      <c r="M81" s="121"/>
      <c r="N81" s="121"/>
      <c r="O81" s="121"/>
      <c r="P81" s="526"/>
      <c r="Q81" s="526"/>
      <c r="R81" s="117"/>
      <c r="S81" s="117"/>
      <c r="T81" s="117"/>
    </row>
    <row r="82" spans="2:20">
      <c r="B82" s="785" t="s">
        <v>1398</v>
      </c>
      <c r="C82" s="785" t="s">
        <v>204</v>
      </c>
      <c r="D82" s="786" t="s">
        <v>1084</v>
      </c>
      <c r="E82" s="785"/>
      <c r="F82" s="785"/>
      <c r="G82" s="786">
        <v>1</v>
      </c>
      <c r="H82" s="461"/>
      <c r="I82" s="809">
        <v>1</v>
      </c>
      <c r="J82" s="809">
        <v>1</v>
      </c>
      <c r="K82" s="49"/>
      <c r="L82" s="49"/>
      <c r="M82" s="49"/>
      <c r="N82" s="49"/>
      <c r="O82" s="49"/>
      <c r="P82" s="386">
        <v>0.5</v>
      </c>
      <c r="Q82" s="386"/>
      <c r="R82" s="52">
        <f ca="1">BaseYear+1</f>
        <v>2011</v>
      </c>
      <c r="S82" s="52"/>
      <c r="T82" s="52"/>
    </row>
    <row r="83" spans="2:20">
      <c r="B83" s="220"/>
      <c r="C83" s="447"/>
      <c r="D83" s="447"/>
      <c r="E83" s="447" t="s">
        <v>907</v>
      </c>
      <c r="F83" s="447" t="s">
        <v>101</v>
      </c>
      <c r="G83" s="807"/>
      <c r="H83" s="463"/>
      <c r="I83" s="808"/>
      <c r="J83" s="808"/>
      <c r="K83" s="121"/>
      <c r="L83" s="121"/>
      <c r="M83" s="121"/>
      <c r="N83" s="121"/>
      <c r="O83" s="121"/>
      <c r="P83" s="526"/>
      <c r="Q83" s="526"/>
      <c r="R83" s="117"/>
      <c r="S83" s="117"/>
      <c r="T83" s="117"/>
    </row>
    <row r="84" spans="2:20">
      <c r="B84" s="785" t="s">
        <v>1399</v>
      </c>
      <c r="C84" s="785" t="s">
        <v>1506</v>
      </c>
      <c r="D84" s="786" t="s">
        <v>953</v>
      </c>
      <c r="E84" s="785"/>
      <c r="F84" s="785"/>
      <c r="G84" s="786">
        <v>1</v>
      </c>
      <c r="H84" s="461"/>
      <c r="I84" s="809">
        <v>1</v>
      </c>
      <c r="J84" s="809">
        <v>1</v>
      </c>
      <c r="K84" s="49">
        <v>100</v>
      </c>
      <c r="L84" s="49"/>
      <c r="M84" s="49"/>
      <c r="N84" s="49"/>
      <c r="O84" s="49"/>
      <c r="P84" s="386">
        <f>0.65+0.5</f>
        <v>1.1499999999999999</v>
      </c>
      <c r="Q84" s="386"/>
      <c r="R84" s="52">
        <f ca="1">BaseYear+1</f>
        <v>2011</v>
      </c>
      <c r="S84" s="52"/>
      <c r="T84" s="52"/>
    </row>
    <row r="85" spans="2:20">
      <c r="B85" s="447"/>
      <c r="C85" s="447"/>
      <c r="D85" s="447"/>
      <c r="E85" s="447" t="s">
        <v>1150</v>
      </c>
      <c r="F85" s="447" t="s">
        <v>1152</v>
      </c>
      <c r="G85" s="807"/>
      <c r="H85" s="463"/>
      <c r="I85" s="808"/>
      <c r="J85" s="808"/>
      <c r="K85" s="121"/>
      <c r="L85" s="121"/>
      <c r="M85" s="121"/>
      <c r="N85" s="121"/>
      <c r="O85" s="121"/>
      <c r="P85" s="526"/>
      <c r="Q85" s="526"/>
      <c r="R85" s="117"/>
      <c r="S85" s="117"/>
      <c r="T85" s="117"/>
    </row>
    <row r="86" spans="2:20">
      <c r="B86" s="785" t="s">
        <v>1400</v>
      </c>
      <c r="C86" s="785" t="s">
        <v>206</v>
      </c>
      <c r="D86" s="786" t="s">
        <v>952</v>
      </c>
      <c r="E86" s="785"/>
      <c r="F86" s="785"/>
      <c r="G86" s="786">
        <v>1</v>
      </c>
      <c r="H86" s="461"/>
      <c r="I86" s="809">
        <v>1</v>
      </c>
      <c r="J86" s="809">
        <v>1</v>
      </c>
      <c r="K86" s="49">
        <v>100</v>
      </c>
      <c r="L86" s="49"/>
      <c r="M86" s="55"/>
      <c r="N86" s="55"/>
      <c r="O86" s="55"/>
      <c r="P86" s="606">
        <v>0.4</v>
      </c>
      <c r="Q86" s="606"/>
      <c r="R86" s="52">
        <f ca="1">BaseYear+1</f>
        <v>2011</v>
      </c>
      <c r="S86" s="52"/>
      <c r="T86" s="52"/>
    </row>
    <row r="87" spans="2:20">
      <c r="B87" s="220"/>
      <c r="C87" s="300"/>
      <c r="D87" s="447"/>
      <c r="E87" s="447" t="s">
        <v>909</v>
      </c>
      <c r="F87" s="447" t="s">
        <v>105</v>
      </c>
      <c r="G87" s="46"/>
      <c r="H87" s="463"/>
      <c r="I87" s="530"/>
      <c r="J87" s="530"/>
      <c r="K87" s="121"/>
      <c r="L87" s="121"/>
      <c r="M87" s="121"/>
      <c r="N87" s="121"/>
      <c r="O87" s="121"/>
      <c r="P87" s="526"/>
      <c r="Q87" s="526"/>
      <c r="R87" s="117"/>
      <c r="S87" s="117"/>
      <c r="T87" s="117"/>
    </row>
    <row r="88" spans="2:20">
      <c r="B88" s="785" t="s">
        <v>1401</v>
      </c>
      <c r="C88" s="785" t="s">
        <v>208</v>
      </c>
      <c r="D88" s="786" t="s">
        <v>954</v>
      </c>
      <c r="E88" s="785"/>
      <c r="F88" s="785"/>
      <c r="G88" s="786">
        <v>1</v>
      </c>
      <c r="H88" s="461"/>
      <c r="I88" s="809">
        <v>1</v>
      </c>
      <c r="J88" s="809">
        <v>1</v>
      </c>
      <c r="K88" s="49">
        <v>100</v>
      </c>
      <c r="L88" s="49"/>
      <c r="M88" s="49"/>
      <c r="N88" s="49"/>
      <c r="O88" s="49"/>
      <c r="P88" s="386"/>
      <c r="Q88" s="386"/>
      <c r="R88" s="52">
        <f ca="1">BaseYear+1</f>
        <v>2011</v>
      </c>
      <c r="S88" s="52"/>
      <c r="T88" s="52"/>
    </row>
    <row r="89" spans="2:20">
      <c r="B89" s="446"/>
      <c r="C89" s="446"/>
      <c r="D89" s="787" t="s">
        <v>846</v>
      </c>
      <c r="E89" s="446"/>
      <c r="F89" s="446"/>
      <c r="G89" s="787"/>
      <c r="H89" s="462"/>
      <c r="I89" s="803"/>
      <c r="J89" s="803"/>
      <c r="K89" s="49"/>
      <c r="L89" s="49"/>
      <c r="M89" s="49">
        <v>0</v>
      </c>
      <c r="N89" s="49">
        <v>0.5</v>
      </c>
      <c r="O89" s="49"/>
      <c r="P89" s="386"/>
      <c r="Q89" s="386">
        <v>0.2</v>
      </c>
      <c r="R89" s="52"/>
      <c r="S89" s="52"/>
      <c r="T89" s="52"/>
    </row>
    <row r="90" spans="2:20">
      <c r="B90" s="447"/>
      <c r="C90" s="447"/>
      <c r="D90" s="447"/>
      <c r="E90" s="447" t="s">
        <v>910</v>
      </c>
      <c r="F90" s="447" t="s">
        <v>120</v>
      </c>
      <c r="G90" s="807"/>
      <c r="H90" s="463"/>
      <c r="I90" s="808"/>
      <c r="J90" s="808"/>
      <c r="K90" s="121"/>
      <c r="L90" s="121"/>
      <c r="M90" s="121"/>
      <c r="N90" s="121"/>
      <c r="O90" s="121"/>
      <c r="P90" s="526"/>
      <c r="Q90" s="526"/>
      <c r="R90" s="117"/>
      <c r="S90" s="117"/>
      <c r="T90" s="117"/>
    </row>
    <row r="91" spans="2:20">
      <c r="B91" s="785" t="s">
        <v>1402</v>
      </c>
      <c r="C91" s="785" t="s">
        <v>210</v>
      </c>
      <c r="D91" s="786" t="s">
        <v>956</v>
      </c>
      <c r="E91" s="785"/>
      <c r="F91" s="785"/>
      <c r="G91" s="786">
        <v>1</v>
      </c>
      <c r="H91" s="461"/>
      <c r="I91" s="809">
        <v>1</v>
      </c>
      <c r="J91" s="809">
        <v>1</v>
      </c>
      <c r="K91" s="49">
        <v>100</v>
      </c>
      <c r="L91" s="49"/>
      <c r="M91" s="49"/>
      <c r="N91" s="49"/>
      <c r="O91" s="49"/>
      <c r="P91" s="386"/>
      <c r="Q91" s="386"/>
      <c r="R91" s="52">
        <f ca="1">BaseYear+1</f>
        <v>2011</v>
      </c>
      <c r="S91" s="52"/>
      <c r="T91" s="52"/>
    </row>
    <row r="92" spans="2:20">
      <c r="B92" s="220"/>
      <c r="C92" s="447"/>
      <c r="D92" s="447"/>
      <c r="E92" s="447" t="s">
        <v>911</v>
      </c>
      <c r="F92" s="447" t="s">
        <v>122</v>
      </c>
      <c r="G92" s="807"/>
      <c r="H92" s="463"/>
      <c r="I92" s="808"/>
      <c r="J92" s="808"/>
      <c r="K92" s="121"/>
      <c r="L92" s="121"/>
      <c r="M92" s="121"/>
      <c r="N92" s="121"/>
      <c r="O92" s="121"/>
      <c r="P92" s="526"/>
      <c r="Q92" s="526"/>
      <c r="R92" s="117"/>
      <c r="S92" s="117"/>
      <c r="T92" s="117"/>
    </row>
    <row r="93" spans="2:20" ht="14.25" customHeight="1">
      <c r="B93" s="785" t="s">
        <v>1403</v>
      </c>
      <c r="C93" s="785" t="s">
        <v>1366</v>
      </c>
      <c r="D93" s="786" t="s">
        <v>830</v>
      </c>
      <c r="E93" s="9"/>
      <c r="F93" s="9"/>
      <c r="G93" s="786">
        <v>1</v>
      </c>
      <c r="H93" s="461"/>
      <c r="I93" s="809">
        <v>1</v>
      </c>
      <c r="J93" s="809">
        <v>1</v>
      </c>
      <c r="K93" s="49">
        <v>100</v>
      </c>
      <c r="L93" s="49"/>
      <c r="M93" s="55"/>
      <c r="N93" s="55"/>
      <c r="O93" s="55"/>
      <c r="P93" s="386"/>
      <c r="Q93" s="386"/>
      <c r="R93" s="52">
        <f ca="1">BaseYear+1</f>
        <v>2011</v>
      </c>
      <c r="S93" s="52"/>
      <c r="T93" s="52"/>
    </row>
    <row r="94" spans="2:20">
      <c r="B94" s="447"/>
      <c r="C94" s="519"/>
      <c r="D94" s="117"/>
      <c r="E94" s="447" t="s">
        <v>912</v>
      </c>
      <c r="F94" s="447" t="s">
        <v>124</v>
      </c>
      <c r="G94" s="118"/>
      <c r="H94" s="119"/>
      <c r="I94" s="531"/>
      <c r="J94" s="531"/>
      <c r="K94" s="121"/>
      <c r="L94" s="121"/>
      <c r="M94" s="121"/>
      <c r="N94" s="121"/>
      <c r="O94" s="121"/>
      <c r="P94" s="526"/>
      <c r="Q94" s="526"/>
      <c r="R94" s="117"/>
      <c r="S94" s="117"/>
      <c r="T94" s="117"/>
    </row>
    <row r="95" spans="2:20">
      <c r="B95" s="785" t="s">
        <v>1404</v>
      </c>
      <c r="C95" s="785" t="s">
        <v>293</v>
      </c>
      <c r="D95" s="786" t="s">
        <v>835</v>
      </c>
      <c r="E95" s="9"/>
      <c r="F95" s="9"/>
      <c r="G95" s="786">
        <v>1</v>
      </c>
      <c r="H95" s="461"/>
      <c r="I95" s="809">
        <v>1</v>
      </c>
      <c r="J95" s="809">
        <v>1</v>
      </c>
      <c r="K95" s="49">
        <v>100</v>
      </c>
      <c r="L95" s="49"/>
      <c r="M95" s="55"/>
      <c r="N95" s="55"/>
      <c r="O95" s="55"/>
      <c r="P95" s="606">
        <v>0.3</v>
      </c>
      <c r="Q95" s="606"/>
      <c r="R95" s="52">
        <f ca="1">BaseYear+1</f>
        <v>2011</v>
      </c>
      <c r="S95" s="52"/>
      <c r="T95" s="52"/>
    </row>
    <row r="96" spans="2:20">
      <c r="B96" s="220"/>
      <c r="C96" s="447"/>
      <c r="D96" s="447"/>
      <c r="E96" s="447" t="s">
        <v>913</v>
      </c>
      <c r="F96" s="447" t="s">
        <v>141</v>
      </c>
      <c r="G96" s="807"/>
      <c r="H96" s="463"/>
      <c r="I96" s="808"/>
      <c r="J96" s="808"/>
      <c r="K96" s="121"/>
      <c r="L96" s="121"/>
      <c r="M96" s="121"/>
      <c r="N96" s="121"/>
      <c r="O96" s="121"/>
      <c r="P96" s="526"/>
      <c r="Q96" s="526"/>
      <c r="R96" s="117"/>
      <c r="S96" s="117"/>
      <c r="T96" s="117"/>
    </row>
    <row r="97" spans="2:20">
      <c r="B97" s="785" t="s">
        <v>1405</v>
      </c>
      <c r="C97" s="785" t="s">
        <v>295</v>
      </c>
      <c r="D97" s="786" t="s">
        <v>836</v>
      </c>
      <c r="E97" s="785"/>
      <c r="F97" s="785"/>
      <c r="G97" s="786">
        <v>1</v>
      </c>
      <c r="H97" s="461">
        <f ca="1">IF(AuxData!$L$34=0,1,AuxData!Q$18/AuxData!$L$34)</f>
        <v>0.99573459495577299</v>
      </c>
      <c r="I97" s="809">
        <v>1</v>
      </c>
      <c r="J97" s="809">
        <v>1</v>
      </c>
      <c r="K97" s="49">
        <v>100</v>
      </c>
      <c r="L97" s="49"/>
      <c r="M97" s="55">
        <v>1</v>
      </c>
      <c r="N97" s="55"/>
      <c r="O97" s="55"/>
      <c r="P97" s="386">
        <v>0.3</v>
      </c>
      <c r="Q97" s="386"/>
      <c r="R97" s="52">
        <f ca="1">BaseYear+1</f>
        <v>2011</v>
      </c>
      <c r="S97" s="52"/>
      <c r="T97" s="52"/>
    </row>
    <row r="98" spans="2:20">
      <c r="B98" s="446"/>
      <c r="C98" s="446"/>
      <c r="D98" s="787" t="s">
        <v>837</v>
      </c>
      <c r="E98" s="9"/>
      <c r="F98" s="9"/>
      <c r="G98" s="787"/>
      <c r="H98" s="462">
        <f ca="1">IF(AuxData!$L$34=0,0,AuxData!R$18/AuxData!$L$34)</f>
        <v>0</v>
      </c>
      <c r="I98" s="803"/>
      <c r="J98" s="803"/>
      <c r="K98" s="49"/>
      <c r="L98" s="49"/>
      <c r="M98" s="55">
        <v>1</v>
      </c>
      <c r="N98" s="55"/>
      <c r="O98" s="55"/>
      <c r="P98" s="386"/>
      <c r="Q98" s="386"/>
      <c r="R98" s="52"/>
      <c r="S98" s="52"/>
      <c r="T98" s="52"/>
    </row>
    <row r="99" spans="2:20">
      <c r="B99" s="9"/>
      <c r="C99" s="300"/>
      <c r="D99" s="787" t="s">
        <v>1289</v>
      </c>
      <c r="E99" s="9"/>
      <c r="F99" s="9"/>
      <c r="G99" s="46"/>
      <c r="H99" s="462">
        <f ca="1">IF(AuxData!$L$34=0,0,AuxData!S$18/AuxData!$L$34)</f>
        <v>4.2654050442270377E-3</v>
      </c>
      <c r="I99" s="530"/>
      <c r="J99" s="530"/>
      <c r="K99" s="49"/>
      <c r="L99" s="49"/>
      <c r="M99" s="55">
        <v>0.02</v>
      </c>
      <c r="N99" s="55">
        <v>0.6</v>
      </c>
      <c r="O99" s="55">
        <v>0.9</v>
      </c>
      <c r="P99" s="386"/>
      <c r="Q99" s="386"/>
      <c r="R99" s="52"/>
      <c r="S99" s="52"/>
      <c r="T99" s="52"/>
    </row>
    <row r="100" spans="2:20">
      <c r="B100" s="447"/>
      <c r="C100" s="447"/>
      <c r="D100" s="447"/>
      <c r="E100" s="447" t="s">
        <v>826</v>
      </c>
      <c r="F100" s="447" t="s">
        <v>143</v>
      </c>
      <c r="G100" s="807"/>
      <c r="H100" s="463"/>
      <c r="I100" s="808"/>
      <c r="J100" s="808"/>
      <c r="K100" s="121"/>
      <c r="L100" s="121"/>
      <c r="M100" s="121"/>
      <c r="N100" s="121"/>
      <c r="O100" s="121"/>
      <c r="P100" s="526"/>
      <c r="Q100" s="526"/>
      <c r="R100" s="117"/>
      <c r="S100" s="117"/>
      <c r="T100" s="117"/>
    </row>
    <row r="101" spans="2:20">
      <c r="B101" s="785" t="s">
        <v>1406</v>
      </c>
      <c r="C101" s="785" t="s">
        <v>1290</v>
      </c>
      <c r="D101" s="787" t="s">
        <v>1289</v>
      </c>
      <c r="E101" s="446"/>
      <c r="F101" s="446"/>
      <c r="G101" s="787">
        <v>1</v>
      </c>
      <c r="H101" s="462"/>
      <c r="I101" s="803">
        <v>1</v>
      </c>
      <c r="J101" s="803"/>
      <c r="K101" s="49"/>
      <c r="L101" s="49"/>
      <c r="M101" s="49"/>
      <c r="N101" s="49"/>
      <c r="O101" s="49"/>
      <c r="P101" s="386">
        <f>P97</f>
        <v>0.3</v>
      </c>
      <c r="Q101" s="386"/>
      <c r="R101" s="52">
        <f ca="1">BaseYear+1</f>
        <v>2011</v>
      </c>
      <c r="S101" s="52"/>
      <c r="T101" s="52"/>
    </row>
    <row r="102" spans="2:20">
      <c r="B102" s="446"/>
      <c r="C102" s="446"/>
      <c r="D102" s="446" t="s">
        <v>1291</v>
      </c>
      <c r="E102" s="446"/>
      <c r="F102" s="446"/>
      <c r="G102" s="810"/>
      <c r="H102" s="462"/>
      <c r="I102" s="803"/>
      <c r="J102" s="803"/>
      <c r="K102" s="49"/>
      <c r="L102" s="49"/>
      <c r="M102" s="49"/>
      <c r="N102" s="49"/>
      <c r="O102" s="49"/>
      <c r="P102" s="386"/>
      <c r="Q102" s="386"/>
      <c r="R102" s="52"/>
      <c r="S102" s="52"/>
      <c r="T102" s="52"/>
    </row>
    <row r="103" spans="2:20">
      <c r="B103" s="447"/>
      <c r="C103" s="447"/>
      <c r="D103" s="447"/>
      <c r="E103" s="447" t="s">
        <v>1292</v>
      </c>
      <c r="F103" s="447" t="s">
        <v>1293</v>
      </c>
      <c r="G103" s="807"/>
      <c r="H103" s="463"/>
      <c r="I103" s="808"/>
      <c r="J103" s="808"/>
      <c r="K103" s="121"/>
      <c r="L103" s="121"/>
      <c r="M103" s="121"/>
      <c r="N103" s="121"/>
      <c r="O103" s="121"/>
      <c r="P103" s="526"/>
      <c r="Q103" s="526"/>
      <c r="R103" s="117"/>
      <c r="S103" s="117"/>
      <c r="T103" s="117"/>
    </row>
    <row r="104" spans="2:20">
      <c r="B104" s="785" t="s">
        <v>1407</v>
      </c>
      <c r="C104" s="785" t="s">
        <v>297</v>
      </c>
      <c r="D104" s="786" t="s">
        <v>843</v>
      </c>
      <c r="E104" s="9"/>
      <c r="F104" s="9"/>
      <c r="G104" s="786">
        <v>1</v>
      </c>
      <c r="H104" s="461">
        <f ca="1">IF(AuxData!$M$34=0,1,AuxData!U$18/AuxData!$M$34)</f>
        <v>0</v>
      </c>
      <c r="I104" s="809">
        <v>1</v>
      </c>
      <c r="J104" s="809">
        <v>1</v>
      </c>
      <c r="K104" s="49">
        <v>100</v>
      </c>
      <c r="L104" s="49"/>
      <c r="M104" s="55"/>
      <c r="N104" s="55"/>
      <c r="O104" s="55"/>
      <c r="P104" s="386"/>
      <c r="Q104" s="386"/>
      <c r="R104" s="52">
        <f ca="1">BaseYear+1</f>
        <v>2011</v>
      </c>
      <c r="S104" s="52"/>
      <c r="T104" s="52"/>
    </row>
    <row r="105" spans="2:20">
      <c r="B105" s="9"/>
      <c r="C105" s="300"/>
      <c r="D105" s="787" t="s">
        <v>833</v>
      </c>
      <c r="E105" s="9"/>
      <c r="F105" s="9"/>
      <c r="G105" s="46"/>
      <c r="H105" s="462">
        <f ca="1">IF(AuxData!$M$34=0,0,AuxData!N$18/AuxData!$M$34)</f>
        <v>1</v>
      </c>
      <c r="I105" s="530"/>
      <c r="J105" s="530"/>
      <c r="K105" s="49"/>
      <c r="L105" s="49"/>
      <c r="M105" s="55"/>
      <c r="N105" s="55"/>
      <c r="O105" s="55"/>
      <c r="P105" s="386"/>
      <c r="Q105" s="386"/>
      <c r="R105" s="52"/>
      <c r="S105" s="52"/>
      <c r="T105" s="52"/>
    </row>
    <row r="106" spans="2:20">
      <c r="B106" s="9"/>
      <c r="C106" s="300"/>
      <c r="D106" s="447"/>
      <c r="E106" s="447" t="s">
        <v>914</v>
      </c>
      <c r="F106" s="447" t="s">
        <v>665</v>
      </c>
      <c r="G106" s="46"/>
      <c r="H106" s="463"/>
      <c r="I106" s="530"/>
      <c r="J106" s="530"/>
      <c r="K106" s="121"/>
      <c r="L106" s="121"/>
      <c r="M106" s="121"/>
      <c r="N106" s="121"/>
      <c r="O106" s="121"/>
      <c r="P106" s="526"/>
      <c r="Q106" s="526"/>
      <c r="R106" s="117"/>
      <c r="S106" s="117"/>
      <c r="T106" s="117"/>
    </row>
    <row r="107" spans="2:20">
      <c r="B107" s="785" t="s">
        <v>1408</v>
      </c>
      <c r="C107" s="785" t="s">
        <v>299</v>
      </c>
      <c r="D107" s="786" t="s">
        <v>841</v>
      </c>
      <c r="E107" s="9"/>
      <c r="F107" s="9"/>
      <c r="G107" s="786">
        <v>1</v>
      </c>
      <c r="H107" s="461"/>
      <c r="I107" s="809">
        <v>1</v>
      </c>
      <c r="J107" s="809">
        <v>1</v>
      </c>
      <c r="K107" s="49">
        <v>100</v>
      </c>
      <c r="L107" s="49"/>
      <c r="M107" s="49"/>
      <c r="N107" s="49"/>
      <c r="O107" s="49"/>
      <c r="P107" s="386"/>
      <c r="Q107" s="386"/>
      <c r="R107" s="52">
        <f ca="1">BaseYear+1</f>
        <v>2011</v>
      </c>
      <c r="S107" s="52"/>
      <c r="T107" s="52"/>
    </row>
    <row r="108" spans="2:20">
      <c r="B108" s="447"/>
      <c r="C108" s="519"/>
      <c r="D108" s="117"/>
      <c r="E108" s="447" t="s">
        <v>915</v>
      </c>
      <c r="F108" s="447" t="s">
        <v>667</v>
      </c>
      <c r="G108" s="118"/>
      <c r="H108" s="119"/>
      <c r="I108" s="531"/>
      <c r="J108" s="531"/>
      <c r="K108" s="121"/>
      <c r="L108" s="121"/>
      <c r="M108" s="121"/>
      <c r="N108" s="121"/>
      <c r="O108" s="121"/>
      <c r="P108" s="526"/>
      <c r="Q108" s="526"/>
      <c r="R108" s="117"/>
      <c r="S108" s="117"/>
      <c r="T108" s="117"/>
    </row>
    <row r="109" spans="2:20">
      <c r="B109" s="785" t="s">
        <v>1409</v>
      </c>
      <c r="C109" s="785" t="s">
        <v>1368</v>
      </c>
      <c r="D109" s="786" t="s">
        <v>836</v>
      </c>
      <c r="E109" s="9"/>
      <c r="F109" s="9"/>
      <c r="G109" s="786">
        <v>1</v>
      </c>
      <c r="H109" s="461"/>
      <c r="I109" s="530">
        <v>1</v>
      </c>
      <c r="J109" s="530">
        <v>1</v>
      </c>
      <c r="K109" s="49"/>
      <c r="L109" s="49"/>
      <c r="M109" s="49"/>
      <c r="N109" s="49"/>
      <c r="O109" s="49"/>
      <c r="P109" s="386">
        <v>0.45</v>
      </c>
      <c r="Q109" s="386"/>
      <c r="R109" s="52">
        <f ca="1">BaseYear</f>
        <v>2010</v>
      </c>
      <c r="S109" s="52"/>
      <c r="T109" s="52"/>
    </row>
    <row r="110" spans="2:20">
      <c r="B110" s="446"/>
      <c r="C110" s="446"/>
      <c r="D110" s="787" t="s">
        <v>837</v>
      </c>
      <c r="E110" s="9"/>
      <c r="F110" s="9"/>
      <c r="G110" s="787"/>
      <c r="H110" s="462">
        <f>H98</f>
        <v>0</v>
      </c>
      <c r="I110" s="530"/>
      <c r="J110" s="530"/>
      <c r="K110" s="49"/>
      <c r="L110" s="49"/>
      <c r="M110" s="55">
        <f>MAX(0.2,H110^0.5)</f>
        <v>0.2</v>
      </c>
      <c r="N110" s="49"/>
      <c r="O110" s="49"/>
      <c r="P110" s="386"/>
      <c r="Q110" s="386"/>
      <c r="R110" s="52"/>
      <c r="S110" s="52"/>
      <c r="T110" s="52"/>
    </row>
    <row r="111" spans="2:20">
      <c r="B111" s="9"/>
      <c r="C111" s="300"/>
      <c r="D111" s="787" t="s">
        <v>1289</v>
      </c>
      <c r="E111" s="9"/>
      <c r="F111" s="9"/>
      <c r="G111" s="46"/>
      <c r="H111" s="462"/>
      <c r="I111" s="530"/>
      <c r="J111" s="530"/>
      <c r="K111" s="49"/>
      <c r="L111" s="49"/>
      <c r="M111" s="55">
        <v>0.02</v>
      </c>
      <c r="N111" s="55">
        <v>0.6</v>
      </c>
      <c r="O111" s="55">
        <v>0.9</v>
      </c>
      <c r="P111" s="386"/>
      <c r="Q111" s="386"/>
      <c r="R111" s="52"/>
      <c r="S111" s="52"/>
      <c r="T111" s="52"/>
    </row>
    <row r="112" spans="2:20">
      <c r="B112" s="9"/>
      <c r="C112" s="300"/>
      <c r="D112" s="447"/>
      <c r="E112" s="447" t="s">
        <v>1365</v>
      </c>
      <c r="F112" s="447" t="s">
        <v>1369</v>
      </c>
      <c r="G112" s="46"/>
      <c r="H112" s="463"/>
      <c r="I112" s="531"/>
      <c r="J112" s="531"/>
      <c r="K112" s="121"/>
      <c r="L112" s="121"/>
      <c r="M112" s="121"/>
      <c r="N112" s="121"/>
      <c r="O112" s="121"/>
      <c r="P112" s="526"/>
      <c r="Q112" s="526"/>
      <c r="R112" s="117"/>
      <c r="S112" s="117"/>
      <c r="T112" s="117"/>
    </row>
    <row r="113" spans="2:20">
      <c r="B113" s="785" t="s">
        <v>1410</v>
      </c>
      <c r="C113" s="785" t="s">
        <v>301</v>
      </c>
      <c r="D113" s="786" t="s">
        <v>1281</v>
      </c>
      <c r="E113" s="169"/>
      <c r="F113" s="169"/>
      <c r="G113" s="786">
        <v>1</v>
      </c>
      <c r="H113" s="461">
        <f ca="1">IF(AuxData!$P$34=0,1,AuxData!X$18/AuxData!$P$34)</f>
        <v>0.97225461528856816</v>
      </c>
      <c r="I113" s="809">
        <v>1</v>
      </c>
      <c r="J113" s="809">
        <v>1</v>
      </c>
      <c r="K113" s="49">
        <v>50</v>
      </c>
      <c r="L113" s="49">
        <f>ROUND(PV(0.05,K113,-1.65)*1,0)</f>
        <v>30</v>
      </c>
      <c r="M113" s="55">
        <v>1</v>
      </c>
      <c r="N113" s="55"/>
      <c r="O113" s="55"/>
      <c r="P113" s="386"/>
      <c r="Q113" s="386"/>
      <c r="R113" s="52">
        <f ca="1">BaseYear</f>
        <v>2010</v>
      </c>
      <c r="S113" s="52"/>
      <c r="T113" s="52"/>
    </row>
    <row r="114" spans="2:20">
      <c r="B114" s="446"/>
      <c r="C114" s="520"/>
      <c r="D114" s="787" t="s">
        <v>1315</v>
      </c>
      <c r="E114" s="52"/>
      <c r="F114" s="52"/>
      <c r="G114" s="52"/>
      <c r="H114" s="462"/>
      <c r="I114" s="386"/>
      <c r="J114" s="386"/>
      <c r="K114" s="49"/>
      <c r="L114" s="49"/>
      <c r="M114" s="55">
        <f>1/9</f>
        <v>0.1111111111111111</v>
      </c>
      <c r="N114" s="55">
        <f>1/3</f>
        <v>0.33333333333333331</v>
      </c>
      <c r="O114" s="55"/>
      <c r="P114" s="386"/>
      <c r="Q114" s="386">
        <v>0.3</v>
      </c>
      <c r="R114" s="52"/>
      <c r="S114" s="52"/>
      <c r="T114" s="52"/>
    </row>
    <row r="115" spans="2:20">
      <c r="B115" s="220"/>
      <c r="C115" s="519"/>
      <c r="D115" s="447"/>
      <c r="E115" s="447" t="s">
        <v>917</v>
      </c>
      <c r="F115" s="447" t="s">
        <v>671</v>
      </c>
      <c r="G115" s="170"/>
      <c r="H115" s="119"/>
      <c r="I115" s="531"/>
      <c r="J115" s="531"/>
      <c r="K115" s="121"/>
      <c r="L115" s="121"/>
      <c r="M115" s="121"/>
      <c r="N115" s="121"/>
      <c r="O115" s="121"/>
      <c r="P115" s="526"/>
      <c r="Q115" s="526"/>
      <c r="R115" s="117"/>
      <c r="S115" s="117"/>
      <c r="T115" s="117"/>
    </row>
    <row r="116" spans="2:20">
      <c r="B116" s="786" t="str">
        <f>CONCATENATE("FT-",E117,"0")</f>
        <v>FT-INDBSL0</v>
      </c>
      <c r="C116" s="786" t="s">
        <v>657</v>
      </c>
      <c r="D116" s="786" t="s">
        <v>1281</v>
      </c>
      <c r="E116" s="303"/>
      <c r="F116" s="303"/>
      <c r="G116" s="389">
        <v>1</v>
      </c>
      <c r="H116" s="303"/>
      <c r="I116" s="303">
        <v>1</v>
      </c>
      <c r="J116" s="303">
        <v>1</v>
      </c>
      <c r="K116" s="49"/>
      <c r="L116" s="49"/>
      <c r="M116" s="49"/>
      <c r="N116" s="49"/>
      <c r="O116" s="49"/>
      <c r="P116" s="303"/>
      <c r="Q116" s="303"/>
      <c r="R116" s="303"/>
      <c r="S116" s="303"/>
      <c r="T116" s="303"/>
    </row>
    <row r="117" spans="2:20">
      <c r="B117" s="447"/>
      <c r="C117" s="447"/>
      <c r="D117" s="447" t="s">
        <v>528</v>
      </c>
      <c r="E117" s="447" t="s">
        <v>655</v>
      </c>
      <c r="F117" s="447" t="s">
        <v>656</v>
      </c>
      <c r="G117" s="447"/>
      <c r="H117" s="447"/>
      <c r="I117" s="804"/>
      <c r="J117" s="804"/>
      <c r="K117" s="121"/>
      <c r="L117" s="121"/>
      <c r="M117" s="121"/>
      <c r="N117" s="121"/>
      <c r="O117" s="121"/>
      <c r="P117" s="804"/>
      <c r="Q117" s="804"/>
      <c r="R117" s="447"/>
      <c r="S117" s="447"/>
      <c r="T117" s="447"/>
    </row>
    <row r="118" spans="2:20">
      <c r="B118" s="9" t="s">
        <v>1412</v>
      </c>
      <c r="C118" s="9" t="s">
        <v>1233</v>
      </c>
      <c r="D118" s="9" t="s">
        <v>607</v>
      </c>
      <c r="E118" s="9"/>
      <c r="F118" s="9"/>
      <c r="G118" s="9">
        <v>1</v>
      </c>
      <c r="H118" s="9"/>
      <c r="I118" s="304">
        <v>1</v>
      </c>
      <c r="J118" s="304">
        <v>1</v>
      </c>
      <c r="K118" s="49"/>
      <c r="L118" s="49"/>
      <c r="M118" s="49"/>
      <c r="N118" s="49"/>
      <c r="O118" s="49"/>
      <c r="P118" s="304"/>
      <c r="Q118" s="304"/>
      <c r="R118" s="9"/>
      <c r="S118" s="9"/>
      <c r="T118" s="9"/>
    </row>
    <row r="119" spans="2:20">
      <c r="B119" s="447"/>
      <c r="C119" s="447"/>
      <c r="D119" s="447"/>
      <c r="E119" s="447" t="s">
        <v>1164</v>
      </c>
      <c r="F119" s="447" t="s">
        <v>1234</v>
      </c>
      <c r="G119" s="447"/>
      <c r="H119" s="447"/>
      <c r="I119" s="804"/>
      <c r="J119" s="804"/>
      <c r="K119" s="121"/>
      <c r="L119" s="121"/>
      <c r="M119" s="121"/>
      <c r="N119" s="121"/>
      <c r="O119" s="121"/>
      <c r="P119" s="804"/>
      <c r="Q119" s="804"/>
      <c r="R119" s="447"/>
      <c r="S119" s="447"/>
      <c r="T119" s="447"/>
    </row>
    <row r="120" spans="2:20">
      <c r="B120" s="785" t="s">
        <v>1454</v>
      </c>
      <c r="C120" s="785" t="s">
        <v>1453</v>
      </c>
      <c r="D120" s="786" t="s">
        <v>847</v>
      </c>
      <c r="E120" s="9"/>
      <c r="F120" s="9"/>
      <c r="G120" s="786">
        <v>1</v>
      </c>
      <c r="H120" s="461"/>
      <c r="I120" s="809">
        <v>1</v>
      </c>
      <c r="J120" s="809">
        <v>1</v>
      </c>
      <c r="K120" s="49"/>
      <c r="L120" s="49"/>
      <c r="M120" s="49"/>
      <c r="N120" s="49"/>
      <c r="O120" s="49"/>
      <c r="P120" s="386"/>
      <c r="Q120" s="386"/>
      <c r="R120" s="52">
        <f ca="1">BaseYear+1</f>
        <v>2011</v>
      </c>
      <c r="S120" s="52"/>
      <c r="T120" s="52"/>
    </row>
    <row r="121" spans="2:20">
      <c r="B121" s="9"/>
      <c r="C121" s="300"/>
      <c r="D121" s="447"/>
      <c r="E121" s="447" t="s">
        <v>1455</v>
      </c>
      <c r="F121" s="447" t="s">
        <v>1456</v>
      </c>
      <c r="G121" s="46"/>
      <c r="H121" s="62"/>
      <c r="I121" s="530"/>
      <c r="J121" s="530"/>
      <c r="K121" s="121"/>
      <c r="L121" s="121"/>
      <c r="M121" s="121"/>
      <c r="N121" s="121"/>
      <c r="O121" s="121"/>
      <c r="P121" s="526"/>
      <c r="Q121" s="526"/>
      <c r="R121" s="117"/>
      <c r="S121" s="117"/>
      <c r="T121" s="117"/>
    </row>
    <row r="122" spans="2:20">
      <c r="B122" s="785" t="s">
        <v>1501</v>
      </c>
      <c r="C122" s="785" t="s">
        <v>1504</v>
      </c>
      <c r="D122" s="786" t="s">
        <v>186</v>
      </c>
      <c r="E122" s="9"/>
      <c r="F122" s="9"/>
      <c r="G122" s="786">
        <v>1</v>
      </c>
      <c r="H122" s="461"/>
      <c r="I122" s="809">
        <v>1</v>
      </c>
      <c r="J122" s="809">
        <v>1</v>
      </c>
      <c r="K122" s="49"/>
      <c r="L122" s="49"/>
      <c r="M122" s="49"/>
      <c r="N122" s="49"/>
      <c r="O122" s="49"/>
      <c r="P122" s="386"/>
      <c r="Q122" s="386"/>
      <c r="R122" s="52">
        <f ca="1">BaseYear+1</f>
        <v>2011</v>
      </c>
      <c r="S122" s="52"/>
      <c r="T122" s="52"/>
    </row>
    <row r="123" spans="2:20">
      <c r="B123" s="9"/>
      <c r="C123" s="300"/>
      <c r="D123" s="447"/>
      <c r="E123" s="447" t="s">
        <v>1502</v>
      </c>
      <c r="F123" s="447" t="s">
        <v>1503</v>
      </c>
      <c r="G123" s="46"/>
      <c r="H123" s="62"/>
      <c r="I123" s="530"/>
      <c r="J123" s="530"/>
      <c r="K123" s="121"/>
      <c r="L123" s="121"/>
      <c r="M123" s="121"/>
      <c r="N123" s="121"/>
      <c r="O123" s="121"/>
      <c r="P123" s="526"/>
      <c r="Q123" s="526"/>
      <c r="R123" s="117"/>
      <c r="S123" s="117"/>
      <c r="T123" s="117"/>
    </row>
    <row r="124" spans="2:20">
      <c r="B124" s="786" t="s">
        <v>1411</v>
      </c>
      <c r="C124" s="786" t="s">
        <v>303</v>
      </c>
      <c r="D124" s="786" t="s">
        <v>845</v>
      </c>
      <c r="E124" s="9"/>
      <c r="F124" s="9"/>
      <c r="G124" s="786">
        <v>1</v>
      </c>
      <c r="H124" s="461"/>
      <c r="I124" s="809">
        <v>1</v>
      </c>
      <c r="J124" s="809">
        <v>1</v>
      </c>
      <c r="K124" s="49">
        <v>50</v>
      </c>
      <c r="L124" s="49">
        <v>100</v>
      </c>
      <c r="M124" s="49"/>
      <c r="N124" s="49"/>
      <c r="O124" s="49"/>
      <c r="P124" s="386"/>
      <c r="Q124" s="386"/>
      <c r="R124" s="52">
        <f ca="1">BaseYear+1</f>
        <v>2011</v>
      </c>
      <c r="S124" s="52">
        <v>100</v>
      </c>
      <c r="T124" s="52">
        <v>100</v>
      </c>
    </row>
    <row r="125" spans="2:20">
      <c r="B125" s="447"/>
      <c r="C125" s="447"/>
      <c r="D125" s="447"/>
      <c r="E125" s="447" t="s">
        <v>950</v>
      </c>
      <c r="F125" s="447" t="s">
        <v>673</v>
      </c>
      <c r="G125" s="447"/>
      <c r="H125" s="447"/>
      <c r="I125" s="804"/>
      <c r="J125" s="804"/>
      <c r="K125" s="121"/>
      <c r="L125" s="121"/>
      <c r="M125" s="121"/>
      <c r="N125" s="121"/>
      <c r="O125" s="121"/>
      <c r="P125" s="804"/>
      <c r="Q125" s="804"/>
      <c r="R125" s="447"/>
      <c r="S125" s="447"/>
      <c r="T125" s="447"/>
    </row>
    <row r="129" spans="2:25">
      <c r="F129" s="221"/>
    </row>
    <row r="130" spans="2:25" ht="18">
      <c r="B130" s="112" t="s">
        <v>1499</v>
      </c>
      <c r="C130" s="467"/>
      <c r="D130" s="467"/>
      <c r="E130" s="811"/>
      <c r="G130" s="225" t="str">
        <f>"~FI_T: "&amp;Region&amp;"~EUR10"</f>
        <v>~FI_T: FIN~EUR10</v>
      </c>
      <c r="H130" s="811"/>
      <c r="I130" s="811"/>
      <c r="J130" s="811"/>
      <c r="K130" s="811"/>
      <c r="L130" s="811"/>
      <c r="M130" s="811"/>
    </row>
    <row r="131" spans="2:25" ht="39" thickBot="1">
      <c r="B131" s="45" t="s">
        <v>649</v>
      </c>
      <c r="C131" s="45" t="s">
        <v>650</v>
      </c>
      <c r="D131" s="45" t="s">
        <v>648</v>
      </c>
      <c r="E131" s="45" t="s">
        <v>651</v>
      </c>
      <c r="F131" s="45" t="s">
        <v>773</v>
      </c>
      <c r="G131" s="45" t="s">
        <v>139</v>
      </c>
      <c r="H131" s="791" t="s">
        <v>50</v>
      </c>
      <c r="I131" s="791" t="s">
        <v>872</v>
      </c>
      <c r="J131" s="791" t="s">
        <v>556</v>
      </c>
      <c r="K131" s="812" t="s">
        <v>51</v>
      </c>
      <c r="L131" s="813" t="s">
        <v>53</v>
      </c>
      <c r="M131" s="812" t="s">
        <v>55</v>
      </c>
      <c r="N131" s="45" t="s">
        <v>1093</v>
      </c>
      <c r="O131" s="45" t="str">
        <f ca="1">"ACT_BND~UP~"&amp;AuxYear</f>
        <v>ACT_BND~UP~2017</v>
      </c>
      <c r="P131" s="45" t="s">
        <v>1279</v>
      </c>
      <c r="Q131" s="45" t="s">
        <v>659</v>
      </c>
      <c r="R131" s="398" t="s">
        <v>1208</v>
      </c>
      <c r="S131" s="791" t="str">
        <f ca="1">"INPUT~"&amp;AuxYear</f>
        <v>INPUT~2017</v>
      </c>
      <c r="T131" s="791" t="str">
        <f ca="1">"INPUT~"&amp;CEILING(AuxYear+27,5)</f>
        <v>INPUT~2045</v>
      </c>
      <c r="U131" s="791" t="s">
        <v>499</v>
      </c>
      <c r="V131" s="791" t="s">
        <v>1267</v>
      </c>
      <c r="W131" s="791" t="s">
        <v>526</v>
      </c>
      <c r="X131" s="791" t="s">
        <v>498</v>
      </c>
      <c r="Y131" s="791" t="s">
        <v>849</v>
      </c>
    </row>
    <row r="132" spans="2:25">
      <c r="B132" s="9" t="str">
        <f>CONCATENATE(E133,"000")</f>
        <v>SYNMET000</v>
      </c>
      <c r="C132" s="9" t="s">
        <v>1423</v>
      </c>
      <c r="D132" s="786" t="s">
        <v>354</v>
      </c>
      <c r="E132" s="389" t="s">
        <v>319</v>
      </c>
      <c r="F132" s="303"/>
      <c r="G132" s="304"/>
      <c r="H132" s="304">
        <v>20</v>
      </c>
      <c r="I132" s="304">
        <v>1</v>
      </c>
      <c r="J132" s="304"/>
      <c r="K132" s="12"/>
      <c r="L132" s="410"/>
      <c r="M132" s="9">
        <f>44/32/0.02</f>
        <v>68.75</v>
      </c>
      <c r="N132" s="9"/>
      <c r="O132" s="9"/>
      <c r="P132" s="9"/>
      <c r="Q132" s="9"/>
      <c r="R132" s="417"/>
      <c r="S132" s="9"/>
      <c r="T132" s="9"/>
      <c r="U132" s="9"/>
      <c r="V132" s="9"/>
      <c r="W132" s="9"/>
      <c r="X132" s="9"/>
      <c r="Y132" s="9"/>
    </row>
    <row r="133" spans="2:25">
      <c r="B133" s="447"/>
      <c r="C133" s="447"/>
      <c r="D133" s="447"/>
      <c r="E133" s="447" t="s">
        <v>186</v>
      </c>
      <c r="F133" s="447" t="s">
        <v>187</v>
      </c>
      <c r="G133" s="804"/>
      <c r="H133" s="804"/>
      <c r="I133" s="804"/>
      <c r="J133" s="804"/>
      <c r="K133" s="814"/>
      <c r="L133" s="815"/>
      <c r="M133" s="814"/>
      <c r="N133" s="447"/>
      <c r="O133" s="447"/>
      <c r="P133" s="447"/>
      <c r="Q133" s="447"/>
      <c r="R133" s="816"/>
      <c r="S133" s="447"/>
      <c r="T133" s="447"/>
      <c r="U133" s="447"/>
      <c r="V133" s="447"/>
      <c r="W133" s="447"/>
      <c r="X133" s="447"/>
      <c r="Y133" s="447"/>
    </row>
    <row r="134" spans="2:25">
      <c r="B134" s="9" t="s">
        <v>825</v>
      </c>
      <c r="C134" s="9" t="s">
        <v>3</v>
      </c>
      <c r="D134" s="9" t="s">
        <v>570</v>
      </c>
      <c r="E134" s="9"/>
      <c r="F134" s="9"/>
      <c r="G134" s="304"/>
      <c r="H134" s="304">
        <v>1</v>
      </c>
      <c r="I134" s="304">
        <v>1</v>
      </c>
      <c r="J134" s="304">
        <v>100</v>
      </c>
      <c r="K134" s="12"/>
      <c r="L134" s="410"/>
      <c r="M134" s="12"/>
      <c r="N134" s="62">
        <f ca="1">IEAData!BD40*1.01+0.2</f>
        <v>0.56442782450729512</v>
      </c>
      <c r="O134" s="62">
        <f ca="1">AuxData!BD40*1.01+0.2</f>
        <v>0.76452749266137965</v>
      </c>
      <c r="P134" s="62">
        <f ca="1">IEAData!$BE$9</f>
        <v>2.239291223136</v>
      </c>
      <c r="Q134" s="62">
        <f>P134</f>
        <v>2.239291223136</v>
      </c>
      <c r="R134" s="321"/>
      <c r="S134" s="9"/>
      <c r="T134" s="9"/>
      <c r="U134" s="9"/>
      <c r="V134" s="9"/>
      <c r="W134" s="9"/>
      <c r="X134" s="9"/>
      <c r="Y134" s="9"/>
    </row>
    <row r="135" spans="2:25">
      <c r="B135" s="447"/>
      <c r="C135" s="447"/>
      <c r="D135" s="447"/>
      <c r="E135" s="447" t="s">
        <v>1276</v>
      </c>
      <c r="F135" s="447" t="s">
        <v>1277</v>
      </c>
      <c r="G135" s="804"/>
      <c r="H135" s="804"/>
      <c r="I135" s="804"/>
      <c r="J135" s="804"/>
      <c r="K135" s="814"/>
      <c r="L135" s="815"/>
      <c r="M135" s="814"/>
      <c r="N135" s="447"/>
      <c r="O135" s="447"/>
      <c r="P135" s="447"/>
      <c r="Q135" s="447"/>
      <c r="R135" s="816"/>
      <c r="S135" s="447"/>
      <c r="T135" s="447"/>
      <c r="U135" s="447"/>
      <c r="V135" s="447"/>
      <c r="W135" s="447"/>
      <c r="X135" s="447"/>
      <c r="Y135" s="447"/>
    </row>
    <row r="136" spans="2:25">
      <c r="B136" s="446" t="s">
        <v>1273</v>
      </c>
      <c r="C136" s="9" t="s">
        <v>1274</v>
      </c>
      <c r="D136" s="446" t="s">
        <v>577</v>
      </c>
      <c r="E136" s="446"/>
      <c r="F136" s="446"/>
      <c r="G136" s="304"/>
      <c r="H136" s="805">
        <v>1</v>
      </c>
      <c r="I136" s="805"/>
      <c r="J136" s="805"/>
      <c r="K136" s="788"/>
      <c r="L136" s="817"/>
      <c r="M136" s="788"/>
      <c r="N136" s="818">
        <f ca="1">MAX((IEAData!BB$41+IEAData!BB$69)*0.15,IEAData!BB$41+IEAData!BB$69-IEAData!$BG$40-Calibration!S96)*1.01+0.2</f>
        <v>9.2257909327456087</v>
      </c>
      <c r="O136" s="818">
        <f ca="1">MAX((AuxData!BB$41+AuxData!BB$69)*0.15,AuxData!BB$41+AuxData!BB$69-AuxData!$BG$40-Calibrati2!S96)*1.01+0.2</f>
        <v>6.3759334791746705</v>
      </c>
      <c r="P136" s="446"/>
      <c r="Q136" s="818">
        <f>N136</f>
        <v>9.2257909327456087</v>
      </c>
      <c r="R136" s="819"/>
      <c r="S136" s="446"/>
      <c r="T136" s="446"/>
      <c r="U136" s="446"/>
      <c r="V136" s="446"/>
      <c r="W136" s="446"/>
      <c r="X136" s="446"/>
      <c r="Y136" s="446"/>
    </row>
    <row r="137" spans="2:25">
      <c r="B137" s="446"/>
      <c r="C137" s="9"/>
      <c r="D137" s="446" t="s">
        <v>570</v>
      </c>
      <c r="E137" s="446"/>
      <c r="F137" s="446"/>
      <c r="G137" s="805"/>
      <c r="H137" s="805"/>
      <c r="I137" s="805"/>
      <c r="J137" s="805"/>
      <c r="K137" s="788"/>
      <c r="L137" s="817"/>
      <c r="M137" s="788"/>
      <c r="N137" s="446"/>
      <c r="O137" s="446"/>
      <c r="P137" s="446"/>
      <c r="Q137" s="446"/>
      <c r="R137" s="820"/>
      <c r="S137" s="446"/>
      <c r="T137" s="446"/>
      <c r="U137" s="446"/>
      <c r="V137" s="446"/>
      <c r="W137" s="446"/>
      <c r="X137" s="446"/>
      <c r="Y137" s="446"/>
    </row>
    <row r="138" spans="2:25">
      <c r="B138" s="446"/>
      <c r="C138" s="446"/>
      <c r="D138" s="446" t="s">
        <v>979</v>
      </c>
      <c r="E138" s="446"/>
      <c r="F138" s="446"/>
      <c r="G138" s="805"/>
      <c r="H138" s="805"/>
      <c r="I138" s="805"/>
      <c r="J138" s="805"/>
      <c r="K138" s="788"/>
      <c r="L138" s="817"/>
      <c r="M138" s="788"/>
      <c r="N138" s="446"/>
      <c r="O138" s="446"/>
      <c r="P138" s="446"/>
      <c r="Q138" s="446"/>
      <c r="R138" s="820"/>
      <c r="S138" s="446"/>
      <c r="T138" s="446"/>
      <c r="U138" s="446"/>
      <c r="V138" s="446"/>
      <c r="W138" s="446"/>
      <c r="X138" s="446"/>
      <c r="Y138" s="446"/>
    </row>
    <row r="139" spans="2:25">
      <c r="B139" s="447"/>
      <c r="C139" s="447"/>
      <c r="D139" s="459" t="s">
        <v>1363</v>
      </c>
      <c r="E139" s="447" t="s">
        <v>844</v>
      </c>
      <c r="F139" s="447" t="s">
        <v>1275</v>
      </c>
      <c r="G139" s="804"/>
      <c r="H139" s="804"/>
      <c r="I139" s="804"/>
      <c r="J139" s="804"/>
      <c r="K139" s="814"/>
      <c r="L139" s="815"/>
      <c r="M139" s="814"/>
      <c r="N139" s="447"/>
      <c r="O139" s="447"/>
      <c r="P139" s="447"/>
      <c r="Q139" s="447"/>
      <c r="R139" s="816"/>
      <c r="S139" s="458">
        <v>0.45</v>
      </c>
      <c r="T139" s="447"/>
      <c r="U139" s="447"/>
      <c r="V139" s="447"/>
      <c r="W139" s="447"/>
      <c r="X139" s="447"/>
      <c r="Y139" s="447"/>
    </row>
    <row r="140" spans="2:25">
      <c r="B140" s="9" t="s">
        <v>110</v>
      </c>
      <c r="C140" s="9" t="s">
        <v>392</v>
      </c>
      <c r="D140" s="786"/>
      <c r="E140" s="390" t="s">
        <v>528</v>
      </c>
      <c r="F140" s="303"/>
      <c r="G140" s="304"/>
      <c r="H140" s="304">
        <v>1</v>
      </c>
      <c r="I140" s="304">
        <v>1</v>
      </c>
      <c r="J140" s="304"/>
      <c r="K140" s="12"/>
      <c r="L140" s="410"/>
      <c r="M140" s="62">
        <f ca="1">Drivers!$P$109</f>
        <v>0.73167969326058102</v>
      </c>
      <c r="N140" s="9">
        <f ca="1">Drivers!$L$109</f>
        <v>52</v>
      </c>
      <c r="O140" s="46">
        <f ca="1">Driver2!$L$109</f>
        <v>62.2</v>
      </c>
      <c r="P140" s="9">
        <f ca="1">Drivers!$L$110</f>
        <v>75</v>
      </c>
      <c r="Q140" s="9">
        <f>P140</f>
        <v>75</v>
      </c>
      <c r="R140" s="417"/>
      <c r="S140" s="9"/>
      <c r="T140" s="9"/>
      <c r="U140" s="9"/>
      <c r="V140" s="9"/>
      <c r="W140" s="9"/>
      <c r="X140" s="9"/>
      <c r="Y140" s="9"/>
    </row>
    <row r="141" spans="2:25">
      <c r="B141" s="9"/>
      <c r="C141" s="9"/>
      <c r="D141" s="787"/>
      <c r="E141" s="390" t="s">
        <v>1229</v>
      </c>
      <c r="F141" s="303"/>
      <c r="G141" s="390" t="s">
        <v>459</v>
      </c>
      <c r="H141" s="304"/>
      <c r="I141" s="304"/>
      <c r="J141" s="304"/>
      <c r="K141" s="12"/>
      <c r="L141" s="410"/>
      <c r="M141" s="12"/>
      <c r="N141" s="9"/>
      <c r="O141" s="9"/>
      <c r="P141" s="9"/>
      <c r="Q141" s="9"/>
      <c r="R141" s="417"/>
      <c r="S141" s="9"/>
      <c r="T141" s="9"/>
      <c r="U141" s="304"/>
      <c r="V141" s="445">
        <f ca="1">Drivers!$P$111</f>
        <v>1.3321025641025641</v>
      </c>
      <c r="W141" s="304"/>
      <c r="X141" s="304"/>
      <c r="Y141" s="9"/>
    </row>
    <row r="142" spans="2:25">
      <c r="B142" s="9"/>
      <c r="C142" s="9"/>
      <c r="D142" s="787"/>
      <c r="E142" s="390" t="s">
        <v>1343</v>
      </c>
      <c r="F142" s="446" t="s">
        <v>1345</v>
      </c>
      <c r="G142" s="304"/>
      <c r="H142" s="304"/>
      <c r="I142" s="304"/>
      <c r="J142" s="304"/>
      <c r="K142" s="12"/>
      <c r="L142" s="410"/>
      <c r="M142" s="12"/>
      <c r="N142" s="9"/>
      <c r="O142" s="9"/>
      <c r="P142" s="9"/>
      <c r="Q142" s="9"/>
      <c r="R142" s="417"/>
      <c r="S142" s="9"/>
      <c r="T142" s="9"/>
      <c r="U142" s="304"/>
      <c r="V142" s="445"/>
      <c r="W142" s="445">
        <f ca="1">($V$141-Drivers!$P$110)/(Drivers!$P$110/(Drivers!$P$110+7.2)+$V141-Drivers!$P$110-1)</f>
        <v>0.44742509540182113</v>
      </c>
      <c r="X142" s="445">
        <f ca="1">(Drivers!$P$110+7.2)</f>
        <v>9.1679999999999993</v>
      </c>
      <c r="Y142" s="9"/>
    </row>
    <row r="143" spans="2:25">
      <c r="B143" s="447"/>
      <c r="C143" s="447"/>
      <c r="D143" s="447"/>
      <c r="E143" s="447" t="s">
        <v>459</v>
      </c>
      <c r="F143" s="447" t="s">
        <v>656</v>
      </c>
      <c r="G143" s="804"/>
      <c r="H143" s="804"/>
      <c r="I143" s="804"/>
      <c r="J143" s="804"/>
      <c r="K143" s="814"/>
      <c r="L143" s="815"/>
      <c r="M143" s="814"/>
      <c r="N143" s="447"/>
      <c r="O143" s="447"/>
      <c r="P143" s="447"/>
      <c r="Q143" s="447"/>
      <c r="R143" s="816"/>
      <c r="S143" s="447"/>
      <c r="T143" s="447"/>
      <c r="U143" s="804">
        <v>44</v>
      </c>
      <c r="V143" s="804"/>
      <c r="W143" s="804"/>
      <c r="X143" s="804"/>
      <c r="Y143" s="447"/>
    </row>
    <row r="144" spans="2:25">
      <c r="B144" s="9" t="s">
        <v>1210</v>
      </c>
      <c r="C144" s="9" t="s">
        <v>1211</v>
      </c>
      <c r="D144" s="446"/>
      <c r="E144" s="390" t="s">
        <v>528</v>
      </c>
      <c r="F144" s="446"/>
      <c r="G144" s="304"/>
      <c r="H144" s="304">
        <v>1</v>
      </c>
      <c r="I144" s="304">
        <v>1</v>
      </c>
      <c r="J144" s="304"/>
      <c r="K144" s="12">
        <v>50</v>
      </c>
      <c r="L144" s="817"/>
      <c r="M144" s="462">
        <f ca="1">Drivers!$P$109</f>
        <v>0.73167969326058102</v>
      </c>
      <c r="N144" s="446"/>
      <c r="O144" s="446"/>
      <c r="P144" s="446"/>
      <c r="Q144" s="446"/>
      <c r="R144" s="322">
        <f ca="1">Drivers!$L$111</f>
        <v>8</v>
      </c>
      <c r="S144" s="446"/>
      <c r="T144" s="446"/>
      <c r="U144" s="446"/>
      <c r="V144" s="446"/>
      <c r="W144" s="446"/>
      <c r="X144" s="446"/>
      <c r="Y144" s="446"/>
    </row>
    <row r="145" spans="2:25">
      <c r="B145" s="447"/>
      <c r="C145" s="447"/>
      <c r="D145" s="447"/>
      <c r="E145" s="447" t="s">
        <v>459</v>
      </c>
      <c r="F145" s="447" t="s">
        <v>656</v>
      </c>
      <c r="G145" s="804"/>
      <c r="H145" s="804"/>
      <c r="I145" s="804"/>
      <c r="J145" s="804"/>
      <c r="K145" s="814"/>
      <c r="L145" s="815"/>
      <c r="M145" s="814"/>
      <c r="N145" s="447"/>
      <c r="O145" s="447"/>
      <c r="P145" s="447"/>
      <c r="Q145" s="447"/>
      <c r="R145" s="816"/>
      <c r="S145" s="447"/>
      <c r="T145" s="447"/>
      <c r="U145" s="447"/>
      <c r="V145" s="447"/>
      <c r="W145" s="447"/>
      <c r="X145" s="447"/>
      <c r="Y145" s="447"/>
    </row>
    <row r="146" spans="2:25">
      <c r="B146" s="9" t="s">
        <v>109</v>
      </c>
      <c r="C146" s="446" t="s">
        <v>192</v>
      </c>
      <c r="D146" s="446"/>
      <c r="E146" s="446"/>
      <c r="F146" s="446"/>
      <c r="G146" s="805"/>
      <c r="H146" s="805">
        <v>1</v>
      </c>
      <c r="I146" s="805">
        <v>1</v>
      </c>
      <c r="J146" s="805"/>
      <c r="K146" s="788">
        <v>90</v>
      </c>
      <c r="L146" s="817"/>
      <c r="M146" s="788"/>
      <c r="N146" s="446"/>
      <c r="O146" s="446"/>
      <c r="P146" s="446"/>
      <c r="Q146" s="446"/>
      <c r="R146" s="820"/>
      <c r="S146" s="446"/>
      <c r="T146" s="446"/>
      <c r="U146" s="446"/>
      <c r="V146" s="446"/>
      <c r="W146" s="446"/>
      <c r="X146" s="446"/>
      <c r="Y146" s="446"/>
    </row>
    <row r="147" spans="2:25">
      <c r="B147" s="447"/>
      <c r="C147" s="447"/>
      <c r="D147" s="447"/>
      <c r="E147" s="447" t="s">
        <v>463</v>
      </c>
      <c r="F147" s="447" t="s">
        <v>444</v>
      </c>
      <c r="G147" s="804"/>
      <c r="H147" s="804"/>
      <c r="I147" s="804"/>
      <c r="J147" s="804"/>
      <c r="K147" s="814"/>
      <c r="L147" s="815"/>
      <c r="M147" s="814"/>
      <c r="N147" s="447"/>
      <c r="O147" s="447"/>
      <c r="P147" s="447"/>
      <c r="Q147" s="447"/>
      <c r="R147" s="816"/>
      <c r="S147" s="447"/>
      <c r="T147" s="447"/>
      <c r="U147" s="447"/>
      <c r="V147" s="447"/>
      <c r="W147" s="447"/>
      <c r="X147" s="447"/>
      <c r="Y147" s="447"/>
    </row>
    <row r="150" spans="2:25">
      <c r="N150" s="2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59"/>
  <sheetViews>
    <sheetView zoomScale="75" workbookViewId="0">
      <selection activeCell="J20" sqref="J20"/>
    </sheetView>
  </sheetViews>
  <sheetFormatPr defaultColWidth="8.85546875" defaultRowHeight="12.75"/>
  <cols>
    <col min="1" max="1" width="8.85546875" style="76" customWidth="1"/>
    <col min="2" max="4" width="10.42578125" style="76" customWidth="1"/>
    <col min="9" max="9" width="12.42578125" customWidth="1"/>
    <col min="10" max="10" width="12.28515625" customWidth="1"/>
    <col min="11" max="11" width="10.42578125" customWidth="1"/>
  </cols>
  <sheetData>
    <row r="1" spans="1:14">
      <c r="D1" s="274"/>
      <c r="E1" s="76"/>
      <c r="F1" s="76"/>
      <c r="G1" s="76"/>
      <c r="H1" s="76"/>
    </row>
    <row r="3" spans="1:14" ht="18">
      <c r="A3" s="122" t="s">
        <v>12</v>
      </c>
      <c r="B3" s="86"/>
      <c r="C3" s="86"/>
      <c r="D3" s="86"/>
      <c r="F3" s="433">
        <f>1.54/310*1000*0.5</f>
        <v>2.4838709677419355</v>
      </c>
      <c r="I3" s="539"/>
      <c r="J3" s="478" t="s">
        <v>1376</v>
      </c>
      <c r="K3" s="216" t="s">
        <v>1445</v>
      </c>
    </row>
    <row r="4" spans="1:14" ht="24.75" thickBot="1">
      <c r="A4" s="553" t="s">
        <v>975</v>
      </c>
      <c r="B4" s="229" t="s">
        <v>319</v>
      </c>
      <c r="C4" s="229" t="s">
        <v>320</v>
      </c>
      <c r="D4" s="229" t="s">
        <v>321</v>
      </c>
      <c r="E4" s="229" t="s">
        <v>1323</v>
      </c>
      <c r="F4" s="229" t="s">
        <v>1324</v>
      </c>
      <c r="I4" s="280" t="s">
        <v>649</v>
      </c>
      <c r="J4" s="280" t="s">
        <v>650</v>
      </c>
      <c r="K4" s="280" t="s">
        <v>139</v>
      </c>
      <c r="L4" s="229" t="s">
        <v>319</v>
      </c>
      <c r="M4" s="229" t="s">
        <v>320</v>
      </c>
      <c r="N4" s="229" t="s">
        <v>321</v>
      </c>
    </row>
    <row r="5" spans="1:14">
      <c r="A5" s="554" t="s">
        <v>952</v>
      </c>
      <c r="B5" s="179">
        <v>94.6</v>
      </c>
      <c r="C5" s="69">
        <v>1</v>
      </c>
      <c r="D5" s="69">
        <v>3</v>
      </c>
      <c r="E5" s="430">
        <v>130</v>
      </c>
      <c r="F5" s="69">
        <f t="shared" ref="F5:F47" si="0">D5+E5*F$3/1000</f>
        <v>3.3229032258064515</v>
      </c>
      <c r="G5" s="6"/>
      <c r="I5" s="460" t="s">
        <v>1436</v>
      </c>
      <c r="J5" s="9"/>
      <c r="K5" s="9" t="s">
        <v>951</v>
      </c>
      <c r="L5" s="12">
        <f t="shared" ref="L5:L26" si="1">VLOOKUP($K5,$A$5:$F$47,2,0)</f>
        <v>56.1</v>
      </c>
      <c r="M5" s="31">
        <f t="shared" ref="M5:M26" si="2">VLOOKUP($K5,$A$5:$F$47,3,0)</f>
        <v>1.5</v>
      </c>
      <c r="N5" s="31">
        <f t="shared" ref="N5:N26" si="3">VLOOKUP($K5,$A$5:$F$47,6,0)</f>
        <v>1.1241935483870968</v>
      </c>
    </row>
    <row r="6" spans="1:14">
      <c r="A6" s="555" t="s">
        <v>953</v>
      </c>
      <c r="B6" s="179">
        <v>104.5</v>
      </c>
      <c r="C6" s="70">
        <v>3</v>
      </c>
      <c r="D6" s="70">
        <v>3</v>
      </c>
      <c r="E6" s="431">
        <v>130</v>
      </c>
      <c r="F6" s="70">
        <f t="shared" si="0"/>
        <v>3.3229032258064515</v>
      </c>
      <c r="G6" s="6"/>
      <c r="I6" s="460"/>
      <c r="J6" s="9"/>
      <c r="K6" s="9" t="s">
        <v>832</v>
      </c>
      <c r="L6" s="12">
        <f t="shared" si="1"/>
        <v>44.4</v>
      </c>
      <c r="M6" s="31">
        <f t="shared" si="2"/>
        <v>1.5</v>
      </c>
      <c r="N6" s="31">
        <f t="shared" si="3"/>
        <v>0.22419354838709676</v>
      </c>
    </row>
    <row r="7" spans="1:14">
      <c r="A7" s="556" t="s">
        <v>954</v>
      </c>
      <c r="B7" s="179">
        <f>107*0.98</f>
        <v>104.86</v>
      </c>
      <c r="C7" s="70">
        <v>1</v>
      </c>
      <c r="D7" s="70">
        <v>3</v>
      </c>
      <c r="E7" s="431">
        <v>80</v>
      </c>
      <c r="F7" s="70">
        <f t="shared" si="0"/>
        <v>3.1987096774193549</v>
      </c>
      <c r="I7" s="460" t="s">
        <v>1434</v>
      </c>
      <c r="J7" s="9"/>
      <c r="K7" s="9" t="s">
        <v>1084</v>
      </c>
      <c r="L7" s="12">
        <f t="shared" si="1"/>
        <v>63.1</v>
      </c>
      <c r="M7" s="31">
        <f t="shared" si="2"/>
        <v>1.18</v>
      </c>
      <c r="N7" s="31">
        <f t="shared" si="3"/>
        <v>1.2483870967741935</v>
      </c>
    </row>
    <row r="8" spans="1:14">
      <c r="A8" s="556" t="s">
        <v>955</v>
      </c>
      <c r="B8" s="179">
        <f>107*0.98</f>
        <v>104.86</v>
      </c>
      <c r="C8" s="70">
        <v>1</v>
      </c>
      <c r="D8" s="70">
        <v>3</v>
      </c>
      <c r="E8" s="431">
        <v>80</v>
      </c>
      <c r="F8" s="70">
        <f t="shared" si="0"/>
        <v>3.1987096774193549</v>
      </c>
      <c r="I8" s="460" t="s">
        <v>1437</v>
      </c>
      <c r="J8" s="9"/>
      <c r="K8" s="9" t="s">
        <v>756</v>
      </c>
      <c r="L8" s="12">
        <f t="shared" si="1"/>
        <v>64.2</v>
      </c>
      <c r="M8" s="31">
        <f t="shared" si="2"/>
        <v>1.34110247872734</v>
      </c>
      <c r="N8" s="31">
        <f t="shared" si="3"/>
        <v>0.9925806451612903</v>
      </c>
    </row>
    <row r="9" spans="1:14">
      <c r="A9" s="556" t="s">
        <v>830</v>
      </c>
      <c r="B9" s="179">
        <v>0</v>
      </c>
      <c r="C9" s="70">
        <v>1</v>
      </c>
      <c r="D9" s="70">
        <v>0.1</v>
      </c>
      <c r="E9" s="431">
        <v>80</v>
      </c>
      <c r="F9" s="70">
        <f t="shared" si="0"/>
        <v>0.29870967741935484</v>
      </c>
      <c r="I9" s="460" t="s">
        <v>1428</v>
      </c>
      <c r="J9" s="9"/>
      <c r="K9" s="9" t="s">
        <v>952</v>
      </c>
      <c r="L9" s="12">
        <f t="shared" si="1"/>
        <v>94.6</v>
      </c>
      <c r="M9" s="31">
        <f t="shared" si="2"/>
        <v>1</v>
      </c>
      <c r="N9" s="31">
        <f t="shared" si="3"/>
        <v>3.3229032258064515</v>
      </c>
    </row>
    <row r="10" spans="1:14">
      <c r="A10" s="556" t="s">
        <v>831</v>
      </c>
      <c r="B10" s="179">
        <f>182*0</f>
        <v>0</v>
      </c>
      <c r="C10" s="70">
        <v>1</v>
      </c>
      <c r="D10" s="70">
        <v>0.1</v>
      </c>
      <c r="E10" s="431">
        <v>80</v>
      </c>
      <c r="F10" s="70">
        <f t="shared" si="0"/>
        <v>0.29870967741935484</v>
      </c>
      <c r="I10" s="460" t="s">
        <v>1430</v>
      </c>
      <c r="J10" s="9"/>
      <c r="K10" s="9" t="s">
        <v>954</v>
      </c>
      <c r="L10" s="178">
        <f t="shared" si="1"/>
        <v>104.86</v>
      </c>
      <c r="M10" s="31">
        <f t="shared" si="2"/>
        <v>1</v>
      </c>
      <c r="N10" s="31">
        <f t="shared" si="3"/>
        <v>3.1987096774193549</v>
      </c>
    </row>
    <row r="11" spans="1:14">
      <c r="A11" s="557" t="s">
        <v>842</v>
      </c>
      <c r="B11" s="180">
        <v>97.5</v>
      </c>
      <c r="C11" s="73">
        <v>1</v>
      </c>
      <c r="D11" s="73">
        <v>1.80505415162455</v>
      </c>
      <c r="E11" s="432">
        <v>80</v>
      </c>
      <c r="F11" s="73">
        <f t="shared" si="0"/>
        <v>2.0037638290439048</v>
      </c>
      <c r="I11" s="460" t="s">
        <v>1429</v>
      </c>
      <c r="J11" s="9"/>
      <c r="K11" s="9" t="s">
        <v>956</v>
      </c>
      <c r="L11" s="12">
        <f t="shared" si="1"/>
        <v>44.4</v>
      </c>
      <c r="M11" s="31">
        <f t="shared" si="2"/>
        <v>5</v>
      </c>
      <c r="N11" s="31">
        <f t="shared" si="3"/>
        <v>0.29870967741935484</v>
      </c>
    </row>
    <row r="12" spans="1:14">
      <c r="A12" s="558" t="s">
        <v>304</v>
      </c>
      <c r="B12" s="179">
        <v>73.3</v>
      </c>
      <c r="C12" s="69">
        <v>0.15580368735393399</v>
      </c>
      <c r="D12" s="69">
        <v>0.33757465593352398</v>
      </c>
      <c r="E12" s="430">
        <v>150</v>
      </c>
      <c r="F12" s="69">
        <f t="shared" si="0"/>
        <v>0.71015530109481428</v>
      </c>
      <c r="I12" s="460" t="s">
        <v>1425</v>
      </c>
      <c r="J12" s="9"/>
      <c r="K12" s="9" t="s">
        <v>830</v>
      </c>
      <c r="L12" s="12">
        <f t="shared" si="1"/>
        <v>0</v>
      </c>
      <c r="M12" s="31">
        <f t="shared" si="2"/>
        <v>1</v>
      </c>
      <c r="N12" s="31">
        <f t="shared" si="3"/>
        <v>0.29870967741935484</v>
      </c>
    </row>
    <row r="13" spans="1:14">
      <c r="A13" s="559" t="s">
        <v>305</v>
      </c>
      <c r="B13" s="179">
        <v>73.3</v>
      </c>
      <c r="C13" s="70">
        <v>2.9339853300733498</v>
      </c>
      <c r="D13" s="70">
        <v>0.31784841075794601</v>
      </c>
      <c r="E13" s="431">
        <v>150</v>
      </c>
      <c r="F13" s="70">
        <f t="shared" si="0"/>
        <v>0.69042905591923631</v>
      </c>
      <c r="I13" s="460"/>
      <c r="J13" s="9"/>
      <c r="K13" s="9" t="s">
        <v>831</v>
      </c>
      <c r="L13" s="12">
        <f t="shared" si="1"/>
        <v>0</v>
      </c>
      <c r="M13" s="31">
        <f t="shared" si="2"/>
        <v>1</v>
      </c>
      <c r="N13" s="31">
        <f t="shared" si="3"/>
        <v>0.29870967741935484</v>
      </c>
    </row>
    <row r="14" spans="1:14">
      <c r="A14" s="556" t="s">
        <v>834</v>
      </c>
      <c r="B14" s="179">
        <v>73.3</v>
      </c>
      <c r="C14" s="70">
        <v>1.5448945087136401</v>
      </c>
      <c r="D14" s="70">
        <v>0.327711533345735</v>
      </c>
      <c r="E14" s="431">
        <v>150</v>
      </c>
      <c r="F14" s="70">
        <f t="shared" si="0"/>
        <v>0.7002921785070253</v>
      </c>
      <c r="I14" s="460"/>
      <c r="J14" s="9"/>
      <c r="K14" s="9" t="s">
        <v>955</v>
      </c>
      <c r="L14" s="178">
        <f t="shared" si="1"/>
        <v>104.86</v>
      </c>
      <c r="M14" s="31">
        <f t="shared" si="2"/>
        <v>1</v>
      </c>
      <c r="N14" s="31">
        <f t="shared" si="3"/>
        <v>3.1987096774193549</v>
      </c>
    </row>
    <row r="15" spans="1:14">
      <c r="A15" s="556" t="s">
        <v>756</v>
      </c>
      <c r="B15" s="179">
        <v>64.2</v>
      </c>
      <c r="C15" s="70">
        <v>1.34110247872734</v>
      </c>
      <c r="D15" s="71">
        <v>0.62</v>
      </c>
      <c r="E15" s="431">
        <v>150</v>
      </c>
      <c r="F15" s="70">
        <f t="shared" si="0"/>
        <v>0.9925806451612903</v>
      </c>
      <c r="I15" s="460" t="s">
        <v>1424</v>
      </c>
      <c r="J15" s="9"/>
      <c r="K15" s="9" t="s">
        <v>953</v>
      </c>
      <c r="L15" s="12">
        <f t="shared" si="1"/>
        <v>104.5</v>
      </c>
      <c r="M15" s="31">
        <f t="shared" si="2"/>
        <v>3</v>
      </c>
      <c r="N15" s="31">
        <f t="shared" si="3"/>
        <v>3.3229032258064515</v>
      </c>
    </row>
    <row r="16" spans="1:14">
      <c r="A16" s="559" t="s">
        <v>306</v>
      </c>
      <c r="B16" s="179">
        <v>73.3</v>
      </c>
      <c r="C16" s="70">
        <v>0.15580368735393399</v>
      </c>
      <c r="D16" s="70">
        <v>0.33757465593352398</v>
      </c>
      <c r="E16" s="431">
        <v>150</v>
      </c>
      <c r="F16" s="70">
        <f t="shared" si="0"/>
        <v>0.71015530109481428</v>
      </c>
      <c r="I16" s="460" t="s">
        <v>1433</v>
      </c>
      <c r="J16" s="9"/>
      <c r="K16" s="9" t="s">
        <v>835</v>
      </c>
      <c r="L16" s="12">
        <f t="shared" si="1"/>
        <v>77.400000000000006</v>
      </c>
      <c r="M16" s="31">
        <f t="shared" si="2"/>
        <v>2.6</v>
      </c>
      <c r="N16" s="31">
        <f t="shared" si="3"/>
        <v>2.3725806451612903</v>
      </c>
    </row>
    <row r="17" spans="1:14">
      <c r="A17" s="559" t="s">
        <v>307</v>
      </c>
      <c r="B17" s="179">
        <v>73.3</v>
      </c>
      <c r="C17" s="70">
        <v>0.15580368735393399</v>
      </c>
      <c r="D17" s="70">
        <v>0.33757465593352398</v>
      </c>
      <c r="E17" s="431">
        <v>150</v>
      </c>
      <c r="F17" s="70">
        <f t="shared" si="0"/>
        <v>0.71015530109481428</v>
      </c>
      <c r="I17" s="460"/>
      <c r="J17" s="9"/>
      <c r="K17" s="9" t="s">
        <v>834</v>
      </c>
      <c r="L17" s="12">
        <f t="shared" si="1"/>
        <v>73.3</v>
      </c>
      <c r="M17" s="31">
        <f t="shared" si="2"/>
        <v>1.5448945087136401</v>
      </c>
      <c r="N17" s="31">
        <f t="shared" si="3"/>
        <v>0.7002921785070253</v>
      </c>
    </row>
    <row r="18" spans="1:14">
      <c r="A18" s="556" t="s">
        <v>839</v>
      </c>
      <c r="B18" s="179">
        <v>73.3</v>
      </c>
      <c r="C18" s="70">
        <v>0.15580368735393399</v>
      </c>
      <c r="D18" s="70">
        <v>0.33757465593352398</v>
      </c>
      <c r="E18" s="431">
        <v>150</v>
      </c>
      <c r="F18" s="70">
        <f t="shared" si="0"/>
        <v>0.71015530109481428</v>
      </c>
      <c r="I18" s="460"/>
      <c r="J18" s="9"/>
      <c r="K18" s="9" t="s">
        <v>839</v>
      </c>
      <c r="L18" s="12">
        <f t="shared" si="1"/>
        <v>73.3</v>
      </c>
      <c r="M18" s="31">
        <f t="shared" si="2"/>
        <v>0.15580368735393399</v>
      </c>
      <c r="N18" s="31">
        <f t="shared" si="3"/>
        <v>0.71015530109481428</v>
      </c>
    </row>
    <row r="19" spans="1:14">
      <c r="A19" s="556" t="s">
        <v>840</v>
      </c>
      <c r="B19" s="180">
        <v>73.3</v>
      </c>
      <c r="C19" s="70">
        <v>0.15580368735393399</v>
      </c>
      <c r="D19" s="70">
        <v>0.33757465593352398</v>
      </c>
      <c r="E19" s="431">
        <v>150</v>
      </c>
      <c r="F19" s="70">
        <f t="shared" si="0"/>
        <v>0.71015530109481428</v>
      </c>
      <c r="I19" s="460" t="s">
        <v>1422</v>
      </c>
      <c r="J19" s="9"/>
      <c r="K19" s="9" t="s">
        <v>836</v>
      </c>
      <c r="L19" s="12">
        <f t="shared" si="1"/>
        <v>74.099999999999994</v>
      </c>
      <c r="M19" s="31">
        <f t="shared" si="2"/>
        <v>2.6</v>
      </c>
      <c r="N19" s="31">
        <f t="shared" si="3"/>
        <v>1.9725806451612904</v>
      </c>
    </row>
    <row r="20" spans="1:14">
      <c r="A20" s="554" t="s">
        <v>838</v>
      </c>
      <c r="B20" s="179">
        <v>69.3</v>
      </c>
      <c r="C20" s="69">
        <v>3</v>
      </c>
      <c r="D20" s="69">
        <v>2</v>
      </c>
      <c r="E20" s="430">
        <v>150</v>
      </c>
      <c r="F20" s="69">
        <f t="shared" si="0"/>
        <v>2.3725806451612903</v>
      </c>
      <c r="I20" s="460"/>
      <c r="J20" s="9"/>
      <c r="K20" s="9" t="s">
        <v>837</v>
      </c>
      <c r="L20" s="12">
        <f t="shared" si="1"/>
        <v>71.900000000000006</v>
      </c>
      <c r="M20" s="31">
        <f t="shared" si="2"/>
        <v>3</v>
      </c>
      <c r="N20" s="31">
        <f t="shared" si="3"/>
        <v>1.9725806451612904</v>
      </c>
    </row>
    <row r="21" spans="1:14">
      <c r="A21" s="559" t="s">
        <v>308</v>
      </c>
      <c r="B21" s="179">
        <v>70</v>
      </c>
      <c r="C21" s="70">
        <v>3</v>
      </c>
      <c r="D21" s="70">
        <v>2</v>
      </c>
      <c r="E21" s="431">
        <v>150</v>
      </c>
      <c r="F21" s="70">
        <f t="shared" si="0"/>
        <v>2.3725806451612903</v>
      </c>
      <c r="I21" s="460"/>
      <c r="J21" s="9"/>
      <c r="K21" s="9" t="s">
        <v>838</v>
      </c>
      <c r="L21" s="12">
        <f t="shared" si="1"/>
        <v>69.3</v>
      </c>
      <c r="M21" s="31">
        <f t="shared" si="2"/>
        <v>3</v>
      </c>
      <c r="N21" s="31">
        <f t="shared" si="3"/>
        <v>2.3725806451612903</v>
      </c>
    </row>
    <row r="22" spans="1:14">
      <c r="A22" s="559" t="s">
        <v>309</v>
      </c>
      <c r="B22" s="179">
        <v>70</v>
      </c>
      <c r="C22" s="70">
        <v>2</v>
      </c>
      <c r="D22" s="70">
        <v>2</v>
      </c>
      <c r="E22" s="431">
        <v>150</v>
      </c>
      <c r="F22" s="70">
        <f t="shared" si="0"/>
        <v>2.3725806451612903</v>
      </c>
      <c r="I22" s="460"/>
      <c r="J22" s="9"/>
      <c r="K22" s="9" t="s">
        <v>757</v>
      </c>
      <c r="L22" s="12">
        <f t="shared" si="1"/>
        <v>71.5</v>
      </c>
      <c r="M22" s="31">
        <f t="shared" si="2"/>
        <v>3</v>
      </c>
      <c r="N22" s="31">
        <f t="shared" si="3"/>
        <v>2.3725806451612903</v>
      </c>
    </row>
    <row r="23" spans="1:14">
      <c r="A23" s="556" t="s">
        <v>757</v>
      </c>
      <c r="B23" s="179">
        <v>71.5</v>
      </c>
      <c r="C23" s="70">
        <v>3</v>
      </c>
      <c r="D23" s="70">
        <v>2</v>
      </c>
      <c r="E23" s="431">
        <v>150</v>
      </c>
      <c r="F23" s="70">
        <f t="shared" si="0"/>
        <v>2.3725806451612903</v>
      </c>
      <c r="I23" s="460" t="s">
        <v>1431</v>
      </c>
      <c r="J23" s="9"/>
      <c r="K23" s="9" t="s">
        <v>843</v>
      </c>
      <c r="L23" s="12">
        <f t="shared" si="1"/>
        <v>61.6</v>
      </c>
      <c r="M23" s="31">
        <f t="shared" si="2"/>
        <v>1</v>
      </c>
      <c r="N23" s="31">
        <f t="shared" si="3"/>
        <v>1.1241935483870968</v>
      </c>
    </row>
    <row r="24" spans="1:14">
      <c r="A24" s="556" t="s">
        <v>837</v>
      </c>
      <c r="B24" s="179">
        <v>71.900000000000006</v>
      </c>
      <c r="C24" s="70">
        <v>3</v>
      </c>
      <c r="D24" s="70">
        <v>1.6</v>
      </c>
      <c r="E24" s="431">
        <v>150</v>
      </c>
      <c r="F24" s="70">
        <f t="shared" si="0"/>
        <v>1.9725806451612904</v>
      </c>
      <c r="I24" s="460"/>
      <c r="J24" s="9"/>
      <c r="K24" s="9" t="s">
        <v>833</v>
      </c>
      <c r="L24" s="12">
        <f t="shared" si="1"/>
        <v>57.6</v>
      </c>
      <c r="M24" s="31">
        <f t="shared" si="2"/>
        <v>1</v>
      </c>
      <c r="N24" s="31">
        <f t="shared" si="3"/>
        <v>1.1241935483870968</v>
      </c>
    </row>
    <row r="25" spans="1:14">
      <c r="A25" s="556" t="s">
        <v>836</v>
      </c>
      <c r="B25" s="179">
        <v>74.099999999999994</v>
      </c>
      <c r="C25" s="70">
        <v>2.6</v>
      </c>
      <c r="D25" s="70">
        <v>1.6</v>
      </c>
      <c r="E25" s="431">
        <v>150</v>
      </c>
      <c r="F25" s="70">
        <f t="shared" si="0"/>
        <v>1.9725806451612904</v>
      </c>
      <c r="I25" s="460" t="s">
        <v>1435</v>
      </c>
      <c r="J25" s="9"/>
      <c r="K25" s="9" t="s">
        <v>841</v>
      </c>
      <c r="L25" s="12">
        <f t="shared" si="1"/>
        <v>73.3</v>
      </c>
      <c r="M25" s="31">
        <f t="shared" si="2"/>
        <v>3</v>
      </c>
      <c r="N25" s="31">
        <f t="shared" si="3"/>
        <v>3.7325806451612902</v>
      </c>
    </row>
    <row r="26" spans="1:14">
      <c r="A26" s="556" t="s">
        <v>835</v>
      </c>
      <c r="B26" s="179">
        <v>77.400000000000006</v>
      </c>
      <c r="C26" s="70">
        <v>2.6</v>
      </c>
      <c r="D26" s="70">
        <v>2</v>
      </c>
      <c r="E26" s="431">
        <v>150</v>
      </c>
      <c r="F26" s="70">
        <f t="shared" si="0"/>
        <v>2.3725806451612903</v>
      </c>
      <c r="I26" s="460" t="s">
        <v>1439</v>
      </c>
      <c r="J26" s="9"/>
      <c r="K26" s="9" t="s">
        <v>842</v>
      </c>
      <c r="L26" s="12">
        <f t="shared" si="1"/>
        <v>97.5</v>
      </c>
      <c r="M26" s="31">
        <f t="shared" si="2"/>
        <v>1</v>
      </c>
      <c r="N26" s="31">
        <f t="shared" si="3"/>
        <v>2.0037638290439048</v>
      </c>
    </row>
    <row r="27" spans="1:14">
      <c r="A27" s="556" t="s">
        <v>841</v>
      </c>
      <c r="B27" s="179">
        <v>73.3</v>
      </c>
      <c r="C27" s="70">
        <v>3</v>
      </c>
      <c r="D27" s="70">
        <v>3.36</v>
      </c>
      <c r="E27" s="431">
        <v>150</v>
      </c>
      <c r="F27" s="70">
        <f t="shared" si="0"/>
        <v>3.7325806451612902</v>
      </c>
      <c r="I27" s="460" t="s">
        <v>1426</v>
      </c>
      <c r="J27" s="9"/>
      <c r="K27" s="9" t="s">
        <v>1281</v>
      </c>
      <c r="L27" s="12">
        <f>B$40</f>
        <v>0</v>
      </c>
      <c r="M27" s="12">
        <f>C$40</f>
        <v>5</v>
      </c>
      <c r="N27" s="31">
        <f>F$40</f>
        <v>2.3235483870967744</v>
      </c>
    </row>
    <row r="28" spans="1:14">
      <c r="A28" s="559" t="s">
        <v>310</v>
      </c>
      <c r="B28" s="179">
        <v>73.3</v>
      </c>
      <c r="C28" s="70">
        <v>3</v>
      </c>
      <c r="D28" s="70">
        <v>3.36</v>
      </c>
      <c r="E28" s="431">
        <v>150</v>
      </c>
      <c r="F28" s="70">
        <f t="shared" si="0"/>
        <v>3.7325806451612902</v>
      </c>
      <c r="I28" s="9"/>
      <c r="J28" s="9"/>
      <c r="K28" s="9" t="s">
        <v>1315</v>
      </c>
      <c r="L28" s="12">
        <f>B$40</f>
        <v>0</v>
      </c>
      <c r="M28" s="12">
        <f>C$40</f>
        <v>5</v>
      </c>
      <c r="N28" s="31">
        <f>F$40</f>
        <v>2.3235483870967744</v>
      </c>
    </row>
    <row r="29" spans="1:14">
      <c r="A29" s="559" t="s">
        <v>311</v>
      </c>
      <c r="B29" s="181">
        <v>37.049999999999997</v>
      </c>
      <c r="C29" s="70">
        <v>3</v>
      </c>
      <c r="D29" s="70">
        <v>3.36</v>
      </c>
      <c r="E29" s="431">
        <v>150</v>
      </c>
      <c r="F29" s="70">
        <f t="shared" si="0"/>
        <v>3.7325806451612902</v>
      </c>
      <c r="I29" s="9"/>
      <c r="J29" s="9"/>
      <c r="K29" s="9" t="s">
        <v>847</v>
      </c>
      <c r="L29" s="12">
        <f>VLOOKUP($K29,$A$5:$F$47,2,0)</f>
        <v>0</v>
      </c>
      <c r="M29" s="31">
        <f>VLOOKUP($K29,$A$5:$F$47,3,0)</f>
        <v>5</v>
      </c>
      <c r="N29" s="31">
        <f>VLOOKUP($K29,$A$5:$F$47,6,0)</f>
        <v>1.0241935483870968</v>
      </c>
    </row>
    <row r="30" spans="1:14">
      <c r="A30" s="559" t="s">
        <v>312</v>
      </c>
      <c r="B30" s="181">
        <v>0</v>
      </c>
      <c r="C30" s="70">
        <v>3</v>
      </c>
      <c r="D30" s="70">
        <v>3.36</v>
      </c>
      <c r="E30" s="431">
        <v>150</v>
      </c>
      <c r="F30" s="70">
        <f t="shared" si="0"/>
        <v>3.7325806451612902</v>
      </c>
      <c r="I30" s="9"/>
      <c r="J30" s="9"/>
      <c r="K30" s="9" t="s">
        <v>608</v>
      </c>
      <c r="L30" s="12">
        <f>VLOOKUP($K30,$A$5:$F$47,2,0)</f>
        <v>27.51</v>
      </c>
      <c r="M30" s="31">
        <f>VLOOKUP($K30,$A$5:$F$47,3,0)</f>
        <v>5</v>
      </c>
      <c r="N30" s="31">
        <f>VLOOKUP($K30,$A$5:$F$47,6,0)</f>
        <v>2.4725806451612904</v>
      </c>
    </row>
    <row r="31" spans="1:14">
      <c r="A31" s="559" t="s">
        <v>313</v>
      </c>
      <c r="B31" s="179">
        <v>80.7</v>
      </c>
      <c r="C31" s="70">
        <v>3</v>
      </c>
      <c r="D31" s="70">
        <v>3.36</v>
      </c>
      <c r="E31" s="431">
        <v>150</v>
      </c>
      <c r="F31" s="70">
        <f t="shared" si="0"/>
        <v>3.7325806451612902</v>
      </c>
      <c r="I31" s="9"/>
      <c r="J31" s="9"/>
      <c r="K31" s="9" t="s">
        <v>609</v>
      </c>
      <c r="L31" s="12">
        <f>VLOOKUP($K31,$A$5:$F$47,2,0)</f>
        <v>85.85</v>
      </c>
      <c r="M31" s="31">
        <f>VLOOKUP($K31,$A$5:$F$47,3,0)</f>
        <v>5</v>
      </c>
      <c r="N31" s="31">
        <f>VLOOKUP($K31,$A$5:$F$47,6,0)</f>
        <v>2.3235483870967744</v>
      </c>
    </row>
    <row r="32" spans="1:14">
      <c r="A32" s="560" t="s">
        <v>839</v>
      </c>
      <c r="B32" s="180">
        <v>73.3</v>
      </c>
      <c r="C32" s="73">
        <v>3</v>
      </c>
      <c r="D32" s="73">
        <v>3.36</v>
      </c>
      <c r="E32" s="432">
        <v>150</v>
      </c>
      <c r="F32" s="73">
        <f t="shared" si="0"/>
        <v>3.7325806451612902</v>
      </c>
      <c r="I32" s="460" t="s">
        <v>1397</v>
      </c>
      <c r="J32" s="9"/>
      <c r="K32" s="9" t="s">
        <v>951</v>
      </c>
      <c r="L32" s="12">
        <f>VLOOKUP($K32,$A$5:$F$47,2,0)</f>
        <v>56.1</v>
      </c>
      <c r="M32" s="31">
        <f>VLOOKUP($K32,$A$5:$F$47,3,0)</f>
        <v>1.5</v>
      </c>
      <c r="N32" s="31">
        <f>VLOOKUP($K32,$A$5:$F$47,6,0)</f>
        <v>1.1241935483870968</v>
      </c>
    </row>
    <row r="33" spans="1:14">
      <c r="A33" s="554" t="s">
        <v>833</v>
      </c>
      <c r="B33" s="179">
        <v>57.6</v>
      </c>
      <c r="C33" s="69">
        <v>1</v>
      </c>
      <c r="D33" s="69">
        <v>1</v>
      </c>
      <c r="E33" s="430">
        <v>50</v>
      </c>
      <c r="F33" s="69">
        <f t="shared" si="0"/>
        <v>1.1241935483870968</v>
      </c>
      <c r="I33" s="172"/>
      <c r="J33" s="9"/>
      <c r="K33" s="9" t="s">
        <v>1348</v>
      </c>
      <c r="L33" s="12">
        <f>B45</f>
        <v>0</v>
      </c>
      <c r="M33" s="31">
        <f>C35</f>
        <v>1.5</v>
      </c>
      <c r="N33" s="31">
        <f>F35</f>
        <v>1.1241935483870968</v>
      </c>
    </row>
    <row r="34" spans="1:14">
      <c r="A34" s="556" t="s">
        <v>843</v>
      </c>
      <c r="B34" s="179">
        <v>61.6</v>
      </c>
      <c r="C34" s="70">
        <v>1</v>
      </c>
      <c r="D34" s="70">
        <v>1</v>
      </c>
      <c r="E34" s="431">
        <v>50</v>
      </c>
      <c r="F34" s="70">
        <f t="shared" si="0"/>
        <v>1.1241935483870968</v>
      </c>
      <c r="I34" s="460" t="s">
        <v>1398</v>
      </c>
      <c r="J34" s="9"/>
      <c r="K34" s="9" t="s">
        <v>1084</v>
      </c>
      <c r="L34" s="12">
        <f>VLOOKUP($K34,$A$5:$F$47,2,0)</f>
        <v>63.1</v>
      </c>
      <c r="M34" s="31">
        <f>VLOOKUP($K34,$A$5:$F$47,3,0)</f>
        <v>1.18</v>
      </c>
      <c r="N34" s="31">
        <f>VLOOKUP($K34,$A$5:$F$47,6,0)</f>
        <v>1.2483870967741935</v>
      </c>
    </row>
    <row r="35" spans="1:14">
      <c r="A35" s="556" t="s">
        <v>951</v>
      </c>
      <c r="B35" s="179">
        <v>56.1</v>
      </c>
      <c r="C35" s="70">
        <v>1.5</v>
      </c>
      <c r="D35" s="70">
        <v>1</v>
      </c>
      <c r="E35" s="431">
        <v>50</v>
      </c>
      <c r="F35" s="70">
        <f t="shared" si="0"/>
        <v>1.1241935483870968</v>
      </c>
      <c r="I35" s="460" t="s">
        <v>1399</v>
      </c>
      <c r="J35" s="9"/>
      <c r="K35" s="9" t="s">
        <v>953</v>
      </c>
      <c r="L35" s="12">
        <f>VLOOKUP($K35,$A$5:$F$47,2,0)</f>
        <v>104.5</v>
      </c>
      <c r="M35" s="31">
        <f>VLOOKUP($K35,$A$5:$F$47,3,0)</f>
        <v>3</v>
      </c>
      <c r="N35" s="31">
        <f>VLOOKUP($K35,$A$5:$F$47,6,0)</f>
        <v>3.3229032258064515</v>
      </c>
    </row>
    <row r="36" spans="1:14">
      <c r="A36" s="556" t="s">
        <v>832</v>
      </c>
      <c r="B36" s="179">
        <v>44.4</v>
      </c>
      <c r="C36" s="70">
        <v>1.5</v>
      </c>
      <c r="D36" s="70">
        <v>0.1</v>
      </c>
      <c r="E36" s="431">
        <v>50</v>
      </c>
      <c r="F36" s="70">
        <f t="shared" si="0"/>
        <v>0.22419354838709676</v>
      </c>
      <c r="I36" s="460" t="s">
        <v>1400</v>
      </c>
      <c r="J36" s="9"/>
      <c r="K36" s="9" t="s">
        <v>952</v>
      </c>
      <c r="L36" s="12">
        <f>VLOOKUP($K36,$A$5:$F$47,2,0)</f>
        <v>94.6</v>
      </c>
      <c r="M36" s="31">
        <f>VLOOKUP($K36,$A$5:$F$47,3,0)</f>
        <v>1</v>
      </c>
      <c r="N36" s="31">
        <f>VLOOKUP($K36,$A$5:$F$47,6,0)</f>
        <v>3.3229032258064515</v>
      </c>
    </row>
    <row r="37" spans="1:14">
      <c r="A37" s="556" t="s">
        <v>956</v>
      </c>
      <c r="B37" s="179">
        <v>44.4</v>
      </c>
      <c r="C37" s="70">
        <v>5</v>
      </c>
      <c r="D37" s="70">
        <v>0.1</v>
      </c>
      <c r="E37" s="431">
        <v>80</v>
      </c>
      <c r="F37" s="70">
        <f t="shared" si="0"/>
        <v>0.29870967741935484</v>
      </c>
      <c r="I37" s="460" t="s">
        <v>1401</v>
      </c>
      <c r="J37" s="9"/>
      <c r="K37" s="9" t="s">
        <v>954</v>
      </c>
      <c r="L37" s="178">
        <f>VLOOKUP($K37,$A$5:$F$47,2,0)</f>
        <v>104.86</v>
      </c>
      <c r="M37" s="31">
        <f>VLOOKUP($K37,$A$5:$F$47,3,0)</f>
        <v>1</v>
      </c>
      <c r="N37" s="31">
        <f>VLOOKUP($K37,$A$5:$F$47,6,0)</f>
        <v>3.1987096774193549</v>
      </c>
    </row>
    <row r="38" spans="1:14">
      <c r="A38" s="557" t="s">
        <v>1084</v>
      </c>
      <c r="B38" s="179">
        <v>63.1</v>
      </c>
      <c r="C38" s="72">
        <v>1.18</v>
      </c>
      <c r="D38" s="73">
        <v>1</v>
      </c>
      <c r="E38" s="432">
        <v>100</v>
      </c>
      <c r="F38" s="73">
        <f t="shared" si="0"/>
        <v>1.2483870967741935</v>
      </c>
      <c r="I38" s="460"/>
      <c r="J38" s="9"/>
      <c r="K38" s="9" t="s">
        <v>846</v>
      </c>
      <c r="L38" s="178">
        <v>0</v>
      </c>
      <c r="M38" s="31">
        <f>M27</f>
        <v>5</v>
      </c>
      <c r="N38" s="31">
        <f>N27</f>
        <v>2.3235483870967744</v>
      </c>
    </row>
    <row r="39" spans="1:14">
      <c r="A39" s="554" t="s">
        <v>846</v>
      </c>
      <c r="B39" s="74">
        <v>0</v>
      </c>
      <c r="C39" s="449">
        <v>5</v>
      </c>
      <c r="D39" s="74">
        <v>2.1</v>
      </c>
      <c r="E39" s="74">
        <v>90</v>
      </c>
      <c r="F39" s="69">
        <f t="shared" si="0"/>
        <v>2.3235483870967744</v>
      </c>
      <c r="I39" s="460" t="s">
        <v>1402</v>
      </c>
      <c r="J39" s="9"/>
      <c r="K39" s="9" t="s">
        <v>956</v>
      </c>
      <c r="L39" s="12">
        <f>VLOOKUP($K39,$A$5:$F$47,2,0)</f>
        <v>44.4</v>
      </c>
      <c r="M39" s="31">
        <f>VLOOKUP($K39,$A$5:$F$47,3,0)</f>
        <v>5</v>
      </c>
      <c r="N39" s="31">
        <f>VLOOKUP($K39,$A$5:$F$47,6,0)</f>
        <v>0.29870967741935484</v>
      </c>
    </row>
    <row r="40" spans="1:14">
      <c r="A40" s="556" t="s">
        <v>606</v>
      </c>
      <c r="B40" s="71">
        <v>0</v>
      </c>
      <c r="C40" s="450">
        <v>5</v>
      </c>
      <c r="D40" s="71">
        <v>2.1</v>
      </c>
      <c r="E40" s="71">
        <v>90</v>
      </c>
      <c r="F40" s="70">
        <f t="shared" si="0"/>
        <v>2.3235483870967744</v>
      </c>
      <c r="I40" s="460" t="s">
        <v>1403</v>
      </c>
      <c r="J40" s="9"/>
      <c r="K40" s="9" t="s">
        <v>830</v>
      </c>
      <c r="L40" s="12">
        <f>VLOOKUP($K40,$A$5:$F$47,2,0)</f>
        <v>0</v>
      </c>
      <c r="M40" s="31">
        <f>VLOOKUP($K40,$A$5:$F$47,3,0)</f>
        <v>1</v>
      </c>
      <c r="N40" s="31">
        <f>VLOOKUP($K40,$A$5:$F$47,6,0)</f>
        <v>0.29870967741935484</v>
      </c>
    </row>
    <row r="41" spans="1:14">
      <c r="A41" s="556" t="s">
        <v>1289</v>
      </c>
      <c r="B41" s="71">
        <v>0</v>
      </c>
      <c r="C41" s="450">
        <v>5</v>
      </c>
      <c r="D41" s="71">
        <v>2.1</v>
      </c>
      <c r="E41" s="71">
        <v>90</v>
      </c>
      <c r="F41" s="70">
        <f t="shared" si="0"/>
        <v>2.3235483870967744</v>
      </c>
      <c r="I41" s="460" t="s">
        <v>1404</v>
      </c>
      <c r="J41" s="9"/>
      <c r="K41" s="9" t="s">
        <v>835</v>
      </c>
      <c r="L41" s="12">
        <f>VLOOKUP($K41,$A$5:$F$47,2,0)</f>
        <v>77.400000000000006</v>
      </c>
      <c r="M41" s="31">
        <f>VLOOKUP($K41,$A$5:$F$47,3,0)</f>
        <v>2.6</v>
      </c>
      <c r="N41" s="31">
        <f>VLOOKUP($K41,$A$5:$F$47,6,0)</f>
        <v>2.3725806451612903</v>
      </c>
    </row>
    <row r="42" spans="1:14">
      <c r="A42" s="556" t="s">
        <v>609</v>
      </c>
      <c r="B42" s="71">
        <v>85.85</v>
      </c>
      <c r="C42" s="450">
        <v>5</v>
      </c>
      <c r="D42" s="71">
        <v>2.1</v>
      </c>
      <c r="E42" s="71">
        <v>90</v>
      </c>
      <c r="F42" s="70">
        <f t="shared" si="0"/>
        <v>2.3235483870967744</v>
      </c>
      <c r="I42" s="460" t="s">
        <v>1405</v>
      </c>
      <c r="J42" s="9"/>
      <c r="K42" s="9" t="s">
        <v>836</v>
      </c>
      <c r="L42" s="12">
        <f>VLOOKUP($K42,$A$5:$F$47,2,0)</f>
        <v>74.099999999999994</v>
      </c>
      <c r="M42" s="31">
        <f>VLOOKUP($K42,$A$5:$F$47,3,0)</f>
        <v>2.6</v>
      </c>
      <c r="N42" s="31">
        <f>VLOOKUP($K42,$A$5:$F$47,6,0)</f>
        <v>1.9725806451612904</v>
      </c>
    </row>
    <row r="43" spans="1:14">
      <c r="A43" s="556" t="s">
        <v>608</v>
      </c>
      <c r="B43" s="71">
        <f>91.7*0.3</f>
        <v>27.51</v>
      </c>
      <c r="C43" s="450">
        <v>5</v>
      </c>
      <c r="D43" s="71">
        <v>2.1</v>
      </c>
      <c r="E43" s="71">
        <v>150</v>
      </c>
      <c r="F43" s="70">
        <f t="shared" si="0"/>
        <v>2.4725806451612904</v>
      </c>
      <c r="I43" s="9"/>
      <c r="J43" s="9"/>
      <c r="K43" s="9" t="s">
        <v>837</v>
      </c>
      <c r="L43" s="12">
        <f>VLOOKUP($K43,$A$5:$F$47,2,0)</f>
        <v>71.900000000000006</v>
      </c>
      <c r="M43" s="31">
        <f>VLOOKUP($K43,$A$5:$F$47,3,0)</f>
        <v>3</v>
      </c>
      <c r="N43" s="31">
        <f>VLOOKUP($K43,$A$5:$F$47,6,0)</f>
        <v>1.9725806451612904</v>
      </c>
    </row>
    <row r="44" spans="1:14">
      <c r="A44" s="556" t="s">
        <v>1281</v>
      </c>
      <c r="B44" s="71">
        <v>0</v>
      </c>
      <c r="C44" s="450">
        <v>5</v>
      </c>
      <c r="D44" s="71">
        <v>2.1</v>
      </c>
      <c r="E44" s="71">
        <f>E40</f>
        <v>90</v>
      </c>
      <c r="F44" s="70">
        <f t="shared" si="0"/>
        <v>2.3235483870967744</v>
      </c>
      <c r="I44" s="9"/>
      <c r="J44" s="9"/>
      <c r="K44" s="9" t="s">
        <v>1289</v>
      </c>
      <c r="L44" s="12">
        <f>B47</f>
        <v>0</v>
      </c>
      <c r="M44" s="12">
        <f>C47</f>
        <v>5</v>
      </c>
      <c r="N44" s="31">
        <f>F47</f>
        <v>1.0241935483870968</v>
      </c>
    </row>
    <row r="45" spans="1:14">
      <c r="A45" s="556" t="s">
        <v>847</v>
      </c>
      <c r="B45" s="71">
        <v>0</v>
      </c>
      <c r="C45" s="450">
        <v>5</v>
      </c>
      <c r="D45" s="71">
        <v>0.9</v>
      </c>
      <c r="E45" s="71">
        <v>50</v>
      </c>
      <c r="F45" s="70">
        <f t="shared" si="0"/>
        <v>1.0241935483870968</v>
      </c>
      <c r="I45" s="460" t="s">
        <v>1406</v>
      </c>
      <c r="J45" s="9"/>
      <c r="K45" s="9" t="s">
        <v>1289</v>
      </c>
      <c r="L45" s="12">
        <f>B47</f>
        <v>0</v>
      </c>
      <c r="M45" s="12">
        <f>C47</f>
        <v>5</v>
      </c>
      <c r="N45" s="31">
        <f>F47</f>
        <v>1.0241935483870968</v>
      </c>
    </row>
    <row r="46" spans="1:14">
      <c r="A46" s="559" t="s">
        <v>314</v>
      </c>
      <c r="B46" s="71">
        <v>0</v>
      </c>
      <c r="C46" s="450">
        <v>5</v>
      </c>
      <c r="D46" s="71">
        <v>0.9</v>
      </c>
      <c r="E46" s="71">
        <v>50</v>
      </c>
      <c r="F46" s="70">
        <f t="shared" si="0"/>
        <v>1.0241935483870968</v>
      </c>
      <c r="I46" s="9"/>
      <c r="J46" s="9"/>
      <c r="K46" s="9" t="s">
        <v>1291</v>
      </c>
      <c r="L46" s="12">
        <f>B47</f>
        <v>0</v>
      </c>
      <c r="M46" s="12">
        <f>C47</f>
        <v>5</v>
      </c>
      <c r="N46" s="31">
        <f>F47</f>
        <v>1.0241935483870968</v>
      </c>
    </row>
    <row r="47" spans="1:14">
      <c r="A47" s="560" t="s">
        <v>315</v>
      </c>
      <c r="B47" s="72">
        <v>0</v>
      </c>
      <c r="C47" s="451">
        <v>5</v>
      </c>
      <c r="D47" s="72">
        <v>0.9</v>
      </c>
      <c r="E47" s="72">
        <v>50</v>
      </c>
      <c r="F47" s="73">
        <f t="shared" si="0"/>
        <v>1.0241935483870968</v>
      </c>
      <c r="I47" s="460" t="s">
        <v>1407</v>
      </c>
      <c r="J47" s="9"/>
      <c r="K47" s="9" t="s">
        <v>843</v>
      </c>
      <c r="L47" s="12">
        <f>VLOOKUP($K47,$A$5:$F$47,2,0)</f>
        <v>61.6</v>
      </c>
      <c r="M47" s="31">
        <f>VLOOKUP($K47,$A$5:$F$47,3,0)</f>
        <v>1</v>
      </c>
      <c r="N47" s="31">
        <f>VLOOKUP($K47,$A$5:$F$47,6,0)</f>
        <v>1.1241935483870968</v>
      </c>
    </row>
    <row r="48" spans="1:14">
      <c r="A48" s="75" t="s">
        <v>318</v>
      </c>
      <c r="I48" s="9"/>
      <c r="J48" s="9"/>
      <c r="K48" s="9" t="s">
        <v>833</v>
      </c>
      <c r="L48" s="12">
        <f>VLOOKUP($K48,$A$5:$F$47,2,0)</f>
        <v>57.6</v>
      </c>
      <c r="M48" s="31">
        <f>VLOOKUP($K48,$A$5:$F$47,3,0)</f>
        <v>1</v>
      </c>
      <c r="N48" s="31">
        <f>VLOOKUP($K48,$A$5:$F$47,6,0)</f>
        <v>1.1241935483870968</v>
      </c>
    </row>
    <row r="49" spans="1:14">
      <c r="A49" s="76" t="s">
        <v>316</v>
      </c>
      <c r="I49" s="460" t="s">
        <v>1408</v>
      </c>
      <c r="J49" s="9"/>
      <c r="K49" s="9" t="s">
        <v>841</v>
      </c>
      <c r="L49" s="12">
        <f>VLOOKUP($K49,$A$5:$F$47,2,0)</f>
        <v>73.3</v>
      </c>
      <c r="M49" s="31">
        <f>VLOOKUP($K49,$A$5:$F$47,3,0)</f>
        <v>3</v>
      </c>
      <c r="N49" s="31">
        <f>VLOOKUP($K49,$A$5:$F$47,6,0)</f>
        <v>3.7325806451612902</v>
      </c>
    </row>
    <row r="50" spans="1:14" ht="14.25" customHeight="1">
      <c r="A50" s="76" t="s">
        <v>317</v>
      </c>
      <c r="I50" s="460" t="s">
        <v>1409</v>
      </c>
      <c r="J50" s="9"/>
      <c r="K50" s="9" t="s">
        <v>836</v>
      </c>
      <c r="L50" s="12">
        <f>VLOOKUP($K50,$A$5:$F$47,2,0)</f>
        <v>74.099999999999994</v>
      </c>
      <c r="M50" s="31">
        <f>VLOOKUP($K50,$A$5:$F$47,3,0)</f>
        <v>2.6</v>
      </c>
      <c r="N50" s="31">
        <f>VLOOKUP($K50,$A$5:$F$47,6,0)</f>
        <v>1.9725806451612904</v>
      </c>
    </row>
    <row r="51" spans="1:14" ht="12.75" customHeight="1">
      <c r="A51" s="182" t="s">
        <v>730</v>
      </c>
      <c r="I51" s="9"/>
      <c r="J51" s="9"/>
      <c r="K51" s="9" t="s">
        <v>837</v>
      </c>
      <c r="L51" s="12">
        <f>VLOOKUP($K51,$A$5:$F$47,2,0)</f>
        <v>71.900000000000006</v>
      </c>
      <c r="M51" s="31">
        <f>VLOOKUP($K51,$A$5:$F$47,3,0)</f>
        <v>3</v>
      </c>
      <c r="N51" s="31">
        <f>VLOOKUP($K51,$A$5:$F$47,6,0)</f>
        <v>1.9725806451612904</v>
      </c>
    </row>
    <row r="52" spans="1:14">
      <c r="A52"/>
      <c r="I52" s="9"/>
      <c r="J52" s="9"/>
      <c r="K52" s="9" t="s">
        <v>1289</v>
      </c>
      <c r="L52" s="12">
        <v>0</v>
      </c>
      <c r="M52" s="31">
        <f>C47</f>
        <v>5</v>
      </c>
      <c r="N52" s="31">
        <f>F47</f>
        <v>1.0241935483870968</v>
      </c>
    </row>
    <row r="53" spans="1:14">
      <c r="A53" t="s">
        <v>661</v>
      </c>
      <c r="I53" s="460" t="s">
        <v>1410</v>
      </c>
      <c r="J53" s="9"/>
      <c r="K53" s="9" t="s">
        <v>1281</v>
      </c>
      <c r="L53" s="12">
        <f>B$40</f>
        <v>0</v>
      </c>
      <c r="M53" s="31">
        <f>C$40</f>
        <v>5</v>
      </c>
      <c r="N53" s="31">
        <f>F$40</f>
        <v>2.3235483870967744</v>
      </c>
    </row>
    <row r="54" spans="1:14">
      <c r="A54" t="s">
        <v>731</v>
      </c>
      <c r="I54" s="9"/>
      <c r="J54" s="9"/>
      <c r="K54" s="9" t="s">
        <v>1315</v>
      </c>
      <c r="L54" s="12">
        <f>B$40</f>
        <v>0</v>
      </c>
      <c r="M54" s="31">
        <f>C$40</f>
        <v>5</v>
      </c>
      <c r="N54" s="31">
        <f>F$40</f>
        <v>2.3235483870967744</v>
      </c>
    </row>
    <row r="55" spans="1:14">
      <c r="A55" t="s">
        <v>729</v>
      </c>
      <c r="I55" s="460" t="s">
        <v>1427</v>
      </c>
      <c r="J55" s="9"/>
      <c r="K55" s="9" t="s">
        <v>1281</v>
      </c>
      <c r="L55" s="12">
        <f>VLOOKUP($K55,$A$5:$F$47,2,0)</f>
        <v>0</v>
      </c>
      <c r="M55" s="31">
        <f>VLOOKUP($K55,$A$5:$F$47,3,0)</f>
        <v>5</v>
      </c>
      <c r="N55" s="31">
        <f>VLOOKUP($K55,$A$5:$F$47,6,0)</f>
        <v>2.3235483870967744</v>
      </c>
    </row>
    <row r="56" spans="1:14">
      <c r="I56" s="460" t="s">
        <v>1412</v>
      </c>
      <c r="J56" s="9"/>
      <c r="K56" s="9" t="s">
        <v>607</v>
      </c>
      <c r="L56" s="12">
        <f>L55</f>
        <v>0</v>
      </c>
      <c r="M56" s="31">
        <v>2</v>
      </c>
      <c r="N56" s="31">
        <f>F46</f>
        <v>1.0241935483870968</v>
      </c>
    </row>
    <row r="57" spans="1:14">
      <c r="A57" s="76" t="s">
        <v>761</v>
      </c>
      <c r="I57" s="575" t="s">
        <v>1454</v>
      </c>
      <c r="J57" s="9"/>
      <c r="K57" s="9" t="s">
        <v>847</v>
      </c>
      <c r="L57" s="12">
        <f>VLOOKUP($K57,$A$5:$F$47,2,0)</f>
        <v>0</v>
      </c>
      <c r="M57" s="31">
        <f>VLOOKUP($K57,$A$5:$F$47,3,0)</f>
        <v>5</v>
      </c>
      <c r="N57" s="31">
        <f>VLOOKUP($K57,$A$5:$F$47,6,0)</f>
        <v>1.0241935483870968</v>
      </c>
    </row>
    <row r="58" spans="1:14">
      <c r="A58" s="76" t="s">
        <v>762</v>
      </c>
      <c r="I58" s="575" t="s">
        <v>1501</v>
      </c>
      <c r="J58" s="9"/>
      <c r="K58" s="9" t="s">
        <v>186</v>
      </c>
      <c r="L58" s="12">
        <v>0</v>
      </c>
      <c r="M58" s="31">
        <f>C$34</f>
        <v>1</v>
      </c>
      <c r="N58" s="31">
        <f>F$34</f>
        <v>1.1241935483870968</v>
      </c>
    </row>
    <row r="59" spans="1:14">
      <c r="A59" s="76" t="s">
        <v>763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114"/>
  <sheetViews>
    <sheetView topLeftCell="A27"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5.28515625" customWidth="1"/>
    <col min="3" max="3" width="32.28515625" bestFit="1" customWidth="1"/>
    <col min="6" max="6" width="8.85546875" customWidth="1"/>
  </cols>
  <sheetData>
    <row r="1" spans="1:24">
      <c r="F1" s="223"/>
    </row>
    <row r="2" spans="1:24">
      <c r="F2" s="224"/>
    </row>
    <row r="3" spans="1:24">
      <c r="B3" s="6"/>
      <c r="F3" s="224"/>
    </row>
    <row r="4" spans="1:24">
      <c r="F4" s="224"/>
    </row>
    <row r="5" spans="1:24" ht="18">
      <c r="B5" s="86" t="s">
        <v>87</v>
      </c>
      <c r="C5" s="88"/>
      <c r="D5" s="123"/>
      <c r="E5" s="91"/>
      <c r="F5" s="225" t="str">
        <f>"~FI_T: EUR10~"&amp;Region</f>
        <v>~FI_T: EUR10~FIN</v>
      </c>
    </row>
    <row r="6" spans="1:24" ht="39" thickBot="1">
      <c r="A6" s="7"/>
      <c r="B6" s="45" t="s">
        <v>649</v>
      </c>
      <c r="C6" s="45" t="s">
        <v>650</v>
      </c>
      <c r="D6" s="45" t="s">
        <v>648</v>
      </c>
      <c r="E6" s="45" t="s">
        <v>651</v>
      </c>
      <c r="F6" s="64" t="s">
        <v>773</v>
      </c>
      <c r="G6" s="64" t="s">
        <v>1377</v>
      </c>
      <c r="H6" s="64" t="s">
        <v>1378</v>
      </c>
      <c r="I6" s="64" t="s">
        <v>388</v>
      </c>
      <c r="J6" s="64" t="str">
        <f ca="1">"INPUT~"&amp;AuxYear</f>
        <v>INPUT~2017</v>
      </c>
      <c r="K6" s="64" t="str">
        <f ca="1">"RESID~"&amp;BaseYear</f>
        <v>RESID~2010</v>
      </c>
      <c r="L6" s="45" t="str">
        <f ca="1">"RESID~"&amp;AuxYear</f>
        <v>RESID~2017</v>
      </c>
      <c r="M6" s="821" t="str">
        <f ca="1">"RESID~"&amp;CEILING(AuxYear+35,5)</f>
        <v>RESID~2055</v>
      </c>
      <c r="N6" s="45" t="s">
        <v>79</v>
      </c>
      <c r="O6" s="45" t="s">
        <v>872</v>
      </c>
      <c r="P6" s="821" t="s">
        <v>848</v>
      </c>
      <c r="Q6" s="821" t="str">
        <f ca="1">"AFA~"&amp;CEILING(AuxYear+2,5)</f>
        <v>AFA~2020</v>
      </c>
      <c r="R6" s="64" t="s">
        <v>52</v>
      </c>
      <c r="S6" s="64" t="s">
        <v>51</v>
      </c>
      <c r="T6" s="821" t="s">
        <v>556</v>
      </c>
      <c r="U6" s="821" t="s">
        <v>1093</v>
      </c>
      <c r="V6" s="45" t="str">
        <f ca="1">"ACT_BND~UP~"&amp;AuxYear</f>
        <v>ACT_BND~UP~2017</v>
      </c>
      <c r="W6" s="821" t="s">
        <v>1223</v>
      </c>
      <c r="X6" s="821" t="s">
        <v>389</v>
      </c>
    </row>
    <row r="7" spans="1:24" ht="25.5">
      <c r="B7" s="35" t="s">
        <v>44</v>
      </c>
      <c r="C7" s="143" t="s">
        <v>45</v>
      </c>
      <c r="D7" s="792" t="str">
        <f ca="1">IND_Fuels!E71</f>
        <v>INDNUC</v>
      </c>
      <c r="E7" s="52" t="str">
        <f ca="1">IEAData!$B$38</f>
        <v>INDELC</v>
      </c>
      <c r="F7" s="9"/>
      <c r="G7" s="21">
        <f ca="1">IEAData!BE64</f>
        <v>0</v>
      </c>
      <c r="H7" s="21">
        <f ca="1">AuxData!BE64</f>
        <v>0</v>
      </c>
      <c r="I7" s="542">
        <f ca="1">IF(SUM($G$7:$G$7)=0,0,MAX(0,G7/SUM($G$7:$G$7)))</f>
        <v>0</v>
      </c>
      <c r="J7" s="9"/>
      <c r="K7" s="345">
        <f>SUM(G7:G7)/P7/N7</f>
        <v>0</v>
      </c>
      <c r="L7" s="9"/>
      <c r="M7" s="9">
        <v>0</v>
      </c>
      <c r="N7" s="12">
        <v>0.7</v>
      </c>
      <c r="O7" s="12"/>
      <c r="P7" s="9">
        <v>3.1536000000000002E-2</v>
      </c>
      <c r="Q7" s="9"/>
      <c r="R7" s="9"/>
      <c r="S7" s="62">
        <v>0.5</v>
      </c>
      <c r="T7" s="9">
        <v>50</v>
      </c>
      <c r="U7" s="9"/>
      <c r="V7" s="9"/>
      <c r="W7" s="9"/>
      <c r="X7" s="9"/>
    </row>
    <row r="8" spans="1:24">
      <c r="B8" s="263" t="str">
        <f t="shared" ref="B8:B23" si="0">"EAELC"&amp;MID(D8,4,3)&amp;"00"</f>
        <v>EAELCNGA00</v>
      </c>
      <c r="C8" s="144" t="str">
        <f t="shared" ref="C8:C23" si="1">"Autoprod of ELC with "&amp;MID(D8,4,3)</f>
        <v>Autoprod of ELC with NGA</v>
      </c>
      <c r="D8" s="9" t="str">
        <f ca="1">IEAData!C$38</f>
        <v>INDNGA</v>
      </c>
      <c r="E8" s="9" t="str">
        <f ca="1">IEAData!$B$38</f>
        <v>INDELC</v>
      </c>
      <c r="F8" s="9"/>
      <c r="G8" s="21">
        <f ca="1">IEAData!BE49</f>
        <v>4.1063829610692534E-2</v>
      </c>
      <c r="H8" s="21">
        <f ca="1">AuxData!BE49</f>
        <v>2.7402454644696875E-2</v>
      </c>
      <c r="I8" s="62">
        <f ca="1">IF(IEAData!AY49=0,3,IEAData!AY49/G8)</f>
        <v>3.0016536004694681</v>
      </c>
      <c r="J8" s="62">
        <f ca="1">IF(AuxData!AY49=0,3,AuxData!AY49/H8)</f>
        <v>3.0872599224015911</v>
      </c>
      <c r="K8" s="345">
        <f t="shared" ref="K8:K22" si="2">G8/$P7/$N8</f>
        <v>1.8601792785883042</v>
      </c>
      <c r="L8" s="345">
        <f t="shared" ref="L8:L22" si="3">H8/$P7/$N8</f>
        <v>1.2413230523255452</v>
      </c>
      <c r="M8" s="9">
        <v>0</v>
      </c>
      <c r="N8" s="12">
        <v>0.7</v>
      </c>
      <c r="O8" s="12"/>
      <c r="P8" s="9">
        <v>3.1536000000000002E-2</v>
      </c>
      <c r="Q8" s="9"/>
      <c r="R8" s="9"/>
      <c r="S8" s="62">
        <v>0.61753730279990615</v>
      </c>
      <c r="T8" s="9">
        <v>50</v>
      </c>
      <c r="U8" s="9"/>
      <c r="V8" s="9"/>
      <c r="W8" s="9"/>
      <c r="X8" s="9"/>
    </row>
    <row r="9" spans="1:24">
      <c r="B9" s="263" t="str">
        <f t="shared" si="0"/>
        <v>EAELCLPG00</v>
      </c>
      <c r="C9" s="144" t="str">
        <f t="shared" si="1"/>
        <v>Autoprod of ELC with LPG</v>
      </c>
      <c r="D9" s="9" t="str">
        <f ca="1">IEAData!D$38</f>
        <v>INDLPG</v>
      </c>
      <c r="E9" s="9" t="str">
        <f ca="1">IEAData!$B$38</f>
        <v>INDELC</v>
      </c>
      <c r="F9" s="9"/>
      <c r="G9" s="21">
        <f ca="1">IEAData!BE50</f>
        <v>0</v>
      </c>
      <c r="H9" s="21">
        <f ca="1">AuxData!BE50</f>
        <v>0</v>
      </c>
      <c r="I9" s="62">
        <f ca="1">IF(IEAData!AY50=0,3,IEAData!AY50/G9)</f>
        <v>3</v>
      </c>
      <c r="J9" s="62">
        <f ca="1">IF(AuxData!AY50=0,3,AuxData!AY50/H9)</f>
        <v>3</v>
      </c>
      <c r="K9" s="345">
        <f t="shared" si="2"/>
        <v>0</v>
      </c>
      <c r="L9" s="345">
        <f t="shared" si="3"/>
        <v>0</v>
      </c>
      <c r="M9" s="9">
        <v>0</v>
      </c>
      <c r="N9" s="12">
        <v>0.7</v>
      </c>
      <c r="O9" s="12"/>
      <c r="P9" s="9">
        <v>3.1536000000000002E-2</v>
      </c>
      <c r="Q9" s="9"/>
      <c r="R9" s="9"/>
      <c r="S9" s="62">
        <v>0.61753730279990615</v>
      </c>
      <c r="T9" s="9">
        <v>50</v>
      </c>
      <c r="U9" s="9"/>
      <c r="V9" s="9"/>
      <c r="W9" s="9"/>
      <c r="X9" s="9"/>
    </row>
    <row r="10" spans="1:24">
      <c r="B10" s="263" t="str">
        <f t="shared" si="0"/>
        <v>EAELCNGL00</v>
      </c>
      <c r="C10" s="144" t="str">
        <f t="shared" si="1"/>
        <v>Autoprod of ELC with NGL</v>
      </c>
      <c r="D10" s="9" t="str">
        <f ca="1">IEAData!E$38</f>
        <v>INDNGL</v>
      </c>
      <c r="E10" s="9" t="str">
        <f ca="1">IEAData!$B$38</f>
        <v>INDELC</v>
      </c>
      <c r="F10" s="9"/>
      <c r="G10" s="21">
        <f ca="1">IEAData!BE51</f>
        <v>0</v>
      </c>
      <c r="H10" s="21">
        <f ca="1">AuxData!BE51</f>
        <v>0</v>
      </c>
      <c r="I10" s="62">
        <f ca="1">IF(IEAData!AY51=0,3,IEAData!AY51/G10)</f>
        <v>3</v>
      </c>
      <c r="J10" s="62">
        <f ca="1">IF(AuxData!AY51=0,3,AuxData!AY51/H10)</f>
        <v>3</v>
      </c>
      <c r="K10" s="345">
        <f t="shared" si="2"/>
        <v>0</v>
      </c>
      <c r="L10" s="345">
        <f t="shared" si="3"/>
        <v>0</v>
      </c>
      <c r="M10" s="9">
        <v>0</v>
      </c>
      <c r="N10" s="12">
        <v>0.7</v>
      </c>
      <c r="O10" s="12"/>
      <c r="P10" s="9">
        <v>3.1536000000000002E-2</v>
      </c>
      <c r="Q10" s="9"/>
      <c r="R10" s="9"/>
      <c r="S10" s="62">
        <v>0.61753730279990615</v>
      </c>
      <c r="T10" s="9">
        <v>50</v>
      </c>
      <c r="U10" s="9"/>
      <c r="V10" s="9"/>
      <c r="W10" s="9"/>
      <c r="X10" s="9"/>
    </row>
    <row r="11" spans="1:24">
      <c r="B11" s="263" t="str">
        <f t="shared" si="0"/>
        <v>EAELCCOA00</v>
      </c>
      <c r="C11" s="144" t="str">
        <f t="shared" si="1"/>
        <v>Autoprod of ELC with COA</v>
      </c>
      <c r="D11" s="9" t="str">
        <f ca="1">IEAData!F$38</f>
        <v>INDCOA</v>
      </c>
      <c r="E11" s="9" t="str">
        <f ca="1">IEAData!$B$38</f>
        <v>INDELC</v>
      </c>
      <c r="F11" s="9"/>
      <c r="G11" s="21">
        <f ca="1">IEAData!BE52</f>
        <v>3.8995278556047661E-3</v>
      </c>
      <c r="H11" s="21">
        <f ca="1">AuxData!BE52</f>
        <v>3.4253068305871097E-2</v>
      </c>
      <c r="I11" s="62">
        <f ca="1">IF(IEAData!AY52=0,3,IEAData!AY52/G11)</f>
        <v>6.6674810291790401</v>
      </c>
      <c r="J11" s="62">
        <f ca="1">IF(AuxData!AY52=0,3,AuxData!AY52/H11)</f>
        <v>3.6380945171746961</v>
      </c>
      <c r="K11" s="345">
        <f t="shared" si="2"/>
        <v>0.1766474530516039</v>
      </c>
      <c r="L11" s="345">
        <f t="shared" si="3"/>
        <v>1.5516538154069317</v>
      </c>
      <c r="M11" s="9">
        <v>0</v>
      </c>
      <c r="N11" s="12">
        <v>0.7</v>
      </c>
      <c r="O11" s="12"/>
      <c r="P11" s="9">
        <v>3.1536000000000002E-2</v>
      </c>
      <c r="Q11" s="9"/>
      <c r="R11" s="9"/>
      <c r="S11" s="62">
        <v>1.5896610096868875</v>
      </c>
      <c r="T11" s="9">
        <v>50</v>
      </c>
      <c r="U11" s="9"/>
      <c r="V11" s="9"/>
      <c r="W11" s="9"/>
      <c r="X11" s="9"/>
    </row>
    <row r="12" spans="1:24">
      <c r="B12" s="263" t="str">
        <f t="shared" si="0"/>
        <v>EAELCCOK00</v>
      </c>
      <c r="C12" s="144" t="str">
        <f t="shared" si="1"/>
        <v>Autoprod of ELC with COK</v>
      </c>
      <c r="D12" s="9" t="str">
        <f ca="1">IEAData!G$38</f>
        <v>INDCOK</v>
      </c>
      <c r="E12" s="9" t="str">
        <f ca="1">IEAData!$B$38</f>
        <v>INDELC</v>
      </c>
      <c r="F12" s="9"/>
      <c r="G12" s="21">
        <f ca="1">IEAData!BE53</f>
        <v>0</v>
      </c>
      <c r="H12" s="21">
        <f ca="1">AuxData!BE53</f>
        <v>0</v>
      </c>
      <c r="I12" s="62">
        <f ca="1">IF(IEAData!AY53=0,3,IEAData!AY53/G12)</f>
        <v>3</v>
      </c>
      <c r="J12" s="62">
        <f ca="1">IF(AuxData!AY53=0,3,AuxData!AY53/H12)</f>
        <v>3</v>
      </c>
      <c r="K12" s="345">
        <f t="shared" si="2"/>
        <v>0</v>
      </c>
      <c r="L12" s="345">
        <f t="shared" si="3"/>
        <v>0</v>
      </c>
      <c r="M12" s="9">
        <v>0</v>
      </c>
      <c r="N12" s="12">
        <v>0.7</v>
      </c>
      <c r="O12" s="12"/>
      <c r="P12" s="9">
        <v>3.1536000000000002E-2</v>
      </c>
      <c r="Q12" s="9"/>
      <c r="R12" s="9"/>
      <c r="S12" s="62">
        <v>1.5896610096868875</v>
      </c>
      <c r="T12" s="9">
        <v>50</v>
      </c>
      <c r="U12" s="9"/>
      <c r="V12" s="9"/>
      <c r="W12" s="9"/>
      <c r="X12" s="9"/>
    </row>
    <row r="13" spans="1:24">
      <c r="B13" s="263" t="str">
        <f t="shared" si="0"/>
        <v>EAELCCOG00</v>
      </c>
      <c r="C13" s="144" t="str">
        <f t="shared" si="1"/>
        <v>Autoprod of ELC with COG</v>
      </c>
      <c r="D13" s="9" t="str">
        <f ca="1">IEAData!H$38</f>
        <v>INDCOG</v>
      </c>
      <c r="E13" s="9" t="str">
        <f ca="1">IEAData!$B$38</f>
        <v>INDELC</v>
      </c>
      <c r="F13" s="9"/>
      <c r="G13" s="21">
        <f ca="1">IEAData!BE54</f>
        <v>0.15741134684098798</v>
      </c>
      <c r="H13" s="21">
        <f ca="1">AuxData!BE54</f>
        <v>0</v>
      </c>
      <c r="I13" s="62">
        <f ca="1">IF(IEAData!AY54=0,3,IEAData!AY54/G13)</f>
        <v>2.9778928737171708</v>
      </c>
      <c r="J13" s="62">
        <f ca="1">IF(AuxData!AY54=0,3,AuxData!AY54/H13)</f>
        <v>3</v>
      </c>
      <c r="K13" s="345">
        <f t="shared" si="2"/>
        <v>7.1306872345884962</v>
      </c>
      <c r="L13" s="345">
        <f t="shared" si="3"/>
        <v>0</v>
      </c>
      <c r="M13" s="9">
        <v>0</v>
      </c>
      <c r="N13" s="12">
        <v>0.7</v>
      </c>
      <c r="O13" s="12"/>
      <c r="P13" s="9">
        <v>3.1536000000000002E-2</v>
      </c>
      <c r="Q13" s="9"/>
      <c r="R13" s="9"/>
      <c r="S13" s="62">
        <v>0.99079512124768554</v>
      </c>
      <c r="T13" s="9">
        <v>50</v>
      </c>
      <c r="U13" s="9"/>
      <c r="V13" s="9"/>
      <c r="W13" s="9"/>
      <c r="X13" s="9"/>
    </row>
    <row r="14" spans="1:24">
      <c r="B14" s="263" t="str">
        <f t="shared" si="0"/>
        <v>EAELCBFG00</v>
      </c>
      <c r="C14" s="144" t="str">
        <f t="shared" si="1"/>
        <v>Autoprod of ELC with BFG</v>
      </c>
      <c r="D14" s="9" t="str">
        <f ca="1">IEAData!I$38</f>
        <v>INDBFG</v>
      </c>
      <c r="E14" s="9" t="str">
        <f ca="1">IEAData!$B$38</f>
        <v>INDELC</v>
      </c>
      <c r="F14" s="9"/>
      <c r="G14" s="21">
        <f ca="1">IEAData!BE55</f>
        <v>1.6254432554232454</v>
      </c>
      <c r="H14" s="21">
        <f ca="1">AuxData!BE55</f>
        <v>0</v>
      </c>
      <c r="I14" s="62">
        <f ca="1">IF(IEAData!AY55=0,3,IEAData!AY55/G14)</f>
        <v>3.3916453334229142</v>
      </c>
      <c r="J14" s="62">
        <f ca="1">IF(AuxData!AY55=0,3,AuxData!AY55/H14)</f>
        <v>3</v>
      </c>
      <c r="K14" s="345">
        <f t="shared" si="2"/>
        <v>73.632096444120336</v>
      </c>
      <c r="L14" s="345">
        <f t="shared" si="3"/>
        <v>0</v>
      </c>
      <c r="M14" s="9">
        <v>0</v>
      </c>
      <c r="N14" s="12">
        <v>0.7</v>
      </c>
      <c r="O14" s="12"/>
      <c r="P14" s="9">
        <v>3.1536000000000002E-2</v>
      </c>
      <c r="Q14" s="9"/>
      <c r="R14" s="9"/>
      <c r="S14" s="62">
        <v>0.99079512124768554</v>
      </c>
      <c r="T14" s="9">
        <v>50</v>
      </c>
      <c r="U14" s="9"/>
      <c r="V14" s="9"/>
      <c r="W14" s="9"/>
      <c r="X14" s="9"/>
    </row>
    <row r="15" spans="1:24">
      <c r="B15" s="263" t="str">
        <f t="shared" si="0"/>
        <v>EAELCBCO00</v>
      </c>
      <c r="C15" s="144" t="str">
        <f t="shared" si="1"/>
        <v>Autoprod of ELC with BCO</v>
      </c>
      <c r="D15" s="9" t="str">
        <f ca="1">IEAData!J$38</f>
        <v>INDBCO</v>
      </c>
      <c r="E15" s="9" t="str">
        <f ca="1">IEAData!$B$38</f>
        <v>INDELC</v>
      </c>
      <c r="F15" s="9"/>
      <c r="G15" s="21">
        <f ca="1">IEAData!BE56</f>
        <v>3.4219858008910434E-3</v>
      </c>
      <c r="H15" s="21">
        <f ca="1">AuxData!BE56</f>
        <v>2.3977147814109766E-2</v>
      </c>
      <c r="I15" s="62">
        <f ca="1">IF(IEAData!AY56=0,3,IEAData!AY56/G15)</f>
        <v>2.3368852079741931</v>
      </c>
      <c r="J15" s="62">
        <f ca="1">IF(AuxData!AY56=0,3,AuxData!AY56/H15)</f>
        <v>2.2104672503545575</v>
      </c>
      <c r="K15" s="345">
        <f t="shared" si="2"/>
        <v>0.15501493988235865</v>
      </c>
      <c r="L15" s="345">
        <f t="shared" si="3"/>
        <v>1.0861576707848521</v>
      </c>
      <c r="M15" s="9">
        <v>0</v>
      </c>
      <c r="N15" s="12">
        <v>0.7</v>
      </c>
      <c r="O15" s="12"/>
      <c r="P15" s="9">
        <v>3.1536000000000002E-2</v>
      </c>
      <c r="Q15" s="9"/>
      <c r="R15" s="9"/>
      <c r="S15" s="62">
        <v>1.4243086643462475</v>
      </c>
      <c r="T15" s="9">
        <v>50</v>
      </c>
      <c r="U15" s="9"/>
      <c r="V15" s="9"/>
      <c r="W15" s="9"/>
      <c r="X15" s="9"/>
    </row>
    <row r="16" spans="1:24">
      <c r="B16" s="263" t="str">
        <f t="shared" si="0"/>
        <v>EAELCHFO00</v>
      </c>
      <c r="C16" s="144" t="str">
        <f t="shared" si="1"/>
        <v>Autoprod of ELC with HFO</v>
      </c>
      <c r="D16" s="9" t="str">
        <f ca="1">IEAData!K$38</f>
        <v>INDHFO</v>
      </c>
      <c r="E16" s="9" t="str">
        <f ca="1">IEAData!$B$38</f>
        <v>INDELC</v>
      </c>
      <c r="F16" s="9"/>
      <c r="G16" s="21">
        <f ca="1">IEAData!BE57</f>
        <v>0.20189716225257157</v>
      </c>
      <c r="H16" s="21">
        <f ca="1">AuxData!BE57</f>
        <v>4.1103681967045322E-2</v>
      </c>
      <c r="I16" s="62">
        <f ca="1">IF(IEAData!AY57=0,3,IEAData!AY57/G16)</f>
        <v>3.1699021465164177</v>
      </c>
      <c r="J16" s="62">
        <f ca="1">IF(AuxData!AY57=0,3,AuxData!AY57/H16)</f>
        <v>2.919497579224438</v>
      </c>
      <c r="K16" s="345">
        <f t="shared" si="2"/>
        <v>9.1458814530591592</v>
      </c>
      <c r="L16" s="345">
        <f t="shared" si="3"/>
        <v>1.8619845784883184</v>
      </c>
      <c r="M16" s="9">
        <v>0</v>
      </c>
      <c r="N16" s="12">
        <v>0.7</v>
      </c>
      <c r="O16" s="12"/>
      <c r="P16" s="9">
        <v>3.1536000000000002E-2</v>
      </c>
      <c r="Q16" s="9"/>
      <c r="R16" s="9"/>
      <c r="S16" s="62">
        <v>1.0861910001327286</v>
      </c>
      <c r="T16" s="9">
        <v>50</v>
      </c>
      <c r="U16" s="9"/>
      <c r="V16" s="9"/>
      <c r="W16" s="9"/>
      <c r="X16" s="9"/>
    </row>
    <row r="17" spans="2:29">
      <c r="B17" s="263" t="str">
        <f t="shared" si="0"/>
        <v>EAELCOIL00</v>
      </c>
      <c r="C17" s="144" t="str">
        <f t="shared" si="1"/>
        <v>Autoprod of ELC with OIL</v>
      </c>
      <c r="D17" s="9" t="str">
        <f ca="1">IEAData!L$38</f>
        <v>INDOIL</v>
      </c>
      <c r="E17" s="9" t="str">
        <f ca="1">IEAData!$B$38</f>
        <v>INDELC</v>
      </c>
      <c r="F17" s="9"/>
      <c r="G17" s="21">
        <f ca="1">IEAData!BE58</f>
        <v>2.7375886407128347E-2</v>
      </c>
      <c r="H17" s="21">
        <f ca="1">AuxData!BE58</f>
        <v>3.425306830587109E-2</v>
      </c>
      <c r="I17" s="62">
        <f ca="1">IF(IEAData!AY58=0,3,IEAData!AY58/G17)</f>
        <v>3.1122784019813365</v>
      </c>
      <c r="J17" s="62">
        <f ca="1">IF(AuxData!AY58=0,3,AuxData!AY58/H17)</f>
        <v>2.4874092808029173</v>
      </c>
      <c r="K17" s="345">
        <f t="shared" si="2"/>
        <v>1.2401195190588692</v>
      </c>
      <c r="L17" s="345">
        <f t="shared" si="3"/>
        <v>1.5516538154069315</v>
      </c>
      <c r="M17" s="9">
        <v>0</v>
      </c>
      <c r="N17" s="12">
        <v>0.7</v>
      </c>
      <c r="O17" s="12"/>
      <c r="P17" s="9">
        <v>3.1536000000000002E-2</v>
      </c>
      <c r="Q17" s="9"/>
      <c r="R17" s="9"/>
      <c r="S17" s="62">
        <v>0.61753730279990615</v>
      </c>
      <c r="T17" s="9">
        <v>50</v>
      </c>
      <c r="U17" s="9"/>
      <c r="V17" s="9"/>
      <c r="W17" s="9"/>
      <c r="X17" s="9"/>
    </row>
    <row r="18" spans="2:29">
      <c r="B18" s="263" t="str">
        <f t="shared" si="0"/>
        <v>EAELCETH00</v>
      </c>
      <c r="C18" s="144" t="str">
        <f t="shared" si="1"/>
        <v>Autoprod of ELC with ETH</v>
      </c>
      <c r="D18" s="9" t="str">
        <f ca="1">IEAData!M$38</f>
        <v>INDETH</v>
      </c>
      <c r="E18" s="9" t="str">
        <f ca="1">IEAData!$B$38</f>
        <v>INDELC</v>
      </c>
      <c r="F18" s="9"/>
      <c r="G18" s="21">
        <f ca="1">IEAData!BE59</f>
        <v>0</v>
      </c>
      <c r="H18" s="21">
        <f ca="1">AuxData!BE59</f>
        <v>0</v>
      </c>
      <c r="I18" s="62">
        <f ca="1">IF(IEAData!AY59=0,3,IEAData!AY59/G18)</f>
        <v>3</v>
      </c>
      <c r="J18" s="62">
        <f ca="1">IF(AuxData!AY59=0,3,AuxData!AY59/H18)</f>
        <v>3</v>
      </c>
      <c r="K18" s="345">
        <f t="shared" si="2"/>
        <v>0</v>
      </c>
      <c r="L18" s="345">
        <f t="shared" si="3"/>
        <v>0</v>
      </c>
      <c r="M18" s="9">
        <v>0</v>
      </c>
      <c r="N18" s="12">
        <v>0.7</v>
      </c>
      <c r="O18" s="12"/>
      <c r="P18" s="9">
        <v>3.1536000000000002E-2</v>
      </c>
      <c r="Q18" s="9"/>
      <c r="R18" s="9"/>
      <c r="S18" s="62">
        <v>0.61753730279990615</v>
      </c>
      <c r="T18" s="9">
        <v>50</v>
      </c>
      <c r="U18" s="9"/>
      <c r="V18" s="9"/>
      <c r="W18" s="9"/>
      <c r="X18" s="9"/>
    </row>
    <row r="19" spans="2:29">
      <c r="B19" s="263" t="str">
        <f t="shared" si="0"/>
        <v>EAELCNAP00</v>
      </c>
      <c r="C19" s="144" t="str">
        <f t="shared" si="1"/>
        <v>Autoprod of ELC with NAP</v>
      </c>
      <c r="D19" s="9" t="str">
        <f ca="1">IEAData!N$38</f>
        <v>INDNAP</v>
      </c>
      <c r="E19" s="9" t="str">
        <f ca="1">IEAData!$B$38</f>
        <v>INDELC</v>
      </c>
      <c r="F19" s="9"/>
      <c r="G19" s="21">
        <f ca="1">IEAData!BE60</f>
        <v>0</v>
      </c>
      <c r="H19" s="21">
        <f ca="1">AuxData!BE60</f>
        <v>0</v>
      </c>
      <c r="I19" s="62">
        <f ca="1">IF(IEAData!AY60=0,3,IEAData!AY60/G19)</f>
        <v>3</v>
      </c>
      <c r="J19" s="62">
        <f ca="1">IF(AuxData!AY60=0,3,AuxData!AY60/H19)</f>
        <v>3</v>
      </c>
      <c r="K19" s="345">
        <f t="shared" si="2"/>
        <v>0</v>
      </c>
      <c r="L19" s="345">
        <f t="shared" si="3"/>
        <v>0</v>
      </c>
      <c r="M19" s="9">
        <v>0</v>
      </c>
      <c r="N19" s="12">
        <v>0.7</v>
      </c>
      <c r="O19" s="12"/>
      <c r="P19" s="9">
        <v>3.1536000000000002E-2</v>
      </c>
      <c r="Q19" s="9"/>
      <c r="R19" s="9"/>
      <c r="S19" s="62">
        <v>0.61753730279990615</v>
      </c>
      <c r="T19" s="9">
        <v>50</v>
      </c>
      <c r="U19" s="9"/>
      <c r="V19" s="9"/>
      <c r="W19" s="9"/>
      <c r="X19" s="9"/>
    </row>
    <row r="20" spans="2:29">
      <c r="B20" s="263" t="str">
        <f t="shared" si="0"/>
        <v>EAELCPTC00</v>
      </c>
      <c r="C20" s="144" t="str">
        <f t="shared" si="1"/>
        <v>Autoprod of ELC with PTC</v>
      </c>
      <c r="D20" s="9" t="str">
        <f ca="1">IEAData!O$38</f>
        <v>INDPTC</v>
      </c>
      <c r="E20" s="9" t="str">
        <f ca="1">IEAData!$B$38</f>
        <v>INDELC</v>
      </c>
      <c r="F20" s="9"/>
      <c r="G20" s="21">
        <f ca="1">IEAData!BE61</f>
        <v>0</v>
      </c>
      <c r="H20" s="21">
        <f ca="1">AuxData!BE61</f>
        <v>0</v>
      </c>
      <c r="I20" s="62">
        <f ca="1">IF(IEAData!AY61=0,3,IEAData!AY61/G20)</f>
        <v>3</v>
      </c>
      <c r="J20" s="62">
        <f ca="1">IF(AuxData!AY61=0,3,AuxData!AY61/H20)</f>
        <v>3</v>
      </c>
      <c r="K20" s="345">
        <f t="shared" si="2"/>
        <v>0</v>
      </c>
      <c r="L20" s="345">
        <f t="shared" si="3"/>
        <v>0</v>
      </c>
      <c r="M20" s="9">
        <v>0</v>
      </c>
      <c r="N20" s="12">
        <v>0.7</v>
      </c>
      <c r="O20" s="12"/>
      <c r="P20" s="9">
        <v>3.1536000000000002E-2</v>
      </c>
      <c r="Q20" s="9"/>
      <c r="R20" s="9"/>
      <c r="S20" s="62">
        <v>1.5896610096868875</v>
      </c>
      <c r="T20" s="9">
        <v>50</v>
      </c>
      <c r="U20" s="9"/>
      <c r="V20" s="9"/>
      <c r="W20" s="9"/>
      <c r="X20" s="9"/>
    </row>
    <row r="21" spans="2:29">
      <c r="B21" s="263" t="str">
        <f t="shared" si="0"/>
        <v>EAELCBIO00</v>
      </c>
      <c r="C21" s="144" t="str">
        <f t="shared" si="1"/>
        <v>Autoprod of ELC with BIO</v>
      </c>
      <c r="D21" s="9" t="str">
        <f ca="1">IEAData!P$38</f>
        <v>INDBIO</v>
      </c>
      <c r="E21" s="9" t="str">
        <f ca="1">IEAData!$B$38</f>
        <v>INDELC</v>
      </c>
      <c r="F21" s="9"/>
      <c r="G21" s="21">
        <f ca="1">IEAData!BE62</f>
        <v>1.0573936124753323</v>
      </c>
      <c r="H21" s="21">
        <f ca="1">AuxData!BE62</f>
        <v>1.8914270293955575</v>
      </c>
      <c r="I21" s="62">
        <f ca="1">IF(IEAData!AY62=0,3,IEAData!AY62/G21)</f>
        <v>3.1363573988653797</v>
      </c>
      <c r="J21" s="62">
        <f ca="1">IF(AuxData!AY62=0,3,AuxData!AY62/H21)</f>
        <v>3.1644973382413579</v>
      </c>
      <c r="K21" s="345">
        <f t="shared" si="2"/>
        <v>47.899616423648816</v>
      </c>
      <c r="L21" s="345">
        <f t="shared" si="3"/>
        <v>85.68108236371846</v>
      </c>
      <c r="M21" s="9">
        <v>0</v>
      </c>
      <c r="N21" s="12">
        <v>0.7</v>
      </c>
      <c r="O21" s="12"/>
      <c r="P21" s="9">
        <v>3.1536000000000002E-2</v>
      </c>
      <c r="Q21" s="9"/>
      <c r="R21" s="9"/>
      <c r="S21" s="62">
        <v>0.63293928682584799</v>
      </c>
      <c r="T21" s="9">
        <v>50</v>
      </c>
      <c r="U21" s="9"/>
      <c r="V21" s="9"/>
      <c r="W21" s="9"/>
      <c r="X21" s="9"/>
    </row>
    <row r="22" spans="2:29">
      <c r="B22" s="263" t="str">
        <f t="shared" si="0"/>
        <v>EAELCGEO00</v>
      </c>
      <c r="C22" s="144" t="str">
        <f t="shared" si="1"/>
        <v>Autoprod of ELC with GEO</v>
      </c>
      <c r="D22" s="9" t="str">
        <f ca="1">IEAData!Q$38</f>
        <v>INDGEO</v>
      </c>
      <c r="E22" s="9" t="str">
        <f ca="1">IEAData!$B$38</f>
        <v>INDELC</v>
      </c>
      <c r="F22" s="9"/>
      <c r="G22" s="21">
        <f ca="1">IEAData!BE63</f>
        <v>0</v>
      </c>
      <c r="H22" s="21">
        <f ca="1">AuxData!BE63</f>
        <v>0</v>
      </c>
      <c r="I22" s="62">
        <f ca="1">IF(IEAData!AY63=0,3,IEAData!AY63/G22)</f>
        <v>3</v>
      </c>
      <c r="J22" s="62">
        <f ca="1">IF(AuxData!AY63=0,3,AuxData!AY63/H22)</f>
        <v>3</v>
      </c>
      <c r="K22" s="345">
        <f t="shared" si="2"/>
        <v>0</v>
      </c>
      <c r="L22" s="345">
        <f t="shared" si="3"/>
        <v>0</v>
      </c>
      <c r="M22" s="9">
        <v>0</v>
      </c>
      <c r="N22" s="12">
        <v>0.7</v>
      </c>
      <c r="O22" s="12"/>
      <c r="P22" s="9">
        <v>3.1536000000000002E-2</v>
      </c>
      <c r="Q22" s="9"/>
      <c r="R22" s="9"/>
      <c r="S22" s="62">
        <v>0.3</v>
      </c>
      <c r="T22" s="9">
        <v>50</v>
      </c>
      <c r="U22" s="9"/>
      <c r="V22" s="9"/>
      <c r="W22" s="9"/>
      <c r="X22" s="9"/>
    </row>
    <row r="23" spans="2:29">
      <c r="B23" s="263" t="str">
        <f t="shared" si="0"/>
        <v>EAELCHET00</v>
      </c>
      <c r="C23" s="144" t="str">
        <f t="shared" si="1"/>
        <v>Autoprod of ELC with HET</v>
      </c>
      <c r="D23" s="9" t="s">
        <v>946</v>
      </c>
      <c r="E23" s="52" t="s">
        <v>728</v>
      </c>
      <c r="F23" s="9"/>
      <c r="G23" s="21">
        <f ca="1">IEAData!BE68</f>
        <v>0.79199999999999626</v>
      </c>
      <c r="H23" s="21">
        <f ca="1">AuxData!BE68</f>
        <v>0.76680000000000081</v>
      </c>
      <c r="I23" s="62">
        <v>1</v>
      </c>
      <c r="J23" s="62">
        <v>1</v>
      </c>
      <c r="K23" s="542"/>
      <c r="L23" s="9"/>
      <c r="M23" s="9"/>
      <c r="N23" s="12">
        <v>0.7</v>
      </c>
      <c r="O23" s="12"/>
      <c r="P23" s="9">
        <v>3.1536000000000002E-2</v>
      </c>
      <c r="Q23" s="9"/>
      <c r="R23" s="9"/>
      <c r="S23" s="62">
        <v>0.3</v>
      </c>
      <c r="T23" s="9">
        <v>50</v>
      </c>
      <c r="U23" s="62">
        <f ca="1">IEAData!BA68</f>
        <v>0.79199999999999626</v>
      </c>
      <c r="V23" s="62">
        <f ca="1">AuxData!BA68</f>
        <v>0.76680000000000081</v>
      </c>
      <c r="W23" s="9"/>
      <c r="X23" s="304">
        <v>1</v>
      </c>
    </row>
    <row r="24" spans="2:29">
      <c r="B24" s="263"/>
      <c r="C24" s="144"/>
      <c r="D24" s="9"/>
      <c r="E24" s="9" t="str">
        <f ca="1">IEAData!$B$38</f>
        <v>INDELC</v>
      </c>
      <c r="F24" s="9"/>
      <c r="G24" s="21"/>
      <c r="H24" s="21"/>
      <c r="I24" s="62"/>
      <c r="J24" s="62"/>
      <c r="K24" s="542"/>
      <c r="L24" s="9"/>
      <c r="M24" s="9"/>
      <c r="N24" s="12"/>
      <c r="O24" s="12"/>
      <c r="P24" s="9"/>
      <c r="Q24" s="9"/>
      <c r="R24" s="9"/>
      <c r="S24" s="9"/>
      <c r="T24" s="9"/>
      <c r="U24" s="62"/>
      <c r="V24" s="9"/>
      <c r="W24" s="9"/>
      <c r="X24" s="9"/>
    </row>
    <row r="25" spans="2:29">
      <c r="B25" s="192" t="s">
        <v>902</v>
      </c>
      <c r="C25" s="192"/>
      <c r="D25" s="192"/>
      <c r="E25" s="192"/>
      <c r="F25" s="193"/>
      <c r="G25" s="395">
        <f>SUM(G7:G22)</f>
        <v>3.1179066066664536</v>
      </c>
      <c r="H25" s="395">
        <f>SUM(H7:H22)</f>
        <v>2.0524164504331517</v>
      </c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</row>
    <row r="26" spans="2:29">
      <c r="I26" s="15"/>
      <c r="K26" s="15"/>
      <c r="L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AA26" s="15"/>
      <c r="AB26" s="15"/>
      <c r="AC26" s="15"/>
    </row>
    <row r="27" spans="2:29">
      <c r="F27" s="222"/>
      <c r="H27" s="15"/>
      <c r="I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 spans="2:29">
      <c r="F28" s="222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 spans="2:29">
      <c r="F29" s="222"/>
      <c r="H29" s="15"/>
      <c r="I29" s="15"/>
      <c r="J29" s="15"/>
      <c r="K29" s="15"/>
      <c r="L29" s="49" t="s">
        <v>1321</v>
      </c>
      <c r="M29" s="31">
        <v>1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 spans="2:29">
      <c r="F30" s="222"/>
      <c r="J30" s="15"/>
      <c r="K30" s="15"/>
      <c r="L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2:29" ht="18">
      <c r="B31" s="86" t="s">
        <v>88</v>
      </c>
      <c r="C31" s="88"/>
      <c r="D31" s="123"/>
      <c r="E31" s="225" t="str">
        <f>"~FI_T: EUR10~"&amp;Region</f>
        <v>~FI_T: EUR10~FIN</v>
      </c>
      <c r="F31" s="226"/>
      <c r="M31" s="15"/>
      <c r="Q31" s="15"/>
      <c r="R31" s="15"/>
      <c r="S31" s="15"/>
    </row>
    <row r="32" spans="2:29" ht="39" thickBot="1">
      <c r="B32" s="45" t="s">
        <v>649</v>
      </c>
      <c r="C32" s="45" t="s">
        <v>650</v>
      </c>
      <c r="D32" s="45" t="s">
        <v>648</v>
      </c>
      <c r="E32" s="45" t="s">
        <v>651</v>
      </c>
      <c r="F32" s="64" t="str">
        <f ca="1">CONCATENATE("\I:",IEAData!$D$2," final energy")</f>
        <v>\I:2010 final energy</v>
      </c>
      <c r="G32" s="64" t="str">
        <f ca="1">CONCATENATE("\I:",AuxData!$D$2," final energy")</f>
        <v>\I:2017 final energy</v>
      </c>
      <c r="H32" s="64" t="s">
        <v>50</v>
      </c>
      <c r="I32" s="45" t="str">
        <f ca="1">"EFF~"&amp;AuxYear</f>
        <v>EFF~2017</v>
      </c>
      <c r="J32" s="64" t="str">
        <f ca="1">CONCATENATE("\I:",AuxData!$D$2," Service Demand")</f>
        <v>\I:2017 Service Demand</v>
      </c>
      <c r="K32" s="64" t="s">
        <v>721</v>
      </c>
      <c r="L32" s="45" t="s">
        <v>872</v>
      </c>
      <c r="M32" s="64" t="s">
        <v>54</v>
      </c>
      <c r="N32" s="45" t="str">
        <f ca="1">"RESID~"&amp;AuxYear</f>
        <v>RESID~2017</v>
      </c>
      <c r="O32" s="821" t="str">
        <f ca="1">"RESID~"&amp;CEILING(AuxYear+10,5)</f>
        <v>RESID~2030</v>
      </c>
      <c r="P32" s="821" t="str">
        <f ca="1">"RESID~"&amp;CEILING(AuxYear+30,5)</f>
        <v>RESID~2050</v>
      </c>
      <c r="Q32" s="64" t="s">
        <v>79</v>
      </c>
      <c r="R32" s="821" t="s">
        <v>882</v>
      </c>
      <c r="S32" s="821" t="str">
        <f ca="1">"CHPR~FX~"&amp;AuxYear</f>
        <v>CHPR~FX~2017</v>
      </c>
      <c r="T32" s="821" t="s">
        <v>51</v>
      </c>
      <c r="U32" s="64" t="s">
        <v>499</v>
      </c>
      <c r="V32" s="64" t="str">
        <f ca="1">"Share-I~UP~"&amp;AuxYear</f>
        <v>Share-I~UP~2017</v>
      </c>
      <c r="W32" s="64" t="str">
        <f>"Share-I~UP~"&amp;2040</f>
        <v>Share-I~UP~2040</v>
      </c>
      <c r="X32" s="45" t="s">
        <v>1379</v>
      </c>
      <c r="Y32" s="64" t="s">
        <v>848</v>
      </c>
      <c r="Z32" s="64" t="s">
        <v>556</v>
      </c>
      <c r="AA32" s="45" t="s">
        <v>1497</v>
      </c>
      <c r="AB32" s="45" t="str">
        <f ca="1">"VA_Attrib_TC~"&amp;AuxYear</f>
        <v>VA_Attrib_TC~2017</v>
      </c>
      <c r="AC32" s="126" t="s">
        <v>959</v>
      </c>
    </row>
    <row r="33" spans="2:29">
      <c r="B33" s="264" t="s">
        <v>918</v>
      </c>
      <c r="C33" s="50" t="s">
        <v>919</v>
      </c>
      <c r="D33" s="52" t="str">
        <f ca="1">IEAData!AX7</f>
        <v>INDNGA</v>
      </c>
      <c r="E33" s="52"/>
      <c r="F33" s="777">
        <f ca="1">IEAData!AY7</f>
        <v>16.317720875736878</v>
      </c>
      <c r="G33" s="777">
        <f ca="1">AuxData!AY7</f>
        <v>13.406701265310488</v>
      </c>
      <c r="H33" s="778">
        <f ca="1">VLOOKUP(D33,IEAData!$AX$25:$BA$39,3,0)</f>
        <v>0.50401464781236316</v>
      </c>
      <c r="I33" s="778">
        <f ca="1">VLOOKUP(D33,AuxData!$AX$25:$BA$39,3,0)</f>
        <v>0.25153285208009418</v>
      </c>
      <c r="J33" s="779">
        <f ca="1">G33*I33</f>
        <v>3.3722258062493546</v>
      </c>
      <c r="K33" s="55">
        <v>1</v>
      </c>
      <c r="L33" s="52"/>
      <c r="M33" s="358">
        <f>F33*H33/Q33/Y33*$M$29</f>
        <v>372.56153241125651</v>
      </c>
      <c r="N33" s="358">
        <f>J33/Q33/Y33*$M$29</f>
        <v>152.76082691207122</v>
      </c>
      <c r="O33" s="358">
        <f>N33*IF(Region="FIN",1,0.65)</f>
        <v>152.76082691207122</v>
      </c>
      <c r="P33" s="49">
        <v>0</v>
      </c>
      <c r="Q33" s="49">
        <v>0.7</v>
      </c>
      <c r="R33" s="778">
        <f ca="1">VLOOKUP(D33,IEAData!$AX$25:$BA$39,4,0)</f>
        <v>0.66661822954145367</v>
      </c>
      <c r="S33" s="778">
        <f ca="1">VLOOKUP(D33,AuxData!$AX$25:$BA$39,4,0)</f>
        <v>2.5134552217355774</v>
      </c>
      <c r="T33" s="544">
        <v>0.61753730279990615</v>
      </c>
      <c r="U33" s="52"/>
      <c r="V33" s="52"/>
      <c r="W33" s="52"/>
      <c r="X33" s="49">
        <v>1</v>
      </c>
      <c r="Y33" s="547">
        <v>3.1536000000000002E-2</v>
      </c>
      <c r="Z33" s="49">
        <v>30</v>
      </c>
      <c r="AA33" s="780">
        <f>H33*R33</f>
        <v>0.33598535218763681</v>
      </c>
      <c r="AB33" s="780">
        <f>I33*S33</f>
        <v>0.6322165604987553</v>
      </c>
      <c r="AC33" s="128">
        <f>IF($F$81=0,0,F33/$F$81)</f>
        <v>0.14636442581893491</v>
      </c>
    </row>
    <row r="34" spans="2:29">
      <c r="B34" s="9"/>
      <c r="C34" s="23"/>
      <c r="D34" s="9"/>
      <c r="E34" s="52" t="str">
        <f ca="1">IEAData!$B$38</f>
        <v>INDELC</v>
      </c>
      <c r="F34" s="19"/>
      <c r="G34" s="19"/>
      <c r="H34" s="105"/>
      <c r="I34" s="105"/>
      <c r="J34" s="31"/>
      <c r="K34" s="31"/>
      <c r="L34" s="9"/>
      <c r="M34" s="345"/>
      <c r="N34" s="345"/>
      <c r="O34" s="345"/>
      <c r="P34" s="49"/>
      <c r="Q34" s="12"/>
      <c r="R34" s="105"/>
      <c r="S34" s="105"/>
      <c r="T34" s="62"/>
      <c r="U34" s="9"/>
      <c r="V34" s="9"/>
      <c r="W34" s="9"/>
      <c r="X34" s="49"/>
      <c r="Y34" s="547"/>
      <c r="Z34" s="49"/>
      <c r="AA34" s="476"/>
      <c r="AB34" s="476"/>
      <c r="AC34" s="128"/>
    </row>
    <row r="35" spans="2:29">
      <c r="B35" s="218"/>
      <c r="C35" s="23"/>
      <c r="D35" s="9"/>
      <c r="E35" s="52" t="s">
        <v>728</v>
      </c>
      <c r="F35" s="21"/>
      <c r="G35" s="21"/>
      <c r="H35" s="285"/>
      <c r="I35" s="285"/>
      <c r="J35" s="31"/>
      <c r="K35" s="31"/>
      <c r="L35" s="542"/>
      <c r="M35" s="345"/>
      <c r="N35" s="345"/>
      <c r="O35" s="345"/>
      <c r="P35" s="49"/>
      <c r="Q35" s="12"/>
      <c r="R35" s="285"/>
      <c r="S35" s="285"/>
      <c r="T35" s="62"/>
      <c r="U35" s="9"/>
      <c r="V35" s="9"/>
      <c r="W35" s="9"/>
      <c r="X35" s="49"/>
      <c r="Y35" s="547"/>
      <c r="Z35" s="49"/>
      <c r="AA35" s="476"/>
      <c r="AB35" s="476"/>
      <c r="AC35" s="128"/>
    </row>
    <row r="36" spans="2:29">
      <c r="B36" s="35" t="s">
        <v>920</v>
      </c>
      <c r="C36" s="23" t="s">
        <v>921</v>
      </c>
      <c r="D36" s="9" t="str">
        <f ca="1">IEAData!AX8</f>
        <v>INDLPG</v>
      </c>
      <c r="E36" s="52"/>
      <c r="F36" s="186">
        <f ca="1">IEAData!AY8</f>
        <v>0</v>
      </c>
      <c r="G36" s="186">
        <f ca="1">AuxData!AY8</f>
        <v>0</v>
      </c>
      <c r="H36" s="287">
        <f ca="1">VLOOKUP(D36,IEAData!$AX$25:$BA$39,3,0)</f>
        <v>0.15</v>
      </c>
      <c r="I36" s="287">
        <f ca="1">VLOOKUP(D36,AuxData!$AX$25:$BA$39,3,0)</f>
        <v>0.15</v>
      </c>
      <c r="J36" s="546">
        <f ca="1">G36*I36</f>
        <v>0</v>
      </c>
      <c r="K36" s="31">
        <v>1</v>
      </c>
      <c r="L36" s="542"/>
      <c r="M36" s="345">
        <f>F36*H36/Q36/Y36*$M$29</f>
        <v>0</v>
      </c>
      <c r="N36" s="345">
        <f>J36/Q36/Y36*$M$29</f>
        <v>0</v>
      </c>
      <c r="O36" s="345"/>
      <c r="P36" s="49">
        <v>0</v>
      </c>
      <c r="Q36" s="12">
        <v>0.7</v>
      </c>
      <c r="R36" s="287">
        <f ca="1">VLOOKUP(D36,IEAData!$AX$25:$BA$39,4,0)</f>
        <v>5.666666666666667</v>
      </c>
      <c r="S36" s="287">
        <f ca="1">VLOOKUP(D36,AuxData!$AX$25:$BA$39,4,0)</f>
        <v>4.5999999999999996</v>
      </c>
      <c r="T36" s="62">
        <v>0.61753730279990615</v>
      </c>
      <c r="U36" s="9"/>
      <c r="V36" s="9"/>
      <c r="W36" s="9"/>
      <c r="X36" s="49">
        <v>1</v>
      </c>
      <c r="Y36" s="547">
        <v>3.1536000000000002E-2</v>
      </c>
      <c r="Z36" s="49">
        <v>30</v>
      </c>
      <c r="AA36" s="608">
        <f>H36*R36</f>
        <v>0.85</v>
      </c>
      <c r="AB36" s="608">
        <f>I36*S36</f>
        <v>0.69</v>
      </c>
      <c r="AC36" s="128">
        <f>IF($F$81=0,0,F36/$F$81)</f>
        <v>0</v>
      </c>
    </row>
    <row r="37" spans="2:29">
      <c r="B37" s="9"/>
      <c r="C37" s="9"/>
      <c r="D37" s="9"/>
      <c r="E37" s="52" t="str">
        <f ca="1">IEAData!$B$38</f>
        <v>INDELC</v>
      </c>
      <c r="F37" s="19"/>
      <c r="G37" s="19"/>
      <c r="H37" s="105"/>
      <c r="I37" s="105"/>
      <c r="J37" s="31"/>
      <c r="K37" s="31"/>
      <c r="L37" s="542"/>
      <c r="M37" s="345"/>
      <c r="N37" s="345"/>
      <c r="O37" s="345"/>
      <c r="P37" s="49"/>
      <c r="Q37" s="12"/>
      <c r="R37" s="105"/>
      <c r="S37" s="105"/>
      <c r="T37" s="62"/>
      <c r="U37" s="9"/>
      <c r="V37" s="9"/>
      <c r="W37" s="9"/>
      <c r="X37" s="49"/>
      <c r="Y37" s="547"/>
      <c r="Z37" s="49"/>
      <c r="AA37" s="476"/>
      <c r="AB37" s="476"/>
      <c r="AC37" s="128"/>
    </row>
    <row r="38" spans="2:29">
      <c r="B38" s="218"/>
      <c r="C38" s="9"/>
      <c r="D38" s="9"/>
      <c r="E38" s="52" t="s">
        <v>728</v>
      </c>
      <c r="F38" s="21"/>
      <c r="G38" s="21"/>
      <c r="H38" s="285"/>
      <c r="I38" s="285"/>
      <c r="J38" s="31"/>
      <c r="K38" s="31"/>
      <c r="L38" s="542"/>
      <c r="M38" s="345"/>
      <c r="N38" s="345"/>
      <c r="O38" s="345"/>
      <c r="P38" s="49"/>
      <c r="Q38" s="12"/>
      <c r="R38" s="285"/>
      <c r="S38" s="285"/>
      <c r="T38" s="62"/>
      <c r="U38" s="9"/>
      <c r="V38" s="9"/>
      <c r="W38" s="9"/>
      <c r="X38" s="49"/>
      <c r="Y38" s="547"/>
      <c r="Z38" s="49"/>
      <c r="AA38" s="476"/>
      <c r="AB38" s="476"/>
      <c r="AC38" s="128"/>
    </row>
    <row r="39" spans="2:29">
      <c r="B39" s="35" t="s">
        <v>922</v>
      </c>
      <c r="C39" s="23" t="s">
        <v>923</v>
      </c>
      <c r="D39" s="9" t="str">
        <f ca="1">IEAData!AX9</f>
        <v>INDNGL</v>
      </c>
      <c r="E39" s="52"/>
      <c r="F39" s="186">
        <f ca="1">IEAData!AY9</f>
        <v>0</v>
      </c>
      <c r="G39" s="186">
        <f ca="1">AuxData!AY9</f>
        <v>0</v>
      </c>
      <c r="H39" s="287">
        <f ca="1">VLOOKUP(D39,IEAData!$AX$25:$BA$39,3,0)</f>
        <v>0.15</v>
      </c>
      <c r="I39" s="287">
        <f ca="1">VLOOKUP(D39,AuxData!$AX$25:$BA$39,3,0)</f>
        <v>0.15</v>
      </c>
      <c r="J39" s="546">
        <f ca="1">G39*I39</f>
        <v>0</v>
      </c>
      <c r="K39" s="31">
        <v>1</v>
      </c>
      <c r="L39" s="542"/>
      <c r="M39" s="345">
        <f>F39*H39/Q39/Y39*$M$29</f>
        <v>0</v>
      </c>
      <c r="N39" s="345">
        <f>J39/Q39/Y39*$M$29</f>
        <v>0</v>
      </c>
      <c r="O39" s="345"/>
      <c r="P39" s="49">
        <v>0</v>
      </c>
      <c r="Q39" s="12">
        <v>0.7</v>
      </c>
      <c r="R39" s="287">
        <f ca="1">VLOOKUP(D39,IEAData!$AX$25:$BA$39,4,0)</f>
        <v>4.4666666666666668</v>
      </c>
      <c r="S39" s="287">
        <f ca="1">VLOOKUP(D39,AuxData!$AX$25:$BA$39,4,0)</f>
        <v>4.4666666666666668</v>
      </c>
      <c r="T39" s="62">
        <v>0.61753730279990615</v>
      </c>
      <c r="U39" s="9"/>
      <c r="V39" s="9"/>
      <c r="W39" s="9"/>
      <c r="X39" s="49">
        <v>1</v>
      </c>
      <c r="Y39" s="547">
        <v>3.1536000000000002E-2</v>
      </c>
      <c r="Z39" s="49">
        <v>30</v>
      </c>
      <c r="AA39" s="608">
        <f>H39*R39</f>
        <v>0.67</v>
      </c>
      <c r="AB39" s="608">
        <f>I39*S39</f>
        <v>0.67</v>
      </c>
      <c r="AC39" s="128">
        <f>IF($F$81=0,0,F39/$F$81)</f>
        <v>0</v>
      </c>
    </row>
    <row r="40" spans="2:29">
      <c r="B40" s="9"/>
      <c r="C40" s="9"/>
      <c r="D40" s="9"/>
      <c r="E40" s="52" t="str">
        <f ca="1">IEAData!$B$38</f>
        <v>INDELC</v>
      </c>
      <c r="F40" s="19"/>
      <c r="G40" s="19"/>
      <c r="H40" s="105"/>
      <c r="I40" s="105"/>
      <c r="J40" s="31"/>
      <c r="K40" s="31"/>
      <c r="L40" s="542"/>
      <c r="M40" s="345"/>
      <c r="N40" s="345"/>
      <c r="O40" s="345"/>
      <c r="P40" s="49"/>
      <c r="Q40" s="12"/>
      <c r="R40" s="105"/>
      <c r="S40" s="105"/>
      <c r="T40" s="62"/>
      <c r="U40" s="9"/>
      <c r="V40" s="9"/>
      <c r="W40" s="9"/>
      <c r="X40" s="49"/>
      <c r="Y40" s="547"/>
      <c r="Z40" s="49"/>
      <c r="AA40" s="476"/>
      <c r="AB40" s="476"/>
      <c r="AC40" s="128"/>
    </row>
    <row r="41" spans="2:29">
      <c r="B41" s="218"/>
      <c r="C41" s="9"/>
      <c r="D41" s="9"/>
      <c r="E41" s="52" t="s">
        <v>728</v>
      </c>
      <c r="F41" s="53"/>
      <c r="G41" s="53"/>
      <c r="H41" s="288"/>
      <c r="I41" s="288"/>
      <c r="J41" s="55"/>
      <c r="K41" s="55"/>
      <c r="L41" s="543"/>
      <c r="M41" s="358"/>
      <c r="N41" s="345"/>
      <c r="O41" s="345"/>
      <c r="P41" s="49"/>
      <c r="Q41" s="49"/>
      <c r="R41" s="288"/>
      <c r="S41" s="288"/>
      <c r="T41" s="62"/>
      <c r="U41" s="52"/>
      <c r="V41" s="9"/>
      <c r="W41" s="9"/>
      <c r="X41" s="49"/>
      <c r="Y41" s="547"/>
      <c r="Z41" s="49"/>
      <c r="AA41" s="476"/>
      <c r="AB41" s="476"/>
      <c r="AC41" s="183"/>
    </row>
    <row r="42" spans="2:29">
      <c r="B42" s="35" t="s">
        <v>924</v>
      </c>
      <c r="C42" s="23" t="s">
        <v>925</v>
      </c>
      <c r="D42" s="9" t="str">
        <f ca="1">IEAData!AX10</f>
        <v>INDCOA</v>
      </c>
      <c r="E42" s="52"/>
      <c r="F42" s="186">
        <f ca="1">IEAData!AY10</f>
        <v>4.1812816814736946</v>
      </c>
      <c r="G42" s="186">
        <f ca="1">AuxData!AY10</f>
        <v>0.68791439268865562</v>
      </c>
      <c r="H42" s="287">
        <f ca="1">VLOOKUP(D42,IEAData!$AX$25:$BA$39,3,0)</f>
        <v>0.15</v>
      </c>
      <c r="I42" s="287">
        <f ca="1">VLOOKUP(D42,AuxData!$AX$25:$BA$39,3,0)</f>
        <v>0.50416016425029064</v>
      </c>
      <c r="J42" s="546">
        <f ca="1">G42*I42</f>
        <v>0.34681903320805157</v>
      </c>
      <c r="K42" s="31">
        <v>1</v>
      </c>
      <c r="L42" s="9"/>
      <c r="M42" s="345">
        <f>F42*H42/Q42/Y42*$M$29</f>
        <v>28.411622645369199</v>
      </c>
      <c r="N42" s="345">
        <f>J42/Q42/Y42*$M$29</f>
        <v>15.710799141482369</v>
      </c>
      <c r="O42" s="345"/>
      <c r="P42" s="49">
        <v>0</v>
      </c>
      <c r="Q42" s="12">
        <v>0.7</v>
      </c>
      <c r="R42" s="287">
        <f ca="1">VLOOKUP(D42,IEAData!$AX$25:$BA$39,4,0)</f>
        <v>4.6335261776520369</v>
      </c>
      <c r="S42" s="287">
        <f ca="1">VLOOKUP(D42,AuxData!$AX$25:$BA$39,4,0)</f>
        <v>0.66009489584283099</v>
      </c>
      <c r="T42" s="62">
        <v>1.5896610096868875</v>
      </c>
      <c r="U42" s="9"/>
      <c r="V42" s="9"/>
      <c r="W42" s="9"/>
      <c r="X42" s="49">
        <v>1</v>
      </c>
      <c r="Y42" s="547">
        <v>3.1536000000000002E-2</v>
      </c>
      <c r="Z42" s="49">
        <v>30</v>
      </c>
      <c r="AA42" s="608">
        <f>H42*R42</f>
        <v>0.69502892664780547</v>
      </c>
      <c r="AB42" s="608">
        <f>I42*S42</f>
        <v>0.33279355110890019</v>
      </c>
      <c r="AC42" s="128">
        <f>IF($F$81=0,0,F42/$F$81)</f>
        <v>3.7504679554000005E-2</v>
      </c>
    </row>
    <row r="43" spans="2:29">
      <c r="B43" s="9"/>
      <c r="C43" s="9"/>
      <c r="D43" s="9" t="s">
        <v>655</v>
      </c>
      <c r="E43" s="52" t="str">
        <f ca="1">IEAData!$B$38</f>
        <v>INDELC</v>
      </c>
      <c r="F43" s="19"/>
      <c r="G43" s="19"/>
      <c r="H43" s="105"/>
      <c r="I43" s="105"/>
      <c r="J43" s="12"/>
      <c r="K43" s="31"/>
      <c r="L43" s="9"/>
      <c r="M43" s="345"/>
      <c r="N43" s="345"/>
      <c r="O43" s="345"/>
      <c r="P43" s="49"/>
      <c r="Q43" s="12"/>
      <c r="R43" s="105"/>
      <c r="S43" s="105"/>
      <c r="T43" s="62"/>
      <c r="U43" s="9"/>
      <c r="V43" s="9">
        <v>0</v>
      </c>
      <c r="W43" s="9">
        <v>0.4</v>
      </c>
      <c r="X43" s="49"/>
      <c r="Y43" s="547"/>
      <c r="Z43" s="49"/>
      <c r="AA43" s="476"/>
      <c r="AB43" s="476"/>
    </row>
    <row r="44" spans="2:29">
      <c r="B44" s="218"/>
      <c r="C44" s="9"/>
      <c r="D44" s="9"/>
      <c r="E44" s="52" t="s">
        <v>728</v>
      </c>
      <c r="F44" s="186"/>
      <c r="G44" s="186"/>
      <c r="H44" s="287"/>
      <c r="I44" s="287"/>
      <c r="J44" s="12"/>
      <c r="K44" s="31"/>
      <c r="L44" s="542"/>
      <c r="M44" s="345"/>
      <c r="N44" s="345"/>
      <c r="O44" s="345"/>
      <c r="P44" s="49"/>
      <c r="Q44" s="12"/>
      <c r="R44" s="287"/>
      <c r="S44" s="287"/>
      <c r="T44" s="62"/>
      <c r="U44" s="9"/>
      <c r="V44" s="9"/>
      <c r="W44" s="9"/>
      <c r="X44" s="49"/>
      <c r="Y44" s="547"/>
      <c r="Z44" s="49"/>
      <c r="AA44" s="476"/>
      <c r="AB44" s="476"/>
    </row>
    <row r="45" spans="2:29">
      <c r="B45" s="35" t="s">
        <v>926</v>
      </c>
      <c r="C45" s="23" t="s">
        <v>927</v>
      </c>
      <c r="D45" s="9" t="str">
        <f ca="1">IEAData!AX11</f>
        <v>INDCOK</v>
      </c>
      <c r="E45" s="52"/>
      <c r="F45" s="186">
        <f ca="1">IEAData!AY11</f>
        <v>4.1281514391858648E-3</v>
      </c>
      <c r="G45" s="186">
        <f ca="1">AuxData!AY11</f>
        <v>0</v>
      </c>
      <c r="H45" s="287">
        <f ca="1">VLOOKUP(D45,IEAData!$AX$25:$BA$39,3,0)</f>
        <v>0.15</v>
      </c>
      <c r="I45" s="287">
        <f ca="1">VLOOKUP(D45,AuxData!$AX$25:$BA$39,3,0)</f>
        <v>0.15</v>
      </c>
      <c r="J45" s="546">
        <f ca="1">G45*I45</f>
        <v>0</v>
      </c>
      <c r="K45" s="31">
        <v>1</v>
      </c>
      <c r="L45" s="542"/>
      <c r="M45" s="345">
        <f>F45*H45/Q45/Y45*$M$29</f>
        <v>2.8050605017299036E-2</v>
      </c>
      <c r="N45" s="345">
        <f>J45/Q45/Y45*$M$29</f>
        <v>0</v>
      </c>
      <c r="O45" s="345"/>
      <c r="P45" s="49">
        <v>0</v>
      </c>
      <c r="Q45" s="12">
        <v>0.7</v>
      </c>
      <c r="R45" s="287">
        <f ca="1">VLOOKUP(D45,IEAData!$AX$25:$BA$39,4,0)</f>
        <v>5.666666666666667</v>
      </c>
      <c r="S45" s="287">
        <f ca="1">VLOOKUP(D45,AuxData!$AX$25:$BA$39,4,0)</f>
        <v>4.3333333333333339</v>
      </c>
      <c r="T45" s="62">
        <v>1.5896610096868875</v>
      </c>
      <c r="U45" s="9"/>
      <c r="V45" s="9"/>
      <c r="W45" s="9"/>
      <c r="X45" s="49">
        <v>1</v>
      </c>
      <c r="Y45" s="547">
        <v>3.1536000000000002E-2</v>
      </c>
      <c r="Z45" s="49">
        <v>30</v>
      </c>
      <c r="AA45" s="608">
        <f>H45*R45</f>
        <v>0.85</v>
      </c>
      <c r="AB45" s="608">
        <f>I45*S45</f>
        <v>0.65</v>
      </c>
      <c r="AC45" s="128">
        <f>IF($F$81=0,0,F45/$F$81)</f>
        <v>3.7028119287692109E-5</v>
      </c>
    </row>
    <row r="46" spans="2:29">
      <c r="B46" s="9"/>
      <c r="C46" s="9"/>
      <c r="D46" s="9"/>
      <c r="E46" s="52" t="str">
        <f ca="1">IEAData!$B$38</f>
        <v>INDELC</v>
      </c>
      <c r="F46" s="19"/>
      <c r="G46" s="19"/>
      <c r="H46" s="105"/>
      <c r="I46" s="105"/>
      <c r="J46" s="12"/>
      <c r="K46" s="31"/>
      <c r="L46" s="542"/>
      <c r="M46" s="345"/>
      <c r="N46" s="345"/>
      <c r="O46" s="345"/>
      <c r="P46" s="49"/>
      <c r="Q46" s="12"/>
      <c r="R46" s="105"/>
      <c r="S46" s="105"/>
      <c r="T46" s="62"/>
      <c r="U46" s="9"/>
      <c r="V46" s="9"/>
      <c r="W46" s="9"/>
      <c r="X46" s="49"/>
      <c r="Y46" s="547"/>
      <c r="Z46" s="49"/>
      <c r="AA46" s="476"/>
      <c r="AB46" s="476"/>
    </row>
    <row r="47" spans="2:29">
      <c r="B47" s="218"/>
      <c r="C47" s="9"/>
      <c r="D47" s="9"/>
      <c r="E47" s="52" t="s">
        <v>728</v>
      </c>
      <c r="F47" s="19"/>
      <c r="G47" s="19"/>
      <c r="H47" s="105"/>
      <c r="I47" s="105"/>
      <c r="J47" s="12"/>
      <c r="K47" s="31"/>
      <c r="L47" s="542"/>
      <c r="M47" s="345"/>
      <c r="N47" s="345"/>
      <c r="O47" s="345"/>
      <c r="P47" s="49"/>
      <c r="Q47" s="12"/>
      <c r="R47" s="105"/>
      <c r="S47" s="105"/>
      <c r="T47" s="62"/>
      <c r="U47" s="9"/>
      <c r="V47" s="9"/>
      <c r="W47" s="9"/>
      <c r="X47" s="49"/>
      <c r="Y47" s="547"/>
      <c r="Z47" s="49"/>
      <c r="AA47" s="476"/>
      <c r="AB47" s="476"/>
    </row>
    <row r="48" spans="2:29">
      <c r="B48" s="35" t="s">
        <v>928</v>
      </c>
      <c r="C48" s="23" t="s">
        <v>929</v>
      </c>
      <c r="D48" s="9" t="str">
        <f ca="1">IEAData!AX12</f>
        <v>INDCOG</v>
      </c>
      <c r="E48" s="52"/>
      <c r="F48" s="186">
        <f ca="1">IEAData!AY12</f>
        <v>3.2405832000000002E-2</v>
      </c>
      <c r="G48" s="186">
        <f ca="1">AuxData!AY12</f>
        <v>0</v>
      </c>
      <c r="H48" s="287">
        <f ca="1">VLOOKUP(D48,IEAData!$AX$25:$BA$39,3,0)</f>
        <v>0.52820617612473597</v>
      </c>
      <c r="I48" s="287">
        <f ca="1">VLOOKUP(D48,AuxData!$AX$25:$BA$39,3,0)</f>
        <v>0.15</v>
      </c>
      <c r="J48" s="546">
        <f ca="1">G48*I48</f>
        <v>0</v>
      </c>
      <c r="K48" s="31">
        <v>1</v>
      </c>
      <c r="L48" s="542"/>
      <c r="M48" s="345">
        <f>F48*H48/Q48/Y48*$M$29</f>
        <v>0.77539322882060446</v>
      </c>
      <c r="N48" s="345">
        <f>J48/Q48/Y48*$M$29</f>
        <v>0</v>
      </c>
      <c r="O48" s="345"/>
      <c r="P48" s="49">
        <v>0</v>
      </c>
      <c r="Q48" s="12">
        <v>0.7</v>
      </c>
      <c r="R48" s="287">
        <f ca="1">VLOOKUP(D48,IEAData!$AX$25:$BA$39,4,0)</f>
        <v>0.64330818672122714</v>
      </c>
      <c r="S48" s="287">
        <f ca="1">VLOOKUP(D48,AuxData!$AX$25:$BA$39,4,0)</f>
        <v>4.3333333333333339</v>
      </c>
      <c r="T48" s="62">
        <v>0.99079512124768554</v>
      </c>
      <c r="U48" s="9"/>
      <c r="V48" s="9"/>
      <c r="W48" s="9"/>
      <c r="X48" s="49">
        <v>1</v>
      </c>
      <c r="Y48" s="547">
        <v>3.1536000000000002E-2</v>
      </c>
      <c r="Z48" s="49">
        <v>30</v>
      </c>
      <c r="AA48" s="608">
        <f>H48*R48</f>
        <v>0.33979935737775702</v>
      </c>
      <c r="AB48" s="608">
        <f>I48*S48</f>
        <v>0.65</v>
      </c>
      <c r="AC48" s="128">
        <f>IF($F$81=0,0,F48/$F$81)</f>
        <v>2.9066932998697217E-4</v>
      </c>
    </row>
    <row r="49" spans="2:29">
      <c r="B49" s="9"/>
      <c r="C49" s="9"/>
      <c r="D49" s="9"/>
      <c r="E49" s="52" t="str">
        <f ca="1">IEAData!$B$38</f>
        <v>INDELC</v>
      </c>
      <c r="F49" s="19"/>
      <c r="G49" s="19"/>
      <c r="H49" s="105"/>
      <c r="I49" s="105"/>
      <c r="J49" s="12"/>
      <c r="K49" s="31"/>
      <c r="L49" s="542"/>
      <c r="M49" s="345"/>
      <c r="N49" s="345"/>
      <c r="O49" s="345"/>
      <c r="P49" s="49"/>
      <c r="Q49" s="12"/>
      <c r="R49" s="105"/>
      <c r="S49" s="105"/>
      <c r="T49" s="62"/>
      <c r="U49" s="9"/>
      <c r="V49" s="9"/>
      <c r="W49" s="9"/>
      <c r="X49" s="49"/>
      <c r="Y49" s="547"/>
      <c r="Z49" s="49"/>
      <c r="AA49" s="476"/>
      <c r="AB49" s="476"/>
    </row>
    <row r="50" spans="2:29">
      <c r="B50" s="218"/>
      <c r="C50" s="9"/>
      <c r="D50" s="9"/>
      <c r="E50" s="52" t="s">
        <v>728</v>
      </c>
      <c r="F50" s="19"/>
      <c r="G50" s="19"/>
      <c r="H50" s="105"/>
      <c r="I50" s="105"/>
      <c r="J50" s="12"/>
      <c r="K50" s="55"/>
      <c r="L50" s="543"/>
      <c r="M50" s="345"/>
      <c r="N50" s="345"/>
      <c r="O50" s="345"/>
      <c r="P50" s="49"/>
      <c r="Q50" s="49"/>
      <c r="R50" s="105"/>
      <c r="S50" s="105"/>
      <c r="T50" s="62"/>
      <c r="U50" s="9"/>
      <c r="V50" s="9"/>
      <c r="W50" s="9"/>
      <c r="X50" s="49"/>
      <c r="Y50" s="547"/>
      <c r="Z50" s="49"/>
      <c r="AA50" s="476"/>
      <c r="AB50" s="476"/>
    </row>
    <row r="51" spans="2:29">
      <c r="B51" s="35" t="s">
        <v>930</v>
      </c>
      <c r="C51" s="23" t="s">
        <v>932</v>
      </c>
      <c r="D51" s="9" t="str">
        <f ca="1">IEAData!AX13</f>
        <v>INDBFG</v>
      </c>
      <c r="E51" s="52"/>
      <c r="F51" s="186">
        <f ca="1">IEAData!AY13</f>
        <v>0.30396168000000007</v>
      </c>
      <c r="G51" s="186">
        <f ca="1">AuxData!AY13</f>
        <v>0</v>
      </c>
      <c r="H51" s="287">
        <f ca="1">VLOOKUP(D51,IEAData!$AX$25:$BA$39,3,0)</f>
        <v>0.48429085272130751</v>
      </c>
      <c r="I51" s="287">
        <f ca="1">VLOOKUP(D51,AuxData!$AX$25:$BA$39,3,0)</f>
        <v>0.15</v>
      </c>
      <c r="J51" s="546">
        <f ca="1">G51*I51</f>
        <v>0</v>
      </c>
      <c r="K51" s="31">
        <v>1</v>
      </c>
      <c r="L51" s="9"/>
      <c r="M51" s="345">
        <f>F51*H51/Q51/Y51*$M$29</f>
        <v>6.6683817678571993</v>
      </c>
      <c r="N51" s="345">
        <f>J51/Q51/Y51*$M$29</f>
        <v>0</v>
      </c>
      <c r="O51" s="345"/>
      <c r="P51" s="49">
        <v>0</v>
      </c>
      <c r="Q51" s="12">
        <v>0.7</v>
      </c>
      <c r="R51" s="287">
        <f ca="1">VLOOKUP(D51,IEAData!$AX$25:$BA$39,4,0)</f>
        <v>0.65189987691213347</v>
      </c>
      <c r="S51" s="287">
        <f ca="1">VLOOKUP(D51,AuxData!$AX$25:$BA$39,4,0)</f>
        <v>4.3333333333333339</v>
      </c>
      <c r="T51" s="62">
        <v>0.99079512124768554</v>
      </c>
      <c r="U51" s="9"/>
      <c r="V51" s="9"/>
      <c r="W51" s="9"/>
      <c r="X51" s="49">
        <v>1</v>
      </c>
      <c r="Y51" s="547">
        <v>3.1536000000000002E-2</v>
      </c>
      <c r="Z51" s="49">
        <v>30</v>
      </c>
      <c r="AA51" s="608">
        <f>H51*R51</f>
        <v>0.31570914727869254</v>
      </c>
      <c r="AB51" s="608">
        <f>I51*S51</f>
        <v>0.65</v>
      </c>
      <c r="AC51" s="128">
        <f>IF($F$81=0,0,F51/$F$81)</f>
        <v>2.7264332502653986E-3</v>
      </c>
    </row>
    <row r="52" spans="2:29">
      <c r="B52" s="9"/>
      <c r="C52" s="9"/>
      <c r="D52" s="9"/>
      <c r="E52" s="52" t="str">
        <f ca="1">IEAData!$B$38</f>
        <v>INDELC</v>
      </c>
      <c r="F52" s="19"/>
      <c r="G52" s="19"/>
      <c r="H52" s="105"/>
      <c r="I52" s="105"/>
      <c r="J52" s="12"/>
      <c r="K52" s="31"/>
      <c r="L52" s="9"/>
      <c r="M52" s="345"/>
      <c r="N52" s="345"/>
      <c r="O52" s="345"/>
      <c r="P52" s="49"/>
      <c r="Q52" s="12"/>
      <c r="R52" s="105"/>
      <c r="S52" s="105"/>
      <c r="T52" s="62"/>
      <c r="U52" s="9"/>
      <c r="V52" s="9"/>
      <c r="W52" s="9"/>
      <c r="X52" s="49"/>
      <c r="Y52" s="547"/>
      <c r="Z52" s="49"/>
      <c r="AA52" s="476"/>
      <c r="AB52" s="476"/>
    </row>
    <row r="53" spans="2:29">
      <c r="B53" s="218"/>
      <c r="C53" s="9"/>
      <c r="D53" s="9"/>
      <c r="E53" s="52" t="s">
        <v>728</v>
      </c>
      <c r="F53" s="19"/>
      <c r="G53" s="19"/>
      <c r="H53" s="105"/>
      <c r="I53" s="105"/>
      <c r="J53" s="12"/>
      <c r="K53" s="31"/>
      <c r="L53" s="542"/>
      <c r="M53" s="345"/>
      <c r="N53" s="345"/>
      <c r="O53" s="345"/>
      <c r="P53" s="49"/>
      <c r="Q53" s="12"/>
      <c r="R53" s="105"/>
      <c r="S53" s="105"/>
      <c r="T53" s="62"/>
      <c r="U53" s="9"/>
      <c r="V53" s="9"/>
      <c r="W53" s="9"/>
      <c r="X53" s="49"/>
      <c r="Y53" s="547"/>
      <c r="Z53" s="49"/>
      <c r="AA53" s="476"/>
      <c r="AB53" s="476"/>
    </row>
    <row r="54" spans="2:29">
      <c r="B54" s="35" t="s">
        <v>1154</v>
      </c>
      <c r="C54" s="23" t="s">
        <v>1155</v>
      </c>
      <c r="D54" s="9" t="str">
        <f ca="1">IEAData!AX14</f>
        <v>INDBCO</v>
      </c>
      <c r="E54" s="52"/>
      <c r="F54" s="186">
        <f ca="1">IEAData!AY14</f>
        <v>15.212942315600152</v>
      </c>
      <c r="G54" s="186">
        <f ca="1">AuxData!AY14</f>
        <v>9.8384169549436926</v>
      </c>
      <c r="H54" s="287">
        <f ca="1">VLOOKUP(D54,IEAData!$AX$25:$BA$39,3,0)</f>
        <v>0.18155663265084918</v>
      </c>
      <c r="I54" s="287">
        <f ca="1">VLOOKUP(D54,AuxData!$AX$25:$BA$39,3,0)</f>
        <v>0.17461830217206853</v>
      </c>
      <c r="J54" s="546">
        <f ca="1">G54*I54</f>
        <v>1.7179676647331601</v>
      </c>
      <c r="K54" s="31">
        <v>1</v>
      </c>
      <c r="L54" s="542"/>
      <c r="M54" s="345">
        <f>F54*H54/Q54/Y54*$M$29</f>
        <v>125.11825847702289</v>
      </c>
      <c r="N54" s="345">
        <f>J54/Q54/Y54*$M$29</f>
        <v>77.82342469074618</v>
      </c>
      <c r="O54" s="345"/>
      <c r="P54" s="49">
        <v>0</v>
      </c>
      <c r="Q54" s="12">
        <v>0.7</v>
      </c>
      <c r="R54" s="287">
        <f ca="1">VLOOKUP(D54,IEAData!$AX$25:$BA$39,4,0)</f>
        <v>3.5632916219674438</v>
      </c>
      <c r="S54" s="287">
        <f ca="1">VLOOKUP(D54,AuxData!$AX$25:$BA$39,4,0)</f>
        <v>3.7627558609738405</v>
      </c>
      <c r="T54" s="62">
        <v>1.4243086643462475</v>
      </c>
      <c r="U54" s="9"/>
      <c r="V54" s="9"/>
      <c r="W54" s="9"/>
      <c r="X54" s="49">
        <v>1</v>
      </c>
      <c r="Y54" s="547">
        <v>3.1536000000000002E-2</v>
      </c>
      <c r="Z54" s="49">
        <v>30</v>
      </c>
      <c r="AA54" s="608">
        <f>H54*R54</f>
        <v>0.64693922803739168</v>
      </c>
      <c r="AB54" s="608">
        <f>I54*S54</f>
        <v>0.65704603993125199</v>
      </c>
      <c r="AC54" s="128">
        <f>IF($F$81=0,0,F54/$F$81)</f>
        <v>0.13645493656839155</v>
      </c>
    </row>
    <row r="55" spans="2:29">
      <c r="B55" s="9"/>
      <c r="C55" s="9"/>
      <c r="D55" s="9" t="s">
        <v>655</v>
      </c>
      <c r="E55" s="52" t="str">
        <f ca="1">IEAData!$B$38</f>
        <v>INDELC</v>
      </c>
      <c r="F55" s="19"/>
      <c r="G55" s="19"/>
      <c r="H55" s="105"/>
      <c r="I55" s="105"/>
      <c r="J55" s="12"/>
      <c r="K55" s="31"/>
      <c r="L55" s="542"/>
      <c r="M55" s="345"/>
      <c r="N55" s="345"/>
      <c r="O55" s="345"/>
      <c r="P55" s="49"/>
      <c r="Q55" s="12"/>
      <c r="R55" s="105"/>
      <c r="S55" s="105"/>
      <c r="T55" s="62"/>
      <c r="U55" s="9"/>
      <c r="V55" s="9">
        <v>0</v>
      </c>
      <c r="W55" s="9">
        <v>0.6</v>
      </c>
      <c r="X55" s="49"/>
      <c r="Y55" s="547"/>
      <c r="Z55" s="49"/>
      <c r="AA55" s="476"/>
      <c r="AB55" s="476"/>
    </row>
    <row r="56" spans="2:29">
      <c r="B56" s="218"/>
      <c r="C56" s="9"/>
      <c r="D56" s="9"/>
      <c r="E56" s="52" t="s">
        <v>728</v>
      </c>
      <c r="F56" s="19"/>
      <c r="G56" s="19"/>
      <c r="H56" s="105"/>
      <c r="I56" s="105"/>
      <c r="J56" s="12"/>
      <c r="K56" s="31"/>
      <c r="L56" s="542"/>
      <c r="M56" s="345"/>
      <c r="N56" s="345"/>
      <c r="O56" s="345"/>
      <c r="P56" s="49"/>
      <c r="Q56" s="12"/>
      <c r="R56" s="105"/>
      <c r="S56" s="105"/>
      <c r="T56" s="62"/>
      <c r="U56" s="9"/>
      <c r="V56" s="9"/>
      <c r="W56" s="9"/>
      <c r="X56" s="49"/>
      <c r="Y56" s="547"/>
      <c r="Z56" s="49"/>
      <c r="AA56" s="476"/>
      <c r="AB56" s="476"/>
    </row>
    <row r="57" spans="2:29">
      <c r="B57" s="35" t="s">
        <v>933</v>
      </c>
      <c r="C57" s="23" t="s">
        <v>934</v>
      </c>
      <c r="D57" s="9" t="str">
        <f ca="1">IEAData!AX15</f>
        <v>INDHFO</v>
      </c>
      <c r="E57" s="52"/>
      <c r="F57" s="186">
        <f ca="1">IEAData!AY15</f>
        <v>1.4896480936063135</v>
      </c>
      <c r="G57" s="186">
        <f ca="1">AuxData!AY15</f>
        <v>2.1684661173515578</v>
      </c>
      <c r="H57" s="287">
        <f ca="1">VLOOKUP(D57,IEAData!$AX$25:$BA$39,3,0)</f>
        <v>0.38470551770610761</v>
      </c>
      <c r="I57" s="287">
        <f ca="1">VLOOKUP(D57,AuxData!$AX$25:$BA$39,3,0)</f>
        <v>0.15</v>
      </c>
      <c r="J57" s="546">
        <f ca="1">G57*I57</f>
        <v>0.32526991760273366</v>
      </c>
      <c r="K57" s="31">
        <v>1</v>
      </c>
      <c r="L57" s="542"/>
      <c r="M57" s="345">
        <f>F57*H57/Q57/Y57*$M$29</f>
        <v>25.960165300913832</v>
      </c>
      <c r="N57" s="345">
        <f>J57/Q57/Y57*$M$29</f>
        <v>14.734630608227045</v>
      </c>
      <c r="O57" s="345"/>
      <c r="P57" s="49">
        <v>0</v>
      </c>
      <c r="Q57" s="12">
        <v>0.7</v>
      </c>
      <c r="R57" s="287">
        <f ca="1">VLOOKUP(D57,IEAData!$AX$25:$BA$39,4,0)</f>
        <v>1.2562396495873471</v>
      </c>
      <c r="S57" s="287">
        <f ca="1">VLOOKUP(D57,AuxData!$AX$25:$BA$39,4,0)</f>
        <v>5.6447105127605619</v>
      </c>
      <c r="T57" s="62">
        <v>1.0861910001327286</v>
      </c>
      <c r="U57" s="9"/>
      <c r="V57" s="9"/>
      <c r="W57" s="9"/>
      <c r="X57" s="49">
        <v>1</v>
      </c>
      <c r="Y57" s="547">
        <v>3.1536000000000002E-2</v>
      </c>
      <c r="Z57" s="49">
        <v>30</v>
      </c>
      <c r="AA57" s="608">
        <f>H57*R57</f>
        <v>0.4832823247574396</v>
      </c>
      <c r="AB57" s="608">
        <f>I57*S57</f>
        <v>0.84670657691408424</v>
      </c>
      <c r="AC57" s="128">
        <f>IF($F$81=0,0,F57/$F$81)</f>
        <v>1.3361638524970368E-2</v>
      </c>
    </row>
    <row r="58" spans="2:29">
      <c r="B58" s="9"/>
      <c r="C58" s="9"/>
      <c r="D58" s="9"/>
      <c r="E58" s="52" t="str">
        <f ca="1">IEAData!$B$38</f>
        <v>INDELC</v>
      </c>
      <c r="F58" s="19"/>
      <c r="G58" s="19"/>
      <c r="H58" s="105"/>
      <c r="I58" s="105"/>
      <c r="J58" s="12"/>
      <c r="K58" s="31"/>
      <c r="L58" s="542"/>
      <c r="M58" s="345"/>
      <c r="N58" s="345"/>
      <c r="O58" s="345"/>
      <c r="P58" s="49"/>
      <c r="Q58" s="12"/>
      <c r="R58" s="105"/>
      <c r="S58" s="105"/>
      <c r="T58" s="62"/>
      <c r="U58" s="9"/>
      <c r="V58" s="9"/>
      <c r="W58" s="9"/>
      <c r="X58" s="49"/>
      <c r="Y58" s="547"/>
      <c r="Z58" s="49"/>
      <c r="AA58" s="476"/>
      <c r="AB58" s="476"/>
    </row>
    <row r="59" spans="2:29">
      <c r="B59" s="218"/>
      <c r="C59" s="9"/>
      <c r="D59" s="9"/>
      <c r="E59" s="52" t="s">
        <v>728</v>
      </c>
      <c r="F59" s="19"/>
      <c r="G59" s="19"/>
      <c r="H59" s="105"/>
      <c r="I59" s="105"/>
      <c r="J59" s="12"/>
      <c r="K59" s="55"/>
      <c r="L59" s="543"/>
      <c r="M59" s="345"/>
      <c r="N59" s="345"/>
      <c r="O59" s="345"/>
      <c r="P59" s="49"/>
      <c r="Q59" s="49"/>
      <c r="R59" s="105"/>
      <c r="S59" s="105"/>
      <c r="T59" s="62"/>
      <c r="U59" s="9"/>
      <c r="V59" s="9"/>
      <c r="W59" s="9"/>
      <c r="X59" s="49"/>
      <c r="Y59" s="547"/>
      <c r="Z59" s="49"/>
      <c r="AA59" s="476"/>
      <c r="AB59" s="476"/>
    </row>
    <row r="60" spans="2:29">
      <c r="B60" s="35" t="s">
        <v>935</v>
      </c>
      <c r="C60" s="23" t="s">
        <v>936</v>
      </c>
      <c r="D60" s="9" t="str">
        <f ca="1">IEAData!AX16</f>
        <v>INDOIL</v>
      </c>
      <c r="E60" s="52"/>
      <c r="F60" s="186">
        <f ca="1">IEAData!AY16</f>
        <v>4.0787516410912716E-2</v>
      </c>
      <c r="G60" s="186">
        <f ca="1">AuxData!AY16</f>
        <v>0.12810511539859637</v>
      </c>
      <c r="H60" s="287">
        <f ca="1">VLOOKUP(D60,IEAData!$AX$25:$BA$39,3,0)</f>
        <v>0.25179705131956936</v>
      </c>
      <c r="I60" s="287">
        <f ca="1">VLOOKUP(D60,AuxData!$AX$25:$BA$39,3,0)</f>
        <v>0.15</v>
      </c>
      <c r="J60" s="546">
        <f ca="1">G60*I60</f>
        <v>1.9215767309789456E-2</v>
      </c>
      <c r="K60" s="31">
        <v>1</v>
      </c>
      <c r="L60" s="9"/>
      <c r="M60" s="345">
        <f>F60*H60/Q60/Y60*$M$29</f>
        <v>0.46523593729236279</v>
      </c>
      <c r="N60" s="345">
        <f>J60/Q60/Y60*$M$29</f>
        <v>0.87046854885978187</v>
      </c>
      <c r="O60" s="345"/>
      <c r="P60" s="49">
        <v>0</v>
      </c>
      <c r="Q60" s="12">
        <v>0.7</v>
      </c>
      <c r="R60" s="287">
        <f ca="1">VLOOKUP(D60,IEAData!$AX$25:$BA$39,4,0)</f>
        <v>2.2565909557030244</v>
      </c>
      <c r="S60" s="287">
        <f ca="1">VLOOKUP(D60,AuxData!$AX$25:$BA$39,4,0)</f>
        <v>4.4666666666666668</v>
      </c>
      <c r="T60" s="62">
        <v>0.61753730279990615</v>
      </c>
      <c r="U60" s="9"/>
      <c r="V60" s="9"/>
      <c r="W60" s="9"/>
      <c r="X60" s="49">
        <v>1</v>
      </c>
      <c r="Y60" s="547">
        <v>3.1536000000000002E-2</v>
      </c>
      <c r="Z60" s="49">
        <v>30</v>
      </c>
      <c r="AA60" s="608">
        <f>H60*R60</f>
        <v>0.56820294868043053</v>
      </c>
      <c r="AB60" s="608">
        <f>I60*S60</f>
        <v>0.67</v>
      </c>
      <c r="AC60" s="128">
        <f>IF($F$81=0,0,F60/$F$81)</f>
        <v>3.6585019841467518E-4</v>
      </c>
    </row>
    <row r="61" spans="2:29">
      <c r="B61" s="9"/>
      <c r="C61" s="9"/>
      <c r="D61" s="9"/>
      <c r="E61" s="52" t="str">
        <f ca="1">IEAData!$B$38</f>
        <v>INDELC</v>
      </c>
      <c r="F61" s="19"/>
      <c r="G61" s="19"/>
      <c r="H61" s="105"/>
      <c r="I61" s="105"/>
      <c r="J61" s="12"/>
      <c r="K61" s="31"/>
      <c r="L61" s="9"/>
      <c r="M61" s="345"/>
      <c r="N61" s="345"/>
      <c r="O61" s="345"/>
      <c r="P61" s="49"/>
      <c r="Q61" s="12"/>
      <c r="R61" s="105"/>
      <c r="S61" s="105"/>
      <c r="T61" s="62"/>
      <c r="U61" s="9"/>
      <c r="V61" s="9"/>
      <c r="W61" s="9"/>
      <c r="X61" s="49"/>
      <c r="Y61" s="547"/>
      <c r="Z61" s="49"/>
      <c r="AA61" s="476"/>
      <c r="AB61" s="476"/>
    </row>
    <row r="62" spans="2:29">
      <c r="B62" s="218"/>
      <c r="C62" s="9"/>
      <c r="D62" s="9"/>
      <c r="E62" s="52" t="s">
        <v>728</v>
      </c>
      <c r="F62" s="19"/>
      <c r="G62" s="19"/>
      <c r="H62" s="105"/>
      <c r="I62" s="105"/>
      <c r="J62" s="12"/>
      <c r="K62" s="31"/>
      <c r="L62" s="542"/>
      <c r="M62" s="345"/>
      <c r="N62" s="345"/>
      <c r="O62" s="345"/>
      <c r="P62" s="49"/>
      <c r="Q62" s="12"/>
      <c r="R62" s="105"/>
      <c r="S62" s="105"/>
      <c r="T62" s="62"/>
      <c r="U62" s="9"/>
      <c r="V62" s="9"/>
      <c r="W62" s="9"/>
      <c r="X62" s="49"/>
      <c r="Y62" s="547"/>
      <c r="Z62" s="49"/>
      <c r="AA62" s="476"/>
      <c r="AB62" s="476"/>
    </row>
    <row r="63" spans="2:29">
      <c r="B63" s="35" t="s">
        <v>937</v>
      </c>
      <c r="C63" s="23" t="s">
        <v>938</v>
      </c>
      <c r="D63" s="9" t="str">
        <f ca="1">IEAData!AX17</f>
        <v>INDETH</v>
      </c>
      <c r="E63" s="52"/>
      <c r="F63" s="186">
        <f ca="1">IEAData!AY17</f>
        <v>9.901782000000002E-2</v>
      </c>
      <c r="G63" s="186">
        <f ca="1">AuxData!AY17</f>
        <v>0.31070919785226414</v>
      </c>
      <c r="H63" s="287">
        <f ca="1">VLOOKUP(D63,IEAData!$AX$25:$BA$39,3,0)</f>
        <v>0.44945543713886627</v>
      </c>
      <c r="I63" s="287">
        <f ca="1">VLOOKUP(D63,AuxData!$AX$25:$BA$39,3,0)</f>
        <v>0.15</v>
      </c>
      <c r="J63" s="546">
        <f ca="1">G63*I63</f>
        <v>4.6606379677839621E-2</v>
      </c>
      <c r="K63" s="31">
        <v>1</v>
      </c>
      <c r="L63" s="542"/>
      <c r="M63" s="345">
        <f>F63*H63/Q63/Y63*$M$29</f>
        <v>2.0160223949335716</v>
      </c>
      <c r="N63" s="345">
        <f>J63/Q63/Y63*$M$29</f>
        <v>2.1112551495723535</v>
      </c>
      <c r="O63" s="345"/>
      <c r="P63" s="49">
        <v>0</v>
      </c>
      <c r="Q63" s="12">
        <v>0.7</v>
      </c>
      <c r="R63" s="287">
        <f ca="1">VLOOKUP(D63,IEAData!$AX$25:$BA$39,4,0)</f>
        <v>1.2249146797862285</v>
      </c>
      <c r="S63" s="287">
        <f ca="1">VLOOKUP(D63,AuxData!$AX$25:$BA$39,4,0)</f>
        <v>5.666666666666667</v>
      </c>
      <c r="T63" s="62">
        <v>0.61753730279990615</v>
      </c>
      <c r="U63" s="9"/>
      <c r="V63" s="9"/>
      <c r="W63" s="9"/>
      <c r="X63" s="49">
        <v>1</v>
      </c>
      <c r="Y63" s="547">
        <v>3.1536000000000002E-2</v>
      </c>
      <c r="Z63" s="49">
        <v>30</v>
      </c>
      <c r="AA63" s="608">
        <f>H63*R63</f>
        <v>0.55054456286113373</v>
      </c>
      <c r="AB63" s="608">
        <f>I63*S63</f>
        <v>0.85</v>
      </c>
      <c r="AC63" s="128">
        <f>IF($F$81=0,0,F63/$F$81)</f>
        <v>8.8815628607130399E-4</v>
      </c>
    </row>
    <row r="64" spans="2:29">
      <c r="B64" s="9"/>
      <c r="C64" s="9"/>
      <c r="D64" s="9"/>
      <c r="E64" s="52" t="str">
        <f ca="1">IEAData!$B$38</f>
        <v>INDELC</v>
      </c>
      <c r="F64" s="19"/>
      <c r="G64" s="19"/>
      <c r="H64" s="105"/>
      <c r="I64" s="105"/>
      <c r="J64" s="12"/>
      <c r="K64" s="31"/>
      <c r="L64" s="542"/>
      <c r="M64" s="345"/>
      <c r="N64" s="345"/>
      <c r="O64" s="345"/>
      <c r="P64" s="49"/>
      <c r="Q64" s="12"/>
      <c r="R64" s="105"/>
      <c r="S64" s="105"/>
      <c r="T64" s="62"/>
      <c r="U64" s="9"/>
      <c r="V64" s="9"/>
      <c r="W64" s="9"/>
      <c r="X64" s="49"/>
      <c r="Y64" s="547"/>
      <c r="Z64" s="49"/>
      <c r="AA64" s="476"/>
      <c r="AB64" s="476"/>
    </row>
    <row r="65" spans="2:29">
      <c r="B65" s="218"/>
      <c r="C65" s="9"/>
      <c r="D65" s="9"/>
      <c r="E65" s="52" t="s">
        <v>728</v>
      </c>
      <c r="F65" s="19"/>
      <c r="G65" s="19"/>
      <c r="H65" s="105"/>
      <c r="I65" s="105"/>
      <c r="J65" s="12"/>
      <c r="K65" s="31"/>
      <c r="L65" s="542"/>
      <c r="M65" s="345"/>
      <c r="N65" s="345"/>
      <c r="O65" s="345"/>
      <c r="P65" s="49"/>
      <c r="Q65" s="12"/>
      <c r="R65" s="105"/>
      <c r="S65" s="105"/>
      <c r="T65" s="62"/>
      <c r="U65" s="9"/>
      <c r="V65" s="9"/>
      <c r="W65" s="9"/>
      <c r="X65" s="49"/>
      <c r="Y65" s="547"/>
      <c r="Z65" s="49"/>
      <c r="AA65" s="476"/>
      <c r="AB65" s="476"/>
    </row>
    <row r="66" spans="2:29">
      <c r="B66" s="35" t="s">
        <v>939</v>
      </c>
      <c r="C66" s="23" t="s">
        <v>941</v>
      </c>
      <c r="D66" s="9" t="str">
        <f ca="1">IEAData!AX18</f>
        <v>INDPTC</v>
      </c>
      <c r="E66" s="52"/>
      <c r="F66" s="186">
        <f ca="1">IEAData!AY18</f>
        <v>0</v>
      </c>
      <c r="G66" s="186">
        <f ca="1">AuxData!AY18</f>
        <v>0</v>
      </c>
      <c r="H66" s="287">
        <f ca="1">VLOOKUP(D66,IEAData!$AX$25:$BA$39,3,0)</f>
        <v>0.15</v>
      </c>
      <c r="I66" s="287">
        <f ca="1">VLOOKUP(D66,AuxData!$AX$25:$BA$39,3,0)</f>
        <v>0.15</v>
      </c>
      <c r="J66" s="546">
        <f ca="1">G66*I66</f>
        <v>0</v>
      </c>
      <c r="K66" s="31">
        <v>1</v>
      </c>
      <c r="L66" s="9"/>
      <c r="M66" s="345">
        <f>F66*H66/Q66/Y66*$M$29</f>
        <v>0</v>
      </c>
      <c r="N66" s="345">
        <f>J66/Q66/Y66*$M$29</f>
        <v>0</v>
      </c>
      <c r="O66" s="345"/>
      <c r="P66" s="49">
        <v>0</v>
      </c>
      <c r="Q66" s="12">
        <v>0.7</v>
      </c>
      <c r="R66" s="287">
        <f ca="1">VLOOKUP(D66,IEAData!$AX$25:$BA$39,4,0)</f>
        <v>4.3333333333333339</v>
      </c>
      <c r="S66" s="287">
        <f ca="1">VLOOKUP(D66,AuxData!$AX$25:$BA$39,4,0)</f>
        <v>4.3333333333333339</v>
      </c>
      <c r="T66" s="62">
        <v>1.5896610096868875</v>
      </c>
      <c r="U66" s="9"/>
      <c r="V66" s="9"/>
      <c r="W66" s="9"/>
      <c r="X66" s="49">
        <v>1</v>
      </c>
      <c r="Y66" s="547">
        <v>3.1536000000000002E-2</v>
      </c>
      <c r="Z66" s="49">
        <v>30</v>
      </c>
      <c r="AA66" s="608">
        <f>H66*R66</f>
        <v>0.65</v>
      </c>
      <c r="AB66" s="608">
        <f>I66*S66</f>
        <v>0.65</v>
      </c>
      <c r="AC66" s="128">
        <f>IF($F$81=0,0,F66/$F$81)</f>
        <v>0</v>
      </c>
    </row>
    <row r="67" spans="2:29">
      <c r="B67" s="9"/>
      <c r="C67" s="9"/>
      <c r="D67" s="9"/>
      <c r="E67" s="52" t="str">
        <f ca="1">IEAData!$B$38</f>
        <v>INDELC</v>
      </c>
      <c r="F67" s="19"/>
      <c r="G67" s="19"/>
      <c r="H67" s="105"/>
      <c r="I67" s="105"/>
      <c r="J67" s="12"/>
      <c r="K67" s="31"/>
      <c r="L67" s="9"/>
      <c r="M67" s="345"/>
      <c r="N67" s="345"/>
      <c r="O67" s="345"/>
      <c r="P67" s="49"/>
      <c r="Q67" s="12"/>
      <c r="R67" s="105"/>
      <c r="S67" s="105"/>
      <c r="T67" s="62"/>
      <c r="U67" s="9"/>
      <c r="V67" s="9"/>
      <c r="W67" s="9"/>
      <c r="X67" s="49"/>
      <c r="Y67" s="547"/>
      <c r="Z67" s="49"/>
      <c r="AA67" s="476"/>
      <c r="AB67" s="476"/>
    </row>
    <row r="68" spans="2:29">
      <c r="B68" s="218"/>
      <c r="C68" s="9"/>
      <c r="D68" s="9"/>
      <c r="E68" s="52" t="s">
        <v>728</v>
      </c>
      <c r="F68" s="19"/>
      <c r="G68" s="19"/>
      <c r="H68" s="105"/>
      <c r="I68" s="105"/>
      <c r="J68" s="12"/>
      <c r="K68" s="31"/>
      <c r="L68" s="542"/>
      <c r="M68" s="345"/>
      <c r="N68" s="345"/>
      <c r="O68" s="345"/>
      <c r="P68" s="49"/>
      <c r="Q68" s="12"/>
      <c r="R68" s="105"/>
      <c r="S68" s="105"/>
      <c r="T68" s="62"/>
      <c r="U68" s="9"/>
      <c r="V68" s="9"/>
      <c r="W68" s="9"/>
      <c r="X68" s="49"/>
      <c r="Y68" s="547"/>
      <c r="Z68" s="49"/>
      <c r="AA68" s="476"/>
      <c r="AB68" s="476"/>
    </row>
    <row r="69" spans="2:29">
      <c r="B69" s="35" t="s">
        <v>942</v>
      </c>
      <c r="C69" s="23" t="s">
        <v>943</v>
      </c>
      <c r="D69" s="9" t="s">
        <v>917</v>
      </c>
      <c r="E69" s="52"/>
      <c r="F69" s="186">
        <f ca="1">IEAData!AY19</f>
        <v>1.9699746549099917</v>
      </c>
      <c r="G69" s="186">
        <f ca="1">AuxData!AY19</f>
        <v>5.4240670416282537</v>
      </c>
      <c r="H69" s="287">
        <f ca="1">VLOOKUP(D69,IEAData!$AX$25:$BA$39,3,0)</f>
        <v>0.19336481732144356</v>
      </c>
      <c r="I69" s="287">
        <f ca="1">VLOOKUP(D69,AuxData!$AX$25:$BA$39,3,0)</f>
        <v>0.2320837720025688</v>
      </c>
      <c r="J69" s="546">
        <f ca="1">G69*I69</f>
        <v>1.2588379386158994</v>
      </c>
      <c r="K69" s="31">
        <v>1</v>
      </c>
      <c r="L69" s="9"/>
      <c r="M69" s="345">
        <f>F69*H69/Q69/Y69*$M$29</f>
        <v>17.255734456518823</v>
      </c>
      <c r="N69" s="345">
        <f>J69/Q69/Y69*$M$29</f>
        <v>57.024984535401693</v>
      </c>
      <c r="O69" s="345"/>
      <c r="P69" s="49">
        <v>0</v>
      </c>
      <c r="Q69" s="12">
        <v>0.7</v>
      </c>
      <c r="R69" s="287">
        <f ca="1">VLOOKUP(D69,IEAData!$AX$25:$BA$39,4,0)</f>
        <v>3.1372572895207993</v>
      </c>
      <c r="S69" s="287">
        <f ca="1">VLOOKUP(D69,AuxData!$AX$25:$BA$39,4,0)</f>
        <v>2.44703118661457</v>
      </c>
      <c r="T69" s="62">
        <v>0.63293928682584799</v>
      </c>
      <c r="U69" s="9"/>
      <c r="V69" s="9"/>
      <c r="W69" s="9"/>
      <c r="X69" s="49">
        <v>1</v>
      </c>
      <c r="Y69" s="547">
        <v>3.1536000000000002E-2</v>
      </c>
      <c r="Z69" s="49">
        <v>30</v>
      </c>
      <c r="AA69" s="608">
        <f>H69*R69</f>
        <v>0.60663518267855654</v>
      </c>
      <c r="AB69" s="608">
        <f>I69*S69</f>
        <v>0.56791622799743124</v>
      </c>
      <c r="AC69" s="128">
        <f>IF($F$81=0,0,F69/$F$81)</f>
        <v>1.7670004986571675E-2</v>
      </c>
    </row>
    <row r="70" spans="2:29">
      <c r="B70" s="9"/>
      <c r="C70" s="9"/>
      <c r="D70" s="9"/>
      <c r="E70" s="52" t="str">
        <f ca="1">IEAData!$B$38</f>
        <v>INDELC</v>
      </c>
      <c r="F70" s="19"/>
      <c r="G70" s="19"/>
      <c r="H70" s="105"/>
      <c r="I70" s="105"/>
      <c r="J70" s="12"/>
      <c r="K70" s="31"/>
      <c r="L70" s="9"/>
      <c r="M70" s="345"/>
      <c r="N70" s="345"/>
      <c r="O70" s="345"/>
      <c r="P70" s="49"/>
      <c r="Q70" s="12"/>
      <c r="R70" s="105"/>
      <c r="S70" s="105"/>
      <c r="T70" s="62"/>
      <c r="U70" s="9"/>
      <c r="V70" s="9"/>
      <c r="W70" s="9"/>
      <c r="X70" s="49"/>
      <c r="Y70" s="547"/>
      <c r="Z70" s="49"/>
      <c r="AA70" s="476"/>
      <c r="AB70" s="476"/>
    </row>
    <row r="71" spans="2:29">
      <c r="B71" s="218"/>
      <c r="C71" s="9"/>
      <c r="D71" s="9"/>
      <c r="E71" s="52" t="s">
        <v>728</v>
      </c>
      <c r="F71" s="19"/>
      <c r="G71" s="19"/>
      <c r="H71" s="105"/>
      <c r="I71" s="105"/>
      <c r="J71" s="12"/>
      <c r="K71" s="31"/>
      <c r="L71" s="542"/>
      <c r="M71" s="345"/>
      <c r="N71" s="345"/>
      <c r="O71" s="345"/>
      <c r="P71" s="49"/>
      <c r="Q71" s="12"/>
      <c r="R71" s="105"/>
      <c r="S71" s="105"/>
      <c r="T71" s="62"/>
      <c r="U71" s="9"/>
      <c r="V71" s="9"/>
      <c r="W71" s="9"/>
      <c r="X71" s="49"/>
      <c r="Y71" s="547"/>
      <c r="Z71" s="49"/>
      <c r="AA71" s="476"/>
      <c r="AB71" s="476"/>
    </row>
    <row r="72" spans="2:29">
      <c r="B72" s="35" t="s">
        <v>1360</v>
      </c>
      <c r="C72" s="23" t="s">
        <v>1361</v>
      </c>
      <c r="D72" s="9" t="s">
        <v>655</v>
      </c>
      <c r="E72" s="52"/>
      <c r="F72" s="186">
        <f ca="1">SUM(IEAData!AY19:AY20)-F75-F69</f>
        <v>15.005184229942769</v>
      </c>
      <c r="G72" s="186">
        <f ca="1">SUM(AuxData!AY19:AY20)-G75-G69</f>
        <v>7.7984209612405042</v>
      </c>
      <c r="H72" s="287">
        <f ca="1">VLOOKUP("IND"&amp;MID(B72,5,3),IEAData!$AX$25:$BA$39,3,0)</f>
        <v>0.31799479488968913</v>
      </c>
      <c r="I72" s="287">
        <f ca="1">VLOOKUP("IND"&amp;MID(B72,5,3),AuxData!$AX$25:$BA$39,3,0)</f>
        <v>0.4532670065253534</v>
      </c>
      <c r="J72" s="546">
        <f ca="1">G72*I72</f>
        <v>3.5347669247260525</v>
      </c>
      <c r="K72" s="31">
        <v>1</v>
      </c>
      <c r="L72" s="542"/>
      <c r="M72" s="345">
        <f>F72*H72/Q72/Y72*$M$29</f>
        <v>216.15072486240891</v>
      </c>
      <c r="N72" s="345">
        <f>J72/Q72/Y72*$M$29</f>
        <v>160.12389127736341</v>
      </c>
      <c r="O72" s="345"/>
      <c r="P72" s="49">
        <v>0</v>
      </c>
      <c r="Q72" s="12">
        <v>0.7</v>
      </c>
      <c r="R72" s="287">
        <f ca="1">VLOOKUP("IND"&amp;MID(B72,5,3),IEAData!$AX$25:$BA$39,4,0)</f>
        <v>1.5815664182923688</v>
      </c>
      <c r="S72" s="287">
        <f ca="1">VLOOKUP("IND"&amp;MID(B72,5,3),AuxData!$AX$25:$BA$39,4,0)</f>
        <v>0.76496411272602127</v>
      </c>
      <c r="T72" s="62">
        <v>0.63293928682584799</v>
      </c>
      <c r="U72" s="9"/>
      <c r="V72" s="9"/>
      <c r="W72" s="9"/>
      <c r="X72" s="49">
        <v>1</v>
      </c>
      <c r="Y72" s="547">
        <v>3.1536000000000002E-2</v>
      </c>
      <c r="Z72" s="49">
        <v>30</v>
      </c>
      <c r="AA72" s="608">
        <f>H72*R72</f>
        <v>0.50292988878930212</v>
      </c>
      <c r="AB72" s="608">
        <f>I72*S72</f>
        <v>0.34673299347464664</v>
      </c>
      <c r="AC72" s="128">
        <f>IF($F$81=0,0,F72/$F$81)</f>
        <v>0.13459141695385404</v>
      </c>
    </row>
    <row r="73" spans="2:29">
      <c r="B73" s="9"/>
      <c r="C73" s="9"/>
      <c r="D73" s="9"/>
      <c r="E73" s="52" t="str">
        <f ca="1">IEAData!$B$38</f>
        <v>INDELC</v>
      </c>
      <c r="F73" s="19"/>
      <c r="G73" s="19"/>
      <c r="H73" s="105"/>
      <c r="I73" s="105"/>
      <c r="J73" s="12"/>
      <c r="K73" s="31"/>
      <c r="L73" s="542"/>
      <c r="M73" s="345"/>
      <c r="N73" s="345"/>
      <c r="O73" s="345"/>
      <c r="P73" s="49"/>
      <c r="Q73" s="12"/>
      <c r="R73" s="105"/>
      <c r="S73" s="105"/>
      <c r="T73" s="62"/>
      <c r="U73" s="9"/>
      <c r="V73" s="9"/>
      <c r="W73" s="9"/>
      <c r="X73" s="49"/>
      <c r="Y73" s="547"/>
      <c r="Z73" s="49"/>
      <c r="AA73" s="476"/>
      <c r="AB73" s="476"/>
    </row>
    <row r="74" spans="2:29">
      <c r="B74" s="218"/>
      <c r="C74" s="9"/>
      <c r="D74" s="9"/>
      <c r="E74" s="52" t="s">
        <v>728</v>
      </c>
      <c r="F74" s="19"/>
      <c r="G74" s="19"/>
      <c r="H74" s="105"/>
      <c r="I74" s="105"/>
      <c r="J74" s="12"/>
      <c r="K74" s="31"/>
      <c r="L74" s="542"/>
      <c r="M74" s="345"/>
      <c r="N74" s="345"/>
      <c r="O74" s="345"/>
      <c r="P74" s="49"/>
      <c r="Q74" s="12"/>
      <c r="R74" s="105"/>
      <c r="S74" s="105"/>
      <c r="T74" s="62"/>
      <c r="U74" s="9"/>
      <c r="V74" s="9"/>
      <c r="W74" s="9"/>
      <c r="X74" s="49"/>
      <c r="Y74" s="547"/>
      <c r="Z74" s="49"/>
      <c r="AA74" s="476"/>
      <c r="AB74" s="476"/>
    </row>
    <row r="75" spans="2:29">
      <c r="B75" s="35" t="s">
        <v>1238</v>
      </c>
      <c r="C75" s="23" t="s">
        <v>1362</v>
      </c>
      <c r="D75" s="9" t="s">
        <v>1164</v>
      </c>
      <c r="E75" s="52"/>
      <c r="F75" s="186">
        <f ca="1">Drivers!$P127</f>
        <v>56.829879744941863</v>
      </c>
      <c r="G75" s="186">
        <f ca="1">Driver2!$P127</f>
        <v>44.266590270473671</v>
      </c>
      <c r="H75" s="287">
        <f ca="1">H72</f>
        <v>0.31799479488968913</v>
      </c>
      <c r="I75" s="287">
        <f>I72</f>
        <v>0.4532670065253534</v>
      </c>
      <c r="J75" s="546">
        <f>G75*I75</f>
        <v>20.064584860981935</v>
      </c>
      <c r="K75" s="31">
        <v>1</v>
      </c>
      <c r="L75" s="542"/>
      <c r="M75" s="345">
        <f>F75*H75/Q75/Y75*$M$29</f>
        <v>818.63837940759254</v>
      </c>
      <c r="N75" s="345">
        <f>J75/Q75/Y75*$M$29</f>
        <v>908.91973168904178</v>
      </c>
      <c r="O75" s="345"/>
      <c r="P75" s="49">
        <v>0</v>
      </c>
      <c r="Q75" s="12">
        <v>0.7</v>
      </c>
      <c r="R75" s="287">
        <f>R72</f>
        <v>1.5815664182923688</v>
      </c>
      <c r="S75" s="287">
        <f>S72</f>
        <v>0.76496411272602127</v>
      </c>
      <c r="T75" s="62">
        <v>0.63293928682584799</v>
      </c>
      <c r="U75" s="9"/>
      <c r="V75" s="9"/>
      <c r="W75" s="9"/>
      <c r="X75" s="49">
        <v>1</v>
      </c>
      <c r="Y75" s="547">
        <v>3.1536000000000002E-2</v>
      </c>
      <c r="Z75" s="49">
        <v>30</v>
      </c>
      <c r="AA75" s="608">
        <f>H75*R75</f>
        <v>0.50292988878930212</v>
      </c>
      <c r="AB75" s="608">
        <f>I75*S75</f>
        <v>0.34673299347464664</v>
      </c>
      <c r="AC75" s="128">
        <f>IF($F$81=0,0,F75/$F$81)</f>
        <v>0.50974476040925143</v>
      </c>
    </row>
    <row r="76" spans="2:29">
      <c r="B76" s="9"/>
      <c r="C76" s="9"/>
      <c r="D76" s="9"/>
      <c r="E76" s="52" t="str">
        <f ca="1">IEAData!$B$38</f>
        <v>INDELC</v>
      </c>
      <c r="F76" s="19"/>
      <c r="G76" s="19"/>
      <c r="H76" s="105"/>
      <c r="I76" s="105"/>
      <c r="J76" s="12"/>
      <c r="K76" s="31"/>
      <c r="L76" s="542"/>
      <c r="M76" s="345"/>
      <c r="N76" s="345"/>
      <c r="O76" s="345"/>
      <c r="P76" s="49"/>
      <c r="Q76" s="12"/>
      <c r="R76" s="105"/>
      <c r="S76" s="105"/>
      <c r="T76" s="62"/>
      <c r="U76" s="9"/>
      <c r="V76" s="9"/>
      <c r="W76" s="9"/>
      <c r="X76" s="49"/>
      <c r="Y76" s="547"/>
      <c r="Z76" s="49"/>
      <c r="AA76" s="476"/>
      <c r="AB76" s="476"/>
    </row>
    <row r="77" spans="2:29">
      <c r="B77" s="218"/>
      <c r="C77" s="9"/>
      <c r="D77" s="9"/>
      <c r="E77" s="52" t="s">
        <v>728</v>
      </c>
      <c r="F77" s="19"/>
      <c r="G77" s="19"/>
      <c r="H77" s="105"/>
      <c r="I77" s="105"/>
      <c r="J77" s="12"/>
      <c r="K77" s="31"/>
      <c r="L77" s="542"/>
      <c r="M77" s="345"/>
      <c r="N77" s="345"/>
      <c r="O77" s="345"/>
      <c r="P77" s="49"/>
      <c r="Q77" s="12"/>
      <c r="R77" s="105"/>
      <c r="S77" s="105"/>
      <c r="T77" s="62"/>
      <c r="U77" s="9"/>
      <c r="V77" s="9"/>
      <c r="W77" s="9"/>
      <c r="X77" s="49"/>
      <c r="Y77" s="547"/>
      <c r="Z77" s="49"/>
      <c r="AA77" s="476"/>
      <c r="AB77" s="476"/>
    </row>
    <row r="78" spans="2:29">
      <c r="B78" s="35" t="s">
        <v>944</v>
      </c>
      <c r="C78" s="23" t="s">
        <v>945</v>
      </c>
      <c r="D78" s="9" t="str">
        <f ca="1">IEAData!AX21</f>
        <v>INDGEO</v>
      </c>
      <c r="E78" s="52"/>
      <c r="F78" s="186">
        <f ca="1">IEAData!AY21</f>
        <v>0</v>
      </c>
      <c r="G78" s="186">
        <f ca="1">AuxData!AY21</f>
        <v>0</v>
      </c>
      <c r="H78" s="287">
        <f ca="1">VLOOKUP(D78,IEAData!$AX$25:$BA$39,3,0)</f>
        <v>0.15</v>
      </c>
      <c r="I78" s="287">
        <f ca="1">VLOOKUP(D78,AuxData!$AX$25:$BA$39,3,0)</f>
        <v>0.15</v>
      </c>
      <c r="J78" s="546">
        <f>G78*I78</f>
        <v>0</v>
      </c>
      <c r="K78" s="31">
        <v>1</v>
      </c>
      <c r="L78" s="542"/>
      <c r="M78" s="345">
        <f>F78*H78/Q78/Y78*$M$29</f>
        <v>0</v>
      </c>
      <c r="N78" s="345">
        <f>J78/Q78/Y78*$M$29</f>
        <v>0</v>
      </c>
      <c r="O78" s="345"/>
      <c r="P78" s="49">
        <v>0</v>
      </c>
      <c r="Q78" s="12">
        <v>0.7</v>
      </c>
      <c r="R78" s="287">
        <f ca="1">VLOOKUP(D78,IEAData!$AX$25:$BA$39,4,0)</f>
        <v>4.3333333333333339</v>
      </c>
      <c r="S78" s="287">
        <f ca="1">VLOOKUP(D78,AuxData!$AX$25:$BA$39,4,0)</f>
        <v>4.3333333333333339</v>
      </c>
      <c r="T78" s="62">
        <v>0.3</v>
      </c>
      <c r="U78" s="9"/>
      <c r="V78" s="9"/>
      <c r="W78" s="9"/>
      <c r="X78" s="49">
        <v>1</v>
      </c>
      <c r="Y78" s="547">
        <v>3.1536000000000002E-2</v>
      </c>
      <c r="Z78" s="49">
        <v>30</v>
      </c>
      <c r="AA78" s="608">
        <f>H78*R78</f>
        <v>0.65</v>
      </c>
      <c r="AB78" s="608">
        <f>I78*S78</f>
        <v>0.65</v>
      </c>
      <c r="AC78" s="128">
        <f>IF($F$81=0,0,F78/$F$81)</f>
        <v>0</v>
      </c>
    </row>
    <row r="79" spans="2:29">
      <c r="B79" s="52"/>
      <c r="C79" s="52"/>
      <c r="D79" s="52"/>
      <c r="E79" s="52" t="str">
        <f ca="1">IEAData!$B$38</f>
        <v>INDELC</v>
      </c>
      <c r="F79" s="141"/>
      <c r="G79" s="141"/>
      <c r="H79" s="289"/>
      <c r="I79" s="289"/>
      <c r="J79" s="49"/>
      <c r="K79" s="31"/>
      <c r="L79" s="542"/>
      <c r="M79" s="358"/>
      <c r="N79" s="345"/>
      <c r="O79" s="345"/>
      <c r="P79" s="49"/>
      <c r="Q79" s="12"/>
      <c r="R79" s="289"/>
      <c r="S79" s="289"/>
      <c r="T79" s="544"/>
      <c r="U79" s="52"/>
      <c r="V79" s="9"/>
      <c r="W79" s="9"/>
      <c r="X79" s="49"/>
      <c r="Y79" s="547"/>
      <c r="Z79" s="49"/>
      <c r="AA79" s="476"/>
      <c r="AB79" s="476"/>
    </row>
    <row r="80" spans="2:29" ht="13.5" thickBot="1">
      <c r="B80" s="227"/>
      <c r="C80" s="22"/>
      <c r="D80" s="22"/>
      <c r="E80" s="22" t="s">
        <v>728</v>
      </c>
      <c r="F80" s="140"/>
      <c r="G80" s="140"/>
      <c r="H80" s="290"/>
      <c r="I80" s="290"/>
      <c r="J80" s="13"/>
      <c r="K80" s="29"/>
      <c r="L80" s="545"/>
      <c r="M80" s="22"/>
      <c r="N80" s="22"/>
      <c r="O80" s="22"/>
      <c r="P80" s="13"/>
      <c r="Q80" s="13"/>
      <c r="R80" s="290"/>
      <c r="S80" s="290"/>
      <c r="T80" s="22"/>
      <c r="U80" s="22"/>
      <c r="V80" s="22"/>
      <c r="W80" s="22"/>
      <c r="X80" s="13"/>
      <c r="Y80" s="488"/>
      <c r="Z80" s="13"/>
      <c r="AA80" s="476"/>
      <c r="AB80" s="476"/>
    </row>
    <row r="81" spans="2:29">
      <c r="B81" s="192" t="s">
        <v>902</v>
      </c>
      <c r="C81" s="198"/>
      <c r="D81" s="198"/>
      <c r="E81" s="268"/>
      <c r="F81" s="199">
        <f>SUM(F33:F80)</f>
        <v>111.48693259606176</v>
      </c>
      <c r="G81" s="199">
        <f>SUM(G33:G80)</f>
        <v>84.029391316887683</v>
      </c>
      <c r="H81" s="198"/>
      <c r="I81" s="198"/>
      <c r="J81" s="199">
        <f>SUM(J33:J80)</f>
        <v>30.686294293104815</v>
      </c>
      <c r="K81" s="198"/>
      <c r="L81" s="198"/>
      <c r="M81" s="500">
        <f>SUM(M33:M80)</f>
        <v>1614.0495014950038</v>
      </c>
      <c r="N81" s="500">
        <f>SUM(N33:N80)</f>
        <v>1390.0800125527658</v>
      </c>
      <c r="O81" s="198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8"/>
      <c r="AA81" s="198"/>
      <c r="AB81" s="198"/>
      <c r="AC81" s="128">
        <f>SUM(AC33:AC80)</f>
        <v>1</v>
      </c>
    </row>
    <row r="85" spans="2:29">
      <c r="F85" s="224"/>
    </row>
    <row r="86" spans="2:29">
      <c r="F86" s="224"/>
    </row>
    <row r="87" spans="2:29">
      <c r="F87" s="224"/>
    </row>
    <row r="88" spans="2:29" ht="18">
      <c r="B88" s="86" t="s">
        <v>616</v>
      </c>
      <c r="C88" s="275"/>
      <c r="D88" s="276"/>
      <c r="E88" s="277"/>
      <c r="F88" s="225" t="str">
        <f>"~FI_T: EUR10~"&amp;Region</f>
        <v>~FI_T: EUR10~FIN</v>
      </c>
    </row>
    <row r="89" spans="2:29" ht="39" thickBot="1">
      <c r="B89" s="228" t="s">
        <v>649</v>
      </c>
      <c r="C89" s="228" t="s">
        <v>650</v>
      </c>
      <c r="D89" s="228" t="s">
        <v>648</v>
      </c>
      <c r="E89" s="228" t="s">
        <v>651</v>
      </c>
      <c r="F89" s="64" t="str">
        <f ca="1">CONCATENATE("\I:",IEAData!$D$2," final energy")</f>
        <v>\I:2010 final energy</v>
      </c>
      <c r="G89" s="64" t="s">
        <v>50</v>
      </c>
      <c r="H89" s="45" t="str">
        <f ca="1">"EFF~"&amp;AuxYear</f>
        <v>EFF~2017</v>
      </c>
      <c r="I89" s="64" t="str">
        <f ca="1">"RESID~"&amp;BaseYear</f>
        <v>RESID~2010</v>
      </c>
      <c r="J89" s="45" t="str">
        <f ca="1">"RESID~"&amp;AuxYear</f>
        <v>RESID~2017</v>
      </c>
      <c r="K89" s="45" t="s">
        <v>581</v>
      </c>
      <c r="L89" s="64" t="s">
        <v>51</v>
      </c>
      <c r="M89" s="45" t="s">
        <v>79</v>
      </c>
      <c r="N89" s="64" t="s">
        <v>556</v>
      </c>
      <c r="O89" s="64" t="s">
        <v>550</v>
      </c>
      <c r="P89" s="396" t="s">
        <v>1093</v>
      </c>
      <c r="Q89" s="45" t="str">
        <f ca="1">"ACT_BND~UP~"&amp;AuxYear</f>
        <v>ACT_BND~UP~2017</v>
      </c>
      <c r="R89" s="396" t="s">
        <v>1311</v>
      </c>
      <c r="S89" s="45" t="str">
        <f ca="1">"FLO_MARK~UP~"&amp;AuxYear</f>
        <v>FLO_MARK~UP~2017</v>
      </c>
      <c r="T89" s="396" t="s">
        <v>1312</v>
      </c>
    </row>
    <row r="90" spans="2:29">
      <c r="B90" s="9" t="s">
        <v>617</v>
      </c>
      <c r="C90" s="9" t="s">
        <v>618</v>
      </c>
      <c r="D90" s="9" t="str">
        <f ca="1">IEAData!C$38</f>
        <v>INDNGA</v>
      </c>
      <c r="E90" s="9" t="s">
        <v>728</v>
      </c>
      <c r="F90" s="421">
        <v>1</v>
      </c>
      <c r="G90" s="31">
        <f ca="1">VLOOKUP($D90,IEAData!$AX$48:$BG$63,9,0)</f>
        <v>0.88</v>
      </c>
      <c r="H90" s="31">
        <f ca="1">VLOOKUP($D90,AuxData!$AX$48:$BG$63,9,0)</f>
        <v>0.88</v>
      </c>
      <c r="I90" s="62">
        <f ca="1">IEAData!BG49/M90-SUMIF($F$107:$F$111,$F90,$I$107:$I$111)</f>
        <v>0.10729125924014921</v>
      </c>
      <c r="J90" s="62">
        <f ca="1">AuxData!BG49/M90-SUMIF($F$107:$F$111,$F90,$J$107:$J$111)</f>
        <v>2.6935743873822186E-2</v>
      </c>
      <c r="K90" s="9"/>
      <c r="L90" s="62">
        <v>0.16220256218429238</v>
      </c>
      <c r="M90" s="12">
        <v>0.8</v>
      </c>
      <c r="N90" s="12">
        <v>35</v>
      </c>
      <c r="O90" s="12">
        <v>0</v>
      </c>
      <c r="P90" s="9"/>
      <c r="Q90" s="12"/>
      <c r="R90" s="9"/>
      <c r="S90" s="9"/>
      <c r="T90" s="9"/>
    </row>
    <row r="91" spans="2:29">
      <c r="B91" s="61" t="s">
        <v>619</v>
      </c>
      <c r="C91" s="9" t="s">
        <v>620</v>
      </c>
      <c r="D91" s="9" t="str">
        <f ca="1">IEAData!D$38</f>
        <v>INDLPG</v>
      </c>
      <c r="E91" s="9" t="s">
        <v>728</v>
      </c>
      <c r="F91" s="421">
        <v>2</v>
      </c>
      <c r="G91" s="31">
        <f ca="1">VLOOKUP($D91,IEAData!$AX$48:$BG$63,9,0)</f>
        <v>0.78</v>
      </c>
      <c r="H91" s="31">
        <f ca="1">VLOOKUP($D91,AuxData!$AX$48:$BG$63,9,0)</f>
        <v>0.78</v>
      </c>
      <c r="I91" s="62">
        <f ca="1">IEAData!BG50/M91-SUMIF($F$107:$F$111,$F91,$I$107:$I$111)</f>
        <v>0</v>
      </c>
      <c r="J91" s="62">
        <f ca="1">AuxData!BG50/M91-SUMIF($F$107:$F$111,$F91,$J$107:$J$111)</f>
        <v>0</v>
      </c>
      <c r="K91" s="9"/>
      <c r="L91" s="62">
        <v>0.16220256218429238</v>
      </c>
      <c r="M91" s="12">
        <v>0.8</v>
      </c>
      <c r="N91" s="12">
        <v>35</v>
      </c>
      <c r="O91" s="12">
        <v>0</v>
      </c>
      <c r="P91" s="9"/>
      <c r="Q91" s="12"/>
      <c r="R91" s="9"/>
      <c r="S91" s="9"/>
      <c r="T91" s="9"/>
    </row>
    <row r="92" spans="2:29">
      <c r="B92" s="61" t="s">
        <v>621</v>
      </c>
      <c r="C92" s="9" t="s">
        <v>622</v>
      </c>
      <c r="D92" s="9" t="str">
        <f ca="1">IEAData!E$38</f>
        <v>INDNGL</v>
      </c>
      <c r="E92" s="9" t="s">
        <v>728</v>
      </c>
      <c r="F92" s="421">
        <v>3</v>
      </c>
      <c r="G92" s="31">
        <f ca="1">VLOOKUP($D92,IEAData!$AX$48:$BG$63,9,0)</f>
        <v>0.78</v>
      </c>
      <c r="H92" s="31">
        <f ca="1">VLOOKUP($D92,AuxData!$AX$48:$BG$63,9,0)</f>
        <v>0.78</v>
      </c>
      <c r="I92" s="62">
        <f ca="1">IEAData!BG51/M92-SUMIF($F$107:$F$111,$F92,$I$107:$I$111)</f>
        <v>0</v>
      </c>
      <c r="J92" s="62">
        <f ca="1">AuxData!BG51/M92-SUMIF($F$107:$F$111,$F92,$J$107:$J$111)</f>
        <v>0</v>
      </c>
      <c r="K92" s="9"/>
      <c r="L92" s="62">
        <v>0.16220256218429238</v>
      </c>
      <c r="M92" s="12">
        <v>0.8</v>
      </c>
      <c r="N92" s="12">
        <v>35</v>
      </c>
      <c r="O92" s="12">
        <v>0</v>
      </c>
      <c r="P92" s="9"/>
      <c r="Q92" s="12"/>
      <c r="R92" s="9"/>
      <c r="S92" s="9"/>
      <c r="T92" s="9"/>
    </row>
    <row r="93" spans="2:29">
      <c r="B93" s="61" t="s">
        <v>623</v>
      </c>
      <c r="C93" s="9" t="s">
        <v>624</v>
      </c>
      <c r="D93" s="9" t="str">
        <f ca="1">IEAData!F$38</f>
        <v>INDCOA</v>
      </c>
      <c r="E93" s="9" t="s">
        <v>728</v>
      </c>
      <c r="F93" s="421">
        <v>4</v>
      </c>
      <c r="G93" s="31">
        <f ca="1">VLOOKUP($D93,IEAData!$AX$48:$BG$63,9,0)</f>
        <v>0.78</v>
      </c>
      <c r="H93" s="31">
        <f ca="1">VLOOKUP($D93,AuxData!$AX$48:$BG$63,9,0)</f>
        <v>0.78267335127684468</v>
      </c>
      <c r="I93" s="62">
        <f ca="1">IEAData!BG52/M93-SUMIF($F$107:$F$111,$F93,$I$107:$I$111)</f>
        <v>2.5653404053105719E-2</v>
      </c>
      <c r="J93" s="62">
        <f ca="1">AuxData!BG52/M93-SUMIF($F$107:$F$111,$F93,$J$107:$J$111)</f>
        <v>8.0021030333178467E-3</v>
      </c>
      <c r="K93" s="9"/>
      <c r="L93" s="62">
        <v>0.63737616258624552</v>
      </c>
      <c r="M93" s="12">
        <v>0.8</v>
      </c>
      <c r="N93" s="12">
        <v>35</v>
      </c>
      <c r="O93" s="12">
        <v>0</v>
      </c>
      <c r="P93" s="9"/>
      <c r="Q93" s="12"/>
      <c r="R93" s="9"/>
      <c r="S93" s="9"/>
      <c r="T93" s="9"/>
    </row>
    <row r="94" spans="2:29">
      <c r="B94" s="61" t="s">
        <v>625</v>
      </c>
      <c r="C94" s="9" t="s">
        <v>626</v>
      </c>
      <c r="D94" s="9" t="str">
        <f ca="1">IEAData!G$38</f>
        <v>INDCOK</v>
      </c>
      <c r="E94" s="9" t="s">
        <v>728</v>
      </c>
      <c r="F94" s="421">
        <v>5</v>
      </c>
      <c r="G94" s="31">
        <f ca="1">VLOOKUP($D94,IEAData!$AX$48:$BG$63,9,0)</f>
        <v>0.78</v>
      </c>
      <c r="H94" s="31">
        <f ca="1">VLOOKUP($D94,AuxData!$AX$48:$BG$63,9,0)</f>
        <v>0.78</v>
      </c>
      <c r="I94" s="62">
        <f ca="1">IEAData!BG53/M94-SUMIF($F$107:$F$111,$F94,$I$107:$I$111)</f>
        <v>0</v>
      </c>
      <c r="J94" s="62">
        <f ca="1">AuxData!BG53/M94-SUMIF($F$107:$F$111,$F94,$J$107:$J$111)</f>
        <v>0</v>
      </c>
      <c r="K94" s="9"/>
      <c r="L94" s="62">
        <v>0.63737616258624552</v>
      </c>
      <c r="M94" s="12">
        <v>0.8</v>
      </c>
      <c r="N94" s="12">
        <v>35</v>
      </c>
      <c r="O94" s="12">
        <v>0</v>
      </c>
      <c r="P94" s="9"/>
      <c r="Q94" s="12"/>
      <c r="R94" s="9"/>
      <c r="S94" s="9"/>
      <c r="T94" s="9"/>
    </row>
    <row r="95" spans="2:29">
      <c r="B95" s="61" t="s">
        <v>627</v>
      </c>
      <c r="C95" s="9" t="s">
        <v>628</v>
      </c>
      <c r="D95" s="9" t="str">
        <f ca="1">IEAData!H$38</f>
        <v>INDCOG</v>
      </c>
      <c r="E95" s="9" t="s">
        <v>728</v>
      </c>
      <c r="F95" s="421">
        <v>6</v>
      </c>
      <c r="G95" s="31">
        <f ca="1">VLOOKUP($D95,IEAData!$AX$48:$BG$63,9,0)</f>
        <v>0.82544892836454931</v>
      </c>
      <c r="H95" s="31">
        <f ca="1">VLOOKUP($D95,AuxData!$AX$48:$BG$63,9,0)</f>
        <v>0.78</v>
      </c>
      <c r="I95" s="62">
        <f ca="1">IEAData!BG54/M95-SUMIF($F$107:$F$111,$F95,$I$107:$I$111)</f>
        <v>0.22373212500000006</v>
      </c>
      <c r="J95" s="62">
        <f ca="1">AuxData!BG54/M95-SUMIF($F$107:$F$111,$F95,$J$107:$J$111)</f>
        <v>0</v>
      </c>
      <c r="K95" s="9"/>
      <c r="L95" s="62">
        <v>0.28529930490714711</v>
      </c>
      <c r="M95" s="12">
        <v>0.8</v>
      </c>
      <c r="N95" s="12">
        <v>35</v>
      </c>
      <c r="O95" s="12">
        <v>0</v>
      </c>
      <c r="P95" s="9"/>
      <c r="Q95" s="12"/>
      <c r="R95" s="9"/>
      <c r="S95" s="9"/>
      <c r="T95" s="9"/>
    </row>
    <row r="96" spans="2:29">
      <c r="B96" s="61" t="s">
        <v>629</v>
      </c>
      <c r="C96" s="9" t="s">
        <v>630</v>
      </c>
      <c r="D96" s="9" t="str">
        <f ca="1">IEAData!I$38</f>
        <v>INDBFG</v>
      </c>
      <c r="E96" s="9" t="s">
        <v>728</v>
      </c>
      <c r="F96" s="421">
        <v>7</v>
      </c>
      <c r="G96" s="31">
        <f ca="1">VLOOKUP($D96,IEAData!$AX$48:$BG$63,9,0)</f>
        <v>0.84099978074983561</v>
      </c>
      <c r="H96" s="31">
        <f ca="1">VLOOKUP($D96,AuxData!$AX$48:$BG$63,9,0)</f>
        <v>0.78</v>
      </c>
      <c r="I96" s="62">
        <f ca="1">IEAData!BG55/M96-SUMIF($F$107:$F$111,$F96,$I$107:$I$111)</f>
        <v>1.003732965</v>
      </c>
      <c r="J96" s="62">
        <f ca="1">AuxData!BG55/M96-SUMIF($F$107:$F$111,$F96,$J$107:$J$111)</f>
        <v>0</v>
      </c>
      <c r="K96" s="9"/>
      <c r="L96" s="62">
        <v>0.28529930490714711</v>
      </c>
      <c r="M96" s="12">
        <v>0.8</v>
      </c>
      <c r="N96" s="12">
        <v>35</v>
      </c>
      <c r="O96" s="12">
        <v>0</v>
      </c>
      <c r="P96" s="9"/>
      <c r="Q96" s="12"/>
      <c r="R96" s="9"/>
      <c r="S96" s="9"/>
      <c r="T96" s="9"/>
    </row>
    <row r="97" spans="2:22">
      <c r="B97" s="61" t="s">
        <v>1158</v>
      </c>
      <c r="C97" s="9" t="s">
        <v>1159</v>
      </c>
      <c r="D97" s="9" t="str">
        <f ca="1">IEAData!J$38</f>
        <v>INDBCO</v>
      </c>
      <c r="E97" s="9" t="s">
        <v>728</v>
      </c>
      <c r="F97" s="421">
        <v>8</v>
      </c>
      <c r="G97" s="31">
        <f ca="1">VLOOKUP($D97,IEAData!$AX$48:$BG$63,9,0)</f>
        <v>0.87300485773768222</v>
      </c>
      <c r="H97" s="31">
        <f ca="1">VLOOKUP($D97,AuxData!$AX$48:$BG$63,9,0)</f>
        <v>0.80731647482917446</v>
      </c>
      <c r="I97" s="62">
        <f ca="1">IEAData!BG56/M97-SUMIF($F$107:$F$111,$F97,$I$107:$I$111)</f>
        <v>7.0245053107846844E-2</v>
      </c>
      <c r="J97" s="62">
        <f ca="1">AuxData!BG56/M97-SUMIF($F$107:$F$111,$F97,$J$107:$J$111)</f>
        <v>6.8906998342459211E-2</v>
      </c>
      <c r="K97" s="9"/>
      <c r="L97" s="62">
        <v>0.51965230536659146</v>
      </c>
      <c r="M97" s="12">
        <v>0.8</v>
      </c>
      <c r="N97" s="12">
        <v>35</v>
      </c>
      <c r="O97" s="12">
        <v>0</v>
      </c>
      <c r="P97" s="9"/>
      <c r="Q97" s="12"/>
      <c r="R97" s="9"/>
      <c r="S97" s="9"/>
      <c r="T97" s="9"/>
    </row>
    <row r="98" spans="2:22">
      <c r="B98" s="61" t="s">
        <v>631</v>
      </c>
      <c r="C98" s="9" t="s">
        <v>632</v>
      </c>
      <c r="D98" s="9" t="str">
        <f ca="1">IEAData!K$38</f>
        <v>INDHFO</v>
      </c>
      <c r="E98" s="9" t="s">
        <v>728</v>
      </c>
      <c r="F98" s="421">
        <v>9</v>
      </c>
      <c r="G98" s="31">
        <f ca="1">VLOOKUP($D98,IEAData!$AX$48:$BG$63,9,0)</f>
        <v>0.78</v>
      </c>
      <c r="H98" s="31">
        <f ca="1">VLOOKUP($D98,AuxData!$AX$48:$BG$63,9,0)</f>
        <v>0.88</v>
      </c>
      <c r="I98" s="62">
        <f ca="1">IEAData!BG57/M98-SUMIF($F$107:$F$111,$F98,$I$107:$I$111)</f>
        <v>5.8255149464341821E-2</v>
      </c>
      <c r="J98" s="62">
        <f ca="1">AuxData!BG57/M98-SUMIF($F$107:$F$111,$F98,$J$107:$J$111)</f>
        <v>1.3301506258778784E-2</v>
      </c>
      <c r="K98" s="9"/>
      <c r="L98" s="62">
        <v>0.28529930490714711</v>
      </c>
      <c r="M98" s="12">
        <v>0.8</v>
      </c>
      <c r="N98" s="12">
        <v>35</v>
      </c>
      <c r="O98" s="12">
        <v>0</v>
      </c>
      <c r="P98" s="9"/>
      <c r="Q98" s="12"/>
      <c r="R98" s="9"/>
      <c r="S98" s="9"/>
      <c r="T98" s="9"/>
    </row>
    <row r="99" spans="2:22">
      <c r="B99" s="61" t="s">
        <v>633</v>
      </c>
      <c r="C99" s="9" t="s">
        <v>634</v>
      </c>
      <c r="D99" s="9" t="str">
        <f ca="1">IEAData!L$38</f>
        <v>INDOIL</v>
      </c>
      <c r="E99" s="9" t="s">
        <v>728</v>
      </c>
      <c r="F99" s="421">
        <v>10</v>
      </c>
      <c r="G99" s="31">
        <f ca="1">VLOOKUP($D99,IEAData!$AX$48:$BG$63,9,0)</f>
        <v>0.78</v>
      </c>
      <c r="H99" s="31">
        <f ca="1">VLOOKUP($D99,AuxData!$AX$48:$BG$63,9,0)</f>
        <v>0.78</v>
      </c>
      <c r="I99" s="62">
        <f ca="1">IEAData!BG58/M99-SUMIF($F$107:$F$111,$F99,$I$107:$I$111)</f>
        <v>1.4764862434639793E-2</v>
      </c>
      <c r="J99" s="62">
        <f ca="1">AuxData!BG58/M99-SUMIF($F$107:$F$111,$F99,$J$107:$J$111)</f>
        <v>0</v>
      </c>
      <c r="K99" s="9"/>
      <c r="L99" s="62">
        <v>0.28529930490714711</v>
      </c>
      <c r="M99" s="12">
        <v>0.8</v>
      </c>
      <c r="N99" s="12">
        <v>35</v>
      </c>
      <c r="O99" s="12">
        <v>0</v>
      </c>
      <c r="P99" s="9"/>
      <c r="Q99" s="12"/>
      <c r="R99" s="9"/>
      <c r="S99" s="9"/>
      <c r="T99" s="9"/>
    </row>
    <row r="100" spans="2:22">
      <c r="B100" s="61" t="s">
        <v>635</v>
      </c>
      <c r="C100" s="9" t="s">
        <v>636</v>
      </c>
      <c r="D100" s="9" t="str">
        <f ca="1">IEAData!M$38</f>
        <v>INDETH</v>
      </c>
      <c r="E100" s="9" t="s">
        <v>728</v>
      </c>
      <c r="F100" s="421">
        <v>11</v>
      </c>
      <c r="G100" s="31">
        <f ca="1">VLOOKUP($D100,IEAData!$AX$48:$BG$63,9,0)</f>
        <v>0.78</v>
      </c>
      <c r="H100" s="31">
        <f ca="1">VLOOKUP($D100,AuxData!$AX$48:$BG$63,9,0)</f>
        <v>0.78</v>
      </c>
      <c r="I100" s="62">
        <f ca="1">IEAData!BG59/M100</f>
        <v>0</v>
      </c>
      <c r="J100" s="62">
        <f ca="1">AuxData!BG59/M100</f>
        <v>0.14478906</v>
      </c>
      <c r="K100" s="9"/>
      <c r="L100" s="62">
        <v>0.16220256218429238</v>
      </c>
      <c r="M100" s="12">
        <v>0.8</v>
      </c>
      <c r="N100" s="12">
        <v>35</v>
      </c>
      <c r="O100" s="12">
        <v>0</v>
      </c>
      <c r="P100" s="9"/>
      <c r="Q100" s="12"/>
      <c r="R100" s="9"/>
      <c r="S100" s="9"/>
      <c r="T100" s="9"/>
    </row>
    <row r="101" spans="2:22">
      <c r="B101" s="61" t="s">
        <v>637</v>
      </c>
      <c r="C101" s="9" t="s">
        <v>638</v>
      </c>
      <c r="D101" s="9" t="str">
        <f ca="1">IEAData!N$38</f>
        <v>INDNAP</v>
      </c>
      <c r="E101" s="9" t="s">
        <v>728</v>
      </c>
      <c r="F101" s="421">
        <v>12</v>
      </c>
      <c r="G101" s="31">
        <f ca="1">VLOOKUP($D101,IEAData!$AX$48:$BG$63,9,0)</f>
        <v>0.78</v>
      </c>
      <c r="H101" s="31">
        <f ca="1">VLOOKUP($D101,AuxData!$AX$48:$BG$63,9,0)</f>
        <v>0.78</v>
      </c>
      <c r="I101" s="62">
        <f ca="1">IEAData!BG60/M101</f>
        <v>0</v>
      </c>
      <c r="J101" s="62">
        <f ca="1">AuxData!BG60/M101</f>
        <v>0</v>
      </c>
      <c r="K101" s="9"/>
      <c r="L101" s="62">
        <v>0.16220256218429238</v>
      </c>
      <c r="M101" s="12">
        <v>0.8</v>
      </c>
      <c r="N101" s="12">
        <v>35</v>
      </c>
      <c r="O101" s="12">
        <v>0</v>
      </c>
      <c r="P101" s="9"/>
      <c r="Q101" s="12"/>
      <c r="R101" s="9"/>
      <c r="S101" s="9"/>
      <c r="T101" s="9"/>
    </row>
    <row r="102" spans="2:22">
      <c r="B102" s="61" t="s">
        <v>639</v>
      </c>
      <c r="C102" s="9" t="s">
        <v>640</v>
      </c>
      <c r="D102" s="9" t="str">
        <f ca="1">IEAData!O$38</f>
        <v>INDPTC</v>
      </c>
      <c r="E102" s="9" t="s">
        <v>728</v>
      </c>
      <c r="F102" s="421">
        <v>13</v>
      </c>
      <c r="G102" s="31">
        <f ca="1">VLOOKUP($D102,IEAData!$AX$48:$BG$63,9,0)</f>
        <v>0.78</v>
      </c>
      <c r="H102" s="31">
        <f ca="1">VLOOKUP($D102,AuxData!$AX$48:$BG$63,9,0)</f>
        <v>0.78</v>
      </c>
      <c r="I102" s="62">
        <f ca="1">IEAData!BG61/M102</f>
        <v>0</v>
      </c>
      <c r="J102" s="62">
        <f ca="1">AuxData!BG61/M102</f>
        <v>3.11997075E-2</v>
      </c>
      <c r="K102" s="9"/>
      <c r="L102" s="62">
        <v>0.63737616258624552</v>
      </c>
      <c r="M102" s="12">
        <v>0.8</v>
      </c>
      <c r="N102" s="12">
        <v>35</v>
      </c>
      <c r="O102" s="12">
        <v>0</v>
      </c>
      <c r="P102" s="9"/>
      <c r="Q102" s="12"/>
      <c r="R102" s="9"/>
      <c r="S102" s="9"/>
      <c r="T102" s="9"/>
    </row>
    <row r="103" spans="2:22">
      <c r="B103" s="61" t="s">
        <v>641</v>
      </c>
      <c r="C103" s="9" t="s">
        <v>642</v>
      </c>
      <c r="D103" s="9" t="s">
        <v>917</v>
      </c>
      <c r="E103" s="9" t="s">
        <v>728</v>
      </c>
      <c r="F103" s="421">
        <v>14</v>
      </c>
      <c r="G103" s="31">
        <f ca="1">VLOOKUP($D103,IEAData!$AX$48:$BG$63,9,0)</f>
        <v>0.82112825608944828</v>
      </c>
      <c r="H103" s="31">
        <f ca="1">VLOOKUP($D103,AuxData!$AX$48:$BG$63,9,0)</f>
        <v>0.85949112467270117</v>
      </c>
      <c r="I103" s="62">
        <f ca="1">(IEAData!AZ62-MAX(0,Drivers!P129-Calibration!Q224))*G103/M103</f>
        <v>2.1584946393449997</v>
      </c>
      <c r="J103" s="62">
        <f ca="1">(AuxData!AZ62-MAX(0,Driver2!P129-Calibrati2!Q224))*H103/$M103</f>
        <v>1.7658750000000001</v>
      </c>
      <c r="K103" s="9"/>
      <c r="L103" s="62">
        <v>0.48172678162173943</v>
      </c>
      <c r="M103" s="12">
        <v>0.8</v>
      </c>
      <c r="N103" s="12">
        <v>35</v>
      </c>
      <c r="O103" s="12">
        <v>0</v>
      </c>
      <c r="P103" s="9"/>
      <c r="Q103" s="12"/>
      <c r="R103" s="9"/>
      <c r="S103" s="9"/>
      <c r="T103" s="9"/>
    </row>
    <row r="104" spans="2:22">
      <c r="B104" s="61" t="s">
        <v>1237</v>
      </c>
      <c r="C104" s="9" t="s">
        <v>1168</v>
      </c>
      <c r="D104" s="9" t="s">
        <v>1164</v>
      </c>
      <c r="E104" s="9" t="s">
        <v>946</v>
      </c>
      <c r="F104" s="421">
        <v>15</v>
      </c>
      <c r="G104" s="31">
        <f ca="1">Calibration!$Q$219</f>
        <v>0.81499999999999995</v>
      </c>
      <c r="H104" s="31">
        <f ca="1">Calibrati2!$Q$219</f>
        <v>0.81499999999999995</v>
      </c>
      <c r="I104" s="62">
        <f ca="1">Drivers!P129*G104/M104</f>
        <v>85.683797343829838</v>
      </c>
      <c r="J104" s="62">
        <f ca="1">Driver2!P129*H104/M104</f>
        <v>120.23638285395619</v>
      </c>
      <c r="K104" s="9"/>
      <c r="L104" s="62">
        <v>0.48172678162173943</v>
      </c>
      <c r="M104" s="12">
        <v>0.75</v>
      </c>
      <c r="N104" s="12">
        <v>35</v>
      </c>
      <c r="O104" s="12">
        <v>0</v>
      </c>
      <c r="P104" s="9"/>
      <c r="Q104" s="12"/>
      <c r="R104" s="9"/>
      <c r="S104" s="9"/>
      <c r="T104" s="9"/>
    </row>
    <row r="105" spans="2:22">
      <c r="B105" s="61" t="s">
        <v>643</v>
      </c>
      <c r="C105" s="9" t="s">
        <v>644</v>
      </c>
      <c r="D105" s="9" t="str">
        <f ca="1">IEAData!Q$38</f>
        <v>INDGEO</v>
      </c>
      <c r="E105" s="9" t="s">
        <v>728</v>
      </c>
      <c r="F105" s="421">
        <v>16</v>
      </c>
      <c r="G105" s="31">
        <f ca="1">VLOOKUP($D105,IEAData!$AX$48:$BG$63,9,0)</f>
        <v>0.78</v>
      </c>
      <c r="H105" s="31">
        <f ca="1">VLOOKUP($D105,AuxData!$AX$48:$BG$63,9,0)</f>
        <v>0.78</v>
      </c>
      <c r="I105" s="62">
        <f ca="1">IEAData!BG63/M105</f>
        <v>0</v>
      </c>
      <c r="J105" s="62">
        <f ca="1">AuxData!BG63/M105</f>
        <v>0</v>
      </c>
      <c r="K105" s="9"/>
      <c r="L105" s="62">
        <v>0.1</v>
      </c>
      <c r="M105" s="12">
        <v>0.8</v>
      </c>
      <c r="N105" s="12">
        <v>35</v>
      </c>
      <c r="O105" s="12">
        <v>0</v>
      </c>
      <c r="P105" s="9"/>
      <c r="Q105" s="12"/>
      <c r="R105" s="9"/>
      <c r="S105" s="9"/>
      <c r="T105" s="9"/>
    </row>
    <row r="106" spans="2:22">
      <c r="B106" s="61" t="s">
        <v>1167</v>
      </c>
      <c r="C106" s="9" t="s">
        <v>1162</v>
      </c>
      <c r="D106" s="9" t="s">
        <v>946</v>
      </c>
      <c r="E106" s="9" t="s">
        <v>728</v>
      </c>
      <c r="F106" s="421">
        <v>17</v>
      </c>
      <c r="G106" s="31">
        <f ca="1">VLOOKUP($D106,IEAData!$AX$48:$BG$68,9,0)</f>
        <v>10</v>
      </c>
      <c r="H106" s="31">
        <f ca="1">VLOOKUP($D106,AuxData!$AX$48:$BG$68,9,0)</f>
        <v>10</v>
      </c>
      <c r="I106" s="62"/>
      <c r="J106" s="9"/>
      <c r="K106" s="9"/>
      <c r="L106" s="62">
        <v>0.1</v>
      </c>
      <c r="M106" s="12">
        <v>0.8</v>
      </c>
      <c r="N106" s="12">
        <v>35</v>
      </c>
      <c r="O106" s="12"/>
      <c r="P106" s="62">
        <f ca="1">IEAData!BB68/(1-1/G106)</f>
        <v>0.16663464000000022</v>
      </c>
      <c r="Q106" s="62">
        <f ca="1">AuxData!BB68/(1-1/H106)</f>
        <v>1.1588888888888873</v>
      </c>
      <c r="R106" s="9"/>
      <c r="S106" s="9"/>
      <c r="T106" s="9"/>
    </row>
    <row r="107" spans="2:22">
      <c r="B107" s="35" t="s">
        <v>1298</v>
      </c>
      <c r="C107" s="23" t="s">
        <v>1306</v>
      </c>
      <c r="D107" s="9" t="s">
        <v>913</v>
      </c>
      <c r="E107" s="52" t="s">
        <v>48</v>
      </c>
      <c r="F107" s="421">
        <f ca="1">MATCH("hahet"&amp;MID(B107,5,3)&amp;"00",$B$90:$B$106,0)</f>
        <v>9</v>
      </c>
      <c r="G107" s="31">
        <f t="shared" ref="G107:H111" ca="1" si="4">OFFSET(G$89,$F107,0)</f>
        <v>0.78</v>
      </c>
      <c r="H107" s="31">
        <f t="shared" ca="1" si="4"/>
        <v>0.88</v>
      </c>
      <c r="I107" s="62">
        <f ca="1">OFFSET(IEAData!BG$48,$F107,0)*$V$107/$M107*NON_ETS</f>
        <v>0.10554439891565817</v>
      </c>
      <c r="J107" s="62">
        <f ca="1">OFFSET(AuxData!BG$48,$F107,0)*$V$107/$M107*NON_ETS</f>
        <v>2.4099148241221214E-2</v>
      </c>
      <c r="K107" s="9"/>
      <c r="L107" s="62">
        <v>0.51965230536659146</v>
      </c>
      <c r="M107" s="12">
        <v>0.8</v>
      </c>
      <c r="N107" s="12">
        <v>35</v>
      </c>
      <c r="O107" s="12">
        <v>0</v>
      </c>
      <c r="P107" s="9"/>
      <c r="Q107" s="12"/>
      <c r="R107" s="9"/>
      <c r="S107" s="9"/>
      <c r="T107" s="9"/>
      <c r="V107" s="579">
        <f ca="1">(MAX(0,Calibration!Y266-I112*M112)/Calibration!Y269)^MIN(1,(IEAData!$BG$69/MAX(IEAData!$BG$69,Calibration!$Y$266-I112*M112))^0.5)</f>
        <v>0.64435097629698468</v>
      </c>
    </row>
    <row r="108" spans="2:22">
      <c r="B108" s="35" t="s">
        <v>1307</v>
      </c>
      <c r="C108" s="50" t="s">
        <v>1305</v>
      </c>
      <c r="D108" s="9" t="s">
        <v>1365</v>
      </c>
      <c r="E108" s="52" t="s">
        <v>48</v>
      </c>
      <c r="F108" s="421">
        <f ca="1">MATCH("hahet"&amp;MID(B108,5,3)&amp;"00",$B$90:$B$106,0)</f>
        <v>10</v>
      </c>
      <c r="G108" s="31">
        <f t="shared" ca="1" si="4"/>
        <v>0.78</v>
      </c>
      <c r="H108" s="31">
        <f t="shared" ca="1" si="4"/>
        <v>0.78</v>
      </c>
      <c r="I108" s="62">
        <f ca="1">OFFSET(IEAData!BG$48,$F108,0)*$V$107/M108*NON_ETS</f>
        <v>2.6750399665360206E-2</v>
      </c>
      <c r="J108" s="62">
        <f ca="1">OFFSET(AuxData!BG$48,$F108,0)*$V$107/M108*NON_ETS</f>
        <v>0</v>
      </c>
      <c r="K108" s="9"/>
      <c r="L108" s="62">
        <v>0.28529930490714711</v>
      </c>
      <c r="M108" s="12">
        <v>0.8</v>
      </c>
      <c r="N108" s="12">
        <v>35</v>
      </c>
      <c r="O108" s="12">
        <v>0</v>
      </c>
      <c r="P108" s="9"/>
      <c r="Q108" s="12"/>
      <c r="R108" s="9"/>
      <c r="S108" s="9"/>
      <c r="T108" s="9"/>
    </row>
    <row r="109" spans="2:22">
      <c r="B109" s="35" t="s">
        <v>1299</v>
      </c>
      <c r="C109" s="50" t="s">
        <v>1302</v>
      </c>
      <c r="D109" s="9" t="s">
        <v>906</v>
      </c>
      <c r="E109" s="52" t="s">
        <v>48</v>
      </c>
      <c r="F109" s="421">
        <f ca="1">MATCH("hahet"&amp;MID(B109,5,3)&amp;"00",$B$90:$B$106,0)</f>
        <v>1</v>
      </c>
      <c r="G109" s="31">
        <f t="shared" ca="1" si="4"/>
        <v>0.88</v>
      </c>
      <c r="H109" s="31">
        <f t="shared" ca="1" si="4"/>
        <v>0.88</v>
      </c>
      <c r="I109" s="62">
        <f ca="1">OFFSET(IEAData!BG$48,$F109,0)*$V$107/M109*NON_ETS</f>
        <v>0.19438610267985079</v>
      </c>
      <c r="J109" s="62">
        <f ca="1">OFFSET(AuxData!BG$48,$F109,0)*$V$107/M109*NON_ETS</f>
        <v>4.8801126126177798E-2</v>
      </c>
      <c r="K109" s="9"/>
      <c r="L109" s="62">
        <v>0.16220256218429238</v>
      </c>
      <c r="M109" s="12">
        <v>0.8</v>
      </c>
      <c r="N109" s="12">
        <v>35</v>
      </c>
      <c r="O109" s="12">
        <v>0</v>
      </c>
      <c r="P109" s="9"/>
      <c r="Q109" s="12"/>
      <c r="R109" s="9"/>
      <c r="S109" s="9"/>
      <c r="T109" s="9"/>
    </row>
    <row r="110" spans="2:22">
      <c r="B110" s="264" t="s">
        <v>1300</v>
      </c>
      <c r="C110" s="50" t="s">
        <v>1304</v>
      </c>
      <c r="D110" s="52" t="s">
        <v>909</v>
      </c>
      <c r="E110" s="52" t="s">
        <v>48</v>
      </c>
      <c r="F110" s="421">
        <f ca="1">MATCH("hahet"&amp;MID(B110,5,3)&amp;"00",$B$90:$B$106,0)</f>
        <v>4</v>
      </c>
      <c r="G110" s="31">
        <f t="shared" ca="1" si="4"/>
        <v>0.78</v>
      </c>
      <c r="H110" s="31">
        <f t="shared" ca="1" si="4"/>
        <v>0.78267335127684468</v>
      </c>
      <c r="I110" s="62">
        <f ca="1">OFFSET(IEAData!BG$48,$F110,0)*$V$107/M110*NON_ETS</f>
        <v>4.6477833046894276E-2</v>
      </c>
      <c r="J110" s="62">
        <f ca="1">OFFSET(AuxData!BG$48,$F110,0)*$V$107/M110*NON_ETS</f>
        <v>1.4497896966682156E-2</v>
      </c>
      <c r="K110" s="9"/>
      <c r="L110" s="62">
        <v>0.63737616258624552</v>
      </c>
      <c r="M110" s="12">
        <v>0.8</v>
      </c>
      <c r="N110" s="12">
        <v>35</v>
      </c>
      <c r="O110" s="12">
        <v>0</v>
      </c>
      <c r="P110" s="9"/>
      <c r="Q110" s="12"/>
      <c r="R110" s="9"/>
      <c r="S110" s="9"/>
      <c r="T110" s="9"/>
    </row>
    <row r="111" spans="2:22">
      <c r="B111" s="264" t="s">
        <v>1301</v>
      </c>
      <c r="C111" s="50" t="s">
        <v>1303</v>
      </c>
      <c r="D111" s="9" t="str">
        <f ca="1">IEAData!J$38</f>
        <v>INDBCO</v>
      </c>
      <c r="E111" s="52" t="s">
        <v>48</v>
      </c>
      <c r="F111" s="421">
        <f ca="1">MATCH("hahet"&amp;MID(B111,5,3)&amp;"00",$B$90:$B$106,0)</f>
        <v>8</v>
      </c>
      <c r="G111" s="31">
        <f t="shared" ca="1" si="4"/>
        <v>0.87300485773768222</v>
      </c>
      <c r="H111" s="31">
        <f t="shared" ca="1" si="4"/>
        <v>0.80731647482917446</v>
      </c>
      <c r="I111" s="62">
        <f ca="1">OFFSET(IEAData!BG$48,$F111,0)*$V$107/M111*NON_ETS</f>
        <v>0.12726723689215316</v>
      </c>
      <c r="J111" s="62">
        <f ca="1">OFFSET(AuxData!BG$48,$F111,0)*$V$107/M111*NON_ETS</f>
        <v>0.12484300165754077</v>
      </c>
      <c r="K111" s="9"/>
      <c r="L111" s="62">
        <v>0.51965230536659146</v>
      </c>
      <c r="M111" s="12">
        <v>0.8</v>
      </c>
      <c r="N111" s="12">
        <v>35</v>
      </c>
      <c r="O111" s="12">
        <v>0</v>
      </c>
      <c r="P111" s="9"/>
      <c r="Q111" s="12"/>
      <c r="R111" s="9"/>
      <c r="S111" s="9"/>
      <c r="T111" s="9"/>
    </row>
    <row r="112" spans="2:22">
      <c r="B112" s="264" t="s">
        <v>1309</v>
      </c>
      <c r="C112" s="50" t="s">
        <v>1308</v>
      </c>
      <c r="D112" s="9" t="s">
        <v>946</v>
      </c>
      <c r="E112" s="52" t="s">
        <v>48</v>
      </c>
      <c r="F112" s="421"/>
      <c r="G112" s="31"/>
      <c r="H112" s="31"/>
      <c r="I112" s="62">
        <f ca="1">IOI000!G59*$R113/M112</f>
        <v>5.3946509596691357</v>
      </c>
      <c r="J112" s="62">
        <f ca="1">IOI000!H59*$R113/M112</f>
        <v>5.4478615195303668</v>
      </c>
      <c r="K112" s="304">
        <v>1</v>
      </c>
      <c r="L112" s="62">
        <v>0.1</v>
      </c>
      <c r="M112" s="12">
        <v>0.8</v>
      </c>
      <c r="N112" s="12">
        <v>35</v>
      </c>
      <c r="O112" s="12">
        <v>0</v>
      </c>
      <c r="P112" s="9"/>
      <c r="Q112" s="12"/>
      <c r="R112" s="9"/>
      <c r="S112" s="9"/>
      <c r="T112" s="9"/>
    </row>
    <row r="113" spans="2:20">
      <c r="B113" s="264"/>
      <c r="C113" s="50"/>
      <c r="D113" s="9" t="s">
        <v>1280</v>
      </c>
      <c r="E113" s="52"/>
      <c r="F113" s="421"/>
      <c r="G113" s="12"/>
      <c r="H113" s="12"/>
      <c r="I113" s="12"/>
      <c r="J113" s="12"/>
      <c r="K113" s="410">
        <v>1</v>
      </c>
      <c r="L113" s="12"/>
      <c r="M113" s="12"/>
      <c r="N113" s="12"/>
      <c r="O113" s="12"/>
      <c r="P113" s="12"/>
      <c r="Q113" s="12"/>
      <c r="R113" s="410">
        <f ca="1">MIN(0.35,Calibration!Y266/IOI000!G59*0.99)</f>
        <v>0.35</v>
      </c>
      <c r="S113" s="410">
        <f ca="1">MIN(0.35,Calibrati2!Y266/IOI000!H59*0.99)</f>
        <v>0.35</v>
      </c>
      <c r="T113" s="410">
        <v>0.4</v>
      </c>
    </row>
    <row r="114" spans="2:20">
      <c r="B114" s="192" t="s">
        <v>902</v>
      </c>
      <c r="C114" s="198"/>
      <c r="D114" s="198"/>
      <c r="E114" s="317" t="s">
        <v>1310</v>
      </c>
      <c r="F114" s="198"/>
      <c r="G114" s="198"/>
      <c r="H114" s="198"/>
      <c r="I114" s="422">
        <f ca="1">SUMPRODUCT(I107:I112,M107:M112)</f>
        <v>4.7160615446952425</v>
      </c>
      <c r="J114" s="422">
        <f ca="1">SUMPRODUCT(J107:J112,M107:M112)</f>
        <v>4.5280821540175911</v>
      </c>
      <c r="K114" s="198"/>
      <c r="L114" s="198"/>
      <c r="M114" s="198"/>
      <c r="N114" s="198"/>
      <c r="O114" s="198"/>
      <c r="P114" s="198"/>
      <c r="Q114" s="198"/>
      <c r="R114" s="198"/>
      <c r="S114" s="198"/>
      <c r="T114" s="198"/>
    </row>
  </sheetData>
  <phoneticPr fontId="25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75"/>
  <sheetViews>
    <sheetView topLeftCell="A3"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5.42578125" customWidth="1"/>
    <col min="3" max="3" width="24.28515625" customWidth="1"/>
    <col min="4" max="4" width="10.85546875" customWidth="1"/>
  </cols>
  <sheetData>
    <row r="1" spans="1:24" ht="18">
      <c r="A1" s="5" t="s">
        <v>559</v>
      </c>
    </row>
    <row r="2" spans="1:24" ht="18">
      <c r="A2" s="8"/>
      <c r="E2" s="216"/>
    </row>
    <row r="3" spans="1:24" ht="18">
      <c r="A3" s="8"/>
      <c r="B3" s="10"/>
      <c r="C3" s="11"/>
      <c r="E3" s="216"/>
    </row>
    <row r="4" spans="1:24" ht="18">
      <c r="B4" s="86" t="s">
        <v>90</v>
      </c>
      <c r="C4" s="88"/>
      <c r="D4" s="88"/>
      <c r="E4" s="225" t="str">
        <f>"~FI_T: "&amp;Region</f>
        <v>~FI_T: FIN</v>
      </c>
      <c r="F4" s="34"/>
      <c r="G4" s="34"/>
      <c r="U4" s="1"/>
      <c r="V4" s="1"/>
      <c r="W4" s="1"/>
      <c r="X4" s="1"/>
    </row>
    <row r="5" spans="1:24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 ca="1">CONCATENATE("\I:",IEAData!$D$2," service demand")</f>
        <v>\I:2010 service demand</v>
      </c>
      <c r="G5" s="64" t="str">
        <f ca="1">CONCATENATE("\I:",AuxData!$D$2," service demand")</f>
        <v>\I:2017 service demand</v>
      </c>
      <c r="H5" s="45" t="s">
        <v>388</v>
      </c>
      <c r="I5" s="45" t="str">
        <f ca="1">"INPUT~"&amp;AuxYear</f>
        <v>INPUT~2017</v>
      </c>
      <c r="J5" s="45" t="s">
        <v>389</v>
      </c>
      <c r="K5" s="45" t="str">
        <f ca="1">"OUTPUT~"&amp;AuxYear</f>
        <v>OUTPUT~2017</v>
      </c>
      <c r="L5" s="45" t="str">
        <f ca="1">"RESID~"&amp;BaseYear</f>
        <v>RESID~2010</v>
      </c>
      <c r="M5" s="45" t="str">
        <f ca="1">"RESID~"&amp;AuxYear</f>
        <v>RESID~2017</v>
      </c>
      <c r="N5" s="45" t="str">
        <f ca="1">"RESID~"&amp;CEILING(AuxYear+24,5)</f>
        <v>RESID~2045</v>
      </c>
      <c r="O5" s="45" t="s">
        <v>848</v>
      </c>
      <c r="P5" s="64" t="s">
        <v>872</v>
      </c>
      <c r="Q5" s="64" t="s">
        <v>556</v>
      </c>
      <c r="R5" s="45" t="s">
        <v>1507</v>
      </c>
      <c r="S5" s="45" t="s">
        <v>1498</v>
      </c>
      <c r="T5" s="45" t="s">
        <v>108</v>
      </c>
      <c r="U5" s="45" t="s">
        <v>1525</v>
      </c>
      <c r="V5" s="45" t="s">
        <v>1524</v>
      </c>
    </row>
    <row r="6" spans="1:24">
      <c r="B6" s="35" t="s">
        <v>961</v>
      </c>
      <c r="C6" s="300" t="s">
        <v>813</v>
      </c>
      <c r="D6" s="9" t="s">
        <v>906</v>
      </c>
      <c r="E6" s="9"/>
      <c r="F6" s="21">
        <f ca="1">VLOOKUP($B$6,Calibration!$B$172:$T$206,HLOOKUP($D6,Calibration!$C$3:$T$4,2,FALSE),FALSE)</f>
        <v>0.93667858055444153</v>
      </c>
      <c r="G6" s="21">
        <f ca="1">VLOOKUP($B$6,Calibrati2!$B$172:$T$206,HLOOKUP($D6,Calibrati2!$C$3:$T$4,2,FALSE),FALSE)</f>
        <v>1.4626551455204235</v>
      </c>
      <c r="H6" s="62">
        <f>IF(H$20=0,0,F6/H$20)</f>
        <v>0.33876259694554844</v>
      </c>
      <c r="I6" s="62">
        <f>IF(I$20=0,0,G6/I$20)</f>
        <v>0.54172412797052716</v>
      </c>
      <c r="J6" s="542"/>
      <c r="K6" s="9"/>
      <c r="L6" s="542">
        <f>H20</f>
        <v>2.7650000000000001</v>
      </c>
      <c r="M6" s="542">
        <f>I20</f>
        <v>2.7</v>
      </c>
      <c r="N6" s="542">
        <v>0</v>
      </c>
      <c r="O6" s="17">
        <v>1</v>
      </c>
      <c r="P6" s="12">
        <v>1</v>
      </c>
      <c r="Q6" s="12">
        <v>1</v>
      </c>
      <c r="R6" s="9">
        <v>900</v>
      </c>
      <c r="S6" s="31">
        <f>L6*0.015</f>
        <v>4.1474999999999998E-2</v>
      </c>
      <c r="T6" s="31"/>
      <c r="U6" s="31"/>
      <c r="V6" s="12"/>
    </row>
    <row r="7" spans="1:24">
      <c r="B7" s="9"/>
      <c r="C7" s="23"/>
      <c r="D7" s="9" t="s">
        <v>909</v>
      </c>
      <c r="E7" s="9"/>
      <c r="F7" s="21">
        <f ca="1">VLOOKUP($B$6,Calibration!$B$172:$T$206,HLOOKUP($D7,Calibration!$C$3:$T$4,2,FALSE),FALSE)</f>
        <v>0</v>
      </c>
      <c r="G7" s="21">
        <f ca="1">VLOOKUP($B$6,Calibrati2!$B$172:$T$206,HLOOKUP($D7,Calibrati2!$C$3:$T$4,2,FALSE),FALSE)</f>
        <v>0.23441142632375905</v>
      </c>
      <c r="H7" s="62">
        <f t="shared" ref="H7:H15" si="0">IF($H$20=0,0,F7/$H$20)</f>
        <v>0</v>
      </c>
      <c r="I7" s="62">
        <f t="shared" ref="I7:I15" si="1">IF(I$20=0,0,G7/I$20)</f>
        <v>8.6819046786577425E-2</v>
      </c>
      <c r="J7" s="542"/>
      <c r="K7" s="9"/>
      <c r="L7" s="542"/>
      <c r="M7" s="9"/>
      <c r="N7" s="542"/>
      <c r="O7" s="542"/>
      <c r="P7" s="9"/>
      <c r="Q7" s="9"/>
      <c r="R7" s="9"/>
      <c r="S7" s="31"/>
      <c r="T7" s="31"/>
      <c r="U7" s="31"/>
      <c r="V7" s="12"/>
    </row>
    <row r="8" spans="1:24">
      <c r="B8" s="9"/>
      <c r="C8" s="23"/>
      <c r="D8" s="9" t="s">
        <v>910</v>
      </c>
      <c r="E8" s="9"/>
      <c r="F8" s="21">
        <f ca="1">VLOOKUP($B$6,Calibration!$B$172:$T$206,HLOOKUP($D8,Calibration!$C$3:$T$4,2,FALSE),FALSE)</f>
        <v>4.9030347707388744</v>
      </c>
      <c r="G8" s="21">
        <f ca="1">VLOOKUP($B$6,Calibrati2!$B$172:$T$206,HLOOKUP($D8,Calibrati2!$C$3:$T$4,2,FALSE),FALSE)</f>
        <v>2.084038749242942</v>
      </c>
      <c r="H8" s="62">
        <f t="shared" si="0"/>
        <v>1.7732494650050177</v>
      </c>
      <c r="I8" s="62">
        <f t="shared" si="1"/>
        <v>0.7718662034233118</v>
      </c>
      <c r="J8" s="542"/>
      <c r="K8" s="9"/>
      <c r="L8" s="542"/>
      <c r="M8" s="9"/>
      <c r="N8" s="542"/>
      <c r="O8" s="542"/>
      <c r="P8" s="9"/>
      <c r="Q8" s="9"/>
      <c r="R8" s="9"/>
      <c r="S8" s="31"/>
      <c r="T8" s="31"/>
      <c r="U8" s="31"/>
      <c r="V8" s="12"/>
    </row>
    <row r="9" spans="1:24">
      <c r="B9" s="9"/>
      <c r="C9" s="23"/>
      <c r="D9" s="9" t="s">
        <v>911</v>
      </c>
      <c r="E9" s="9"/>
      <c r="F9" s="21">
        <f ca="1">VLOOKUP($B$6,Calibration!$B$172:$T$206,HLOOKUP($D9,Calibration!$C$3:$T$4,2,FALSE),FALSE)</f>
        <v>2.6330998366033103</v>
      </c>
      <c r="G9" s="21">
        <f ca="1">VLOOKUP($B$6,Calibrati2!$B$172:$T$206,HLOOKUP($D9,Calibrati2!$C$3:$T$4,2,FALSE),FALSE)</f>
        <v>1.7572156777930681</v>
      </c>
      <c r="H9" s="62">
        <f t="shared" si="0"/>
        <v>0.95229650510065467</v>
      </c>
      <c r="I9" s="62">
        <f t="shared" si="1"/>
        <v>0.65082062140483998</v>
      </c>
      <c r="J9" s="542"/>
      <c r="K9" s="9"/>
      <c r="L9" s="542"/>
      <c r="M9" s="9"/>
      <c r="N9" s="542"/>
      <c r="O9" s="542"/>
      <c r="P9" s="9"/>
      <c r="Q9" s="9"/>
      <c r="R9" s="9"/>
      <c r="S9" s="31"/>
      <c r="T9" s="31"/>
      <c r="U9" s="31"/>
      <c r="V9" s="12"/>
    </row>
    <row r="10" spans="1:24">
      <c r="A10" s="6"/>
      <c r="B10" s="52"/>
      <c r="C10" s="50"/>
      <c r="D10" s="52" t="s">
        <v>912</v>
      </c>
      <c r="E10" s="52"/>
      <c r="F10" s="21">
        <f ca="1">VLOOKUP($B$6,Calibration!$B$172:$T$206,HLOOKUP($D10,Calibration!$C$3:$T$4,2,FALSE),FALSE)</f>
        <v>1.8492227682592619</v>
      </c>
      <c r="G10" s="21">
        <f ca="1">VLOOKUP($B$6,Calibrati2!$B$172:$T$206,HLOOKUP($D10,Calibrati2!$C$3:$T$4,2,FALSE),FALSE)</f>
        <v>1.5034031231328127</v>
      </c>
      <c r="H10" s="62">
        <f t="shared" si="0"/>
        <v>0.66879666121492287</v>
      </c>
      <c r="I10" s="62">
        <f t="shared" si="1"/>
        <v>0.55681597153067131</v>
      </c>
      <c r="J10" s="543"/>
      <c r="K10" s="9"/>
      <c r="L10" s="543"/>
      <c r="M10" s="9"/>
      <c r="N10" s="543"/>
      <c r="O10" s="543"/>
      <c r="P10" s="52"/>
      <c r="Q10" s="52"/>
      <c r="R10" s="9"/>
      <c r="S10" s="31"/>
      <c r="T10" s="31"/>
      <c r="U10" s="31"/>
      <c r="V10" s="49"/>
    </row>
    <row r="11" spans="1:24">
      <c r="B11" s="9"/>
      <c r="C11" s="23"/>
      <c r="D11" s="9" t="s">
        <v>1150</v>
      </c>
      <c r="E11" s="9"/>
      <c r="F11" s="21">
        <f ca="1">VLOOKUP($B$6,Calibration!$B$172:$T$206,HLOOKUP($D11,Calibration!$C$3:$T$4,2,FALSE),FALSE)</f>
        <v>0</v>
      </c>
      <c r="G11" s="21">
        <f ca="1">VLOOKUP($B$6,Calibrati2!$B$172:$T$206,HLOOKUP($D11,Calibrati2!$C$3:$T$4,2,FALSE),FALSE)</f>
        <v>0</v>
      </c>
      <c r="H11" s="62">
        <f t="shared" si="0"/>
        <v>0</v>
      </c>
      <c r="I11" s="62">
        <f t="shared" si="1"/>
        <v>0</v>
      </c>
      <c r="J11" s="542"/>
      <c r="K11" s="9"/>
      <c r="L11" s="542"/>
      <c r="M11" s="9"/>
      <c r="N11" s="542"/>
      <c r="O11" s="542"/>
      <c r="P11" s="9"/>
      <c r="Q11" s="9"/>
      <c r="R11" s="9"/>
      <c r="S11" s="31"/>
      <c r="T11" s="31"/>
      <c r="U11" s="31"/>
      <c r="V11" s="12"/>
    </row>
    <row r="12" spans="1:24">
      <c r="B12" s="9"/>
      <c r="C12" s="23"/>
      <c r="D12" s="9" t="s">
        <v>913</v>
      </c>
      <c r="E12" s="9"/>
      <c r="F12" s="21">
        <f ca="1">VLOOKUP($B$6,Calibration!$B$172:$T$206,HLOOKUP($D12,Calibration!$C$3:$T$4,2,FALSE),FALSE)</f>
        <v>1.5479644447168781</v>
      </c>
      <c r="G12" s="21">
        <f ca="1">VLOOKUP($B$6,Calibrati2!$B$172:$T$206,HLOOKUP($D12,Calibrati2!$C$3:$T$4,2,FALSE),FALSE)</f>
        <v>3.2664121237482996E-2</v>
      </c>
      <c r="H12" s="62">
        <f t="shared" si="0"/>
        <v>0.55984247548530852</v>
      </c>
      <c r="I12" s="62">
        <f t="shared" si="1"/>
        <v>1.2097822680549257E-2</v>
      </c>
      <c r="J12" s="542"/>
      <c r="K12" s="9"/>
      <c r="L12" s="542"/>
      <c r="M12" s="9"/>
      <c r="N12" s="542"/>
      <c r="O12" s="542"/>
      <c r="P12" s="9"/>
      <c r="Q12" s="9"/>
      <c r="R12" s="9"/>
      <c r="S12" s="31"/>
      <c r="T12" s="31"/>
      <c r="U12" s="31"/>
      <c r="V12" s="12"/>
    </row>
    <row r="13" spans="1:24">
      <c r="B13" s="9"/>
      <c r="C13" s="23"/>
      <c r="D13" s="9" t="s">
        <v>916</v>
      </c>
      <c r="E13" s="9"/>
      <c r="F13" s="21">
        <f ca="1">VLOOKUP($B$6,Calibration!$B$172:$T$206,HLOOKUP($D13,Calibration!$C$3:$T$4,2,FALSE),FALSE)</f>
        <v>0</v>
      </c>
      <c r="G13" s="21">
        <f ca="1">VLOOKUP($B$6,Calibrati2!$B$172:$T$206,HLOOKUP($D13,Calibrati2!$C$3:$T$4,2,FALSE),FALSE)</f>
        <v>0</v>
      </c>
      <c r="H13" s="62">
        <f t="shared" si="0"/>
        <v>0</v>
      </c>
      <c r="I13" s="62">
        <f t="shared" si="1"/>
        <v>0</v>
      </c>
      <c r="J13" s="542"/>
      <c r="K13" s="9"/>
      <c r="L13" s="542"/>
      <c r="M13" s="9"/>
      <c r="N13" s="542"/>
      <c r="O13" s="542"/>
      <c r="P13" s="9"/>
      <c r="Q13" s="9"/>
      <c r="R13" s="9"/>
      <c r="S13" s="31"/>
      <c r="T13" s="31"/>
      <c r="U13" s="31"/>
      <c r="V13" s="12"/>
    </row>
    <row r="14" spans="1:24">
      <c r="B14" s="9"/>
      <c r="C14" s="23"/>
      <c r="D14" s="9" t="s">
        <v>577</v>
      </c>
      <c r="E14" s="9"/>
      <c r="F14" s="21">
        <f ca="1">VLOOKUP($B$6,Drivers!$T$58:$V$76,3,FALSE)*VLOOKUP($D14,Calibration!$A$220:$U$224,21,0)</f>
        <v>3.3055368296841023</v>
      </c>
      <c r="G14" s="21">
        <f ca="1">VLOOKUP($B$6,Driver2!$T$58:$V$76,3,FALSE)*VLOOKUP($D14,Calibrati2!$A$220:$U$224,21,0)</f>
        <v>3.8242070372254764</v>
      </c>
      <c r="H14" s="62">
        <f t="shared" si="0"/>
        <v>1.1954925242980479</v>
      </c>
      <c r="I14" s="62">
        <f t="shared" si="1"/>
        <v>1.4163729767501763</v>
      </c>
      <c r="J14" s="542"/>
      <c r="K14" s="9"/>
      <c r="L14" s="542"/>
      <c r="M14" s="9"/>
      <c r="N14" s="542"/>
      <c r="O14" s="542"/>
      <c r="P14" s="9"/>
      <c r="Q14" s="9"/>
      <c r="R14" s="9"/>
      <c r="S14" s="31"/>
      <c r="T14" s="31"/>
      <c r="U14" s="31"/>
      <c r="V14" s="12"/>
    </row>
    <row r="15" spans="1:24">
      <c r="B15" s="9"/>
      <c r="C15" s="23"/>
      <c r="D15" s="9" t="s">
        <v>579</v>
      </c>
      <c r="E15" s="9"/>
      <c r="F15" s="21">
        <f ca="1">VLOOKUP($B$6,Drivers!$T$58:$V$76,2,FALSE)*VLOOKUP($D15,Calibration!$A$211:$U$215,21,0)</f>
        <v>2.8020198760371713</v>
      </c>
      <c r="G15" s="21">
        <f ca="1">VLOOKUP($B$6,Driver2!$T$58:$V$76,2,FALSE)*VLOOKUP($D15,Calibrati2!$A$211:$U$215,21,0)</f>
        <v>2.3943389000591471</v>
      </c>
      <c r="H15" s="62">
        <f t="shared" si="0"/>
        <v>1.0133887435939135</v>
      </c>
      <c r="I15" s="62">
        <f t="shared" si="1"/>
        <v>0.88679218520709147</v>
      </c>
      <c r="J15" s="542"/>
      <c r="K15" s="9"/>
      <c r="L15" s="542"/>
      <c r="M15" s="9"/>
      <c r="N15" s="542"/>
      <c r="O15" s="542"/>
      <c r="P15" s="9"/>
      <c r="Q15" s="9"/>
      <c r="R15" s="9"/>
      <c r="S15" s="31"/>
      <c r="T15" s="31"/>
      <c r="U15" s="31"/>
      <c r="V15" s="12"/>
    </row>
    <row r="16" spans="1:24">
      <c r="B16" s="9"/>
      <c r="C16" s="23"/>
      <c r="D16" s="23" t="s">
        <v>443</v>
      </c>
      <c r="E16" s="9"/>
      <c r="F16" s="21"/>
      <c r="G16" s="21"/>
      <c r="H16" s="62">
        <f ca="1">IF(H20&gt;0,IEAData!$AO$12/H20,1)</f>
        <v>8.2876078220614833</v>
      </c>
      <c r="I16" s="62">
        <f ca="1">IF(I20&gt;0,AuxData!$AO$12/I20,1)</f>
        <v>7.7295259629629616</v>
      </c>
      <c r="J16" s="542"/>
      <c r="K16" s="9"/>
      <c r="L16" s="542"/>
      <c r="M16" s="9"/>
      <c r="N16" s="542"/>
      <c r="O16" s="542"/>
      <c r="P16" s="9"/>
      <c r="Q16" s="9"/>
      <c r="R16" s="9"/>
      <c r="S16" s="31"/>
      <c r="T16" s="31"/>
      <c r="U16" s="31"/>
      <c r="V16" s="12"/>
    </row>
    <row r="17" spans="1:22">
      <c r="B17" s="9"/>
      <c r="C17" s="23"/>
      <c r="D17" s="23" t="s">
        <v>411</v>
      </c>
      <c r="E17" s="9" t="s">
        <v>335</v>
      </c>
      <c r="F17" s="21"/>
      <c r="G17" s="21"/>
      <c r="H17" s="62">
        <v>7.4999999999999997E-2</v>
      </c>
      <c r="I17" s="62">
        <f>$H17</f>
        <v>7.4999999999999997E-2</v>
      </c>
      <c r="J17" s="62">
        <v>0.25</v>
      </c>
      <c r="K17" s="9">
        <f>J17</f>
        <v>0.25</v>
      </c>
      <c r="L17" s="542"/>
      <c r="M17" s="9"/>
      <c r="N17" s="542"/>
      <c r="O17" s="542"/>
      <c r="P17" s="9"/>
      <c r="Q17" s="9"/>
      <c r="R17" s="9"/>
      <c r="S17" s="31"/>
      <c r="T17" s="31"/>
      <c r="U17" s="31"/>
      <c r="V17" s="12"/>
    </row>
    <row r="18" spans="1:22">
      <c r="B18" s="9"/>
      <c r="C18" s="23"/>
      <c r="D18" s="23" t="s">
        <v>1517</v>
      </c>
      <c r="E18" s="9"/>
      <c r="F18" s="21"/>
      <c r="G18" s="21"/>
      <c r="H18" s="62"/>
      <c r="I18" s="62">
        <v>7.4999999999999997E-2</v>
      </c>
      <c r="J18" s="62"/>
      <c r="K18" s="62"/>
      <c r="L18" s="542"/>
      <c r="M18" s="9"/>
      <c r="N18" s="542"/>
      <c r="O18" s="542"/>
      <c r="P18" s="9"/>
      <c r="Q18" s="9"/>
      <c r="R18" s="9"/>
      <c r="S18" s="31"/>
      <c r="T18" s="31"/>
      <c r="U18" s="31"/>
      <c r="V18" s="12">
        <f>I18*56/100*1000*0.8</f>
        <v>33.6</v>
      </c>
    </row>
    <row r="19" spans="1:22" ht="13.5" thickBot="1">
      <c r="A19" s="6"/>
      <c r="B19" s="52"/>
      <c r="C19" s="50"/>
      <c r="D19" s="52" t="s">
        <v>1515</v>
      </c>
      <c r="E19" s="52" t="s">
        <v>213</v>
      </c>
      <c r="F19" s="53"/>
      <c r="G19" s="53"/>
      <c r="H19" s="544"/>
      <c r="I19" s="9">
        <v>2</v>
      </c>
      <c r="J19" s="543"/>
      <c r="K19" s="9"/>
      <c r="L19" s="543"/>
      <c r="M19" s="9"/>
      <c r="N19" s="543"/>
      <c r="O19" s="543"/>
      <c r="P19" s="52"/>
      <c r="Q19" s="52"/>
      <c r="R19" s="9"/>
      <c r="S19" s="55"/>
      <c r="T19" s="55"/>
      <c r="U19" s="55"/>
      <c r="V19" s="49"/>
    </row>
    <row r="20" spans="1:22">
      <c r="B20" s="516" t="s">
        <v>1380</v>
      </c>
      <c r="C20" s="517" t="str">
        <f>E19</f>
        <v>IISBOF</v>
      </c>
      <c r="D20" s="517"/>
      <c r="E20" s="517"/>
      <c r="F20" s="580">
        <f>SUM(F6:F19)</f>
        <v>17.977557106594041</v>
      </c>
      <c r="G20" s="580">
        <f>SUM(G6:G19)</f>
        <v>13.292934180535111</v>
      </c>
      <c r="H20" s="580">
        <f ca="1">VLOOKUP($C20&amp;"000",Drivers!$E$58:$H$79,4,FALSE)</f>
        <v>2.7650000000000001</v>
      </c>
      <c r="I20" s="580">
        <f ca="1">VLOOKUP($C20&amp;"000",Driver2!$E$58:$H$79,4,FALSE)</f>
        <v>2.7</v>
      </c>
      <c r="J20" s="580"/>
      <c r="K20" s="580"/>
      <c r="L20" s="580">
        <f ca="1">F20/(H20+Tiny)</f>
        <v>6.5018289692919389</v>
      </c>
      <c r="M20" s="580">
        <f ca="1">G20/(I20+Tiny)</f>
        <v>4.923308953930297</v>
      </c>
      <c r="N20" s="517"/>
      <c r="O20" s="517"/>
      <c r="P20" s="517"/>
      <c r="Q20" s="517" t="s">
        <v>784</v>
      </c>
      <c r="R20" s="517"/>
      <c r="S20" s="517"/>
      <c r="T20" s="517"/>
      <c r="U20" s="517"/>
      <c r="V20" s="517"/>
    </row>
    <row r="21" spans="1:22">
      <c r="B21" s="35" t="s">
        <v>368</v>
      </c>
      <c r="C21" s="23" t="s">
        <v>814</v>
      </c>
      <c r="D21" s="9" t="s">
        <v>646</v>
      </c>
      <c r="E21" s="9"/>
      <c r="F21" s="21">
        <f ca="1">VLOOKUP($B21,Calibration!$B$172:$T$206,2,FALSE)</f>
        <v>0</v>
      </c>
      <c r="G21" s="21">
        <f ca="1">VLOOKUP($B21,Calibrati2!$B$172:$T$206,2,FALSE)</f>
        <v>0</v>
      </c>
      <c r="H21" s="62">
        <f>IF(H$29=0,0,F21/H$29)</f>
        <v>0</v>
      </c>
      <c r="I21" s="62">
        <f>IF(I$29=0,0,G21/I$29)</f>
        <v>0</v>
      </c>
      <c r="J21" s="542"/>
      <c r="K21" s="9"/>
      <c r="L21" s="542">
        <f>H29</f>
        <v>0</v>
      </c>
      <c r="M21" s="542">
        <f>I29</f>
        <v>0</v>
      </c>
      <c r="N21" s="542">
        <v>0</v>
      </c>
      <c r="O21" s="17">
        <v>1</v>
      </c>
      <c r="P21" s="12">
        <v>1</v>
      </c>
      <c r="Q21" s="12">
        <v>30</v>
      </c>
      <c r="R21" s="9"/>
      <c r="S21" s="31"/>
      <c r="T21" s="31"/>
      <c r="U21" s="31"/>
      <c r="V21" s="12"/>
    </row>
    <row r="22" spans="1:22">
      <c r="B22" s="9"/>
      <c r="C22" s="23"/>
      <c r="D22" s="9" t="s">
        <v>906</v>
      </c>
      <c r="E22" s="9"/>
      <c r="F22" s="21">
        <f ca="1">VLOOKUP($B$21,Calibration!$B$172:$T$206,HLOOKUP($D22,Calibration!$C$3:$T$4,2,FALSE),FALSE)</f>
        <v>0</v>
      </c>
      <c r="G22" s="21">
        <f ca="1">VLOOKUP($B$21,Calibrati2!$B$172:$T$206,HLOOKUP($D22,Calibrati2!$C$3:$T$4,2,FALSE),FALSE)</f>
        <v>0</v>
      </c>
      <c r="H22" s="62">
        <f>IF($H$29=0,0,F22/$H$29)</f>
        <v>0</v>
      </c>
      <c r="I22" s="62">
        <f>IF(I$29=0,0,G22/I$29)</f>
        <v>0</v>
      </c>
      <c r="J22" s="542"/>
      <c r="K22" s="9"/>
      <c r="L22" s="542"/>
      <c r="M22" s="9"/>
      <c r="N22" s="542"/>
      <c r="O22" s="542"/>
      <c r="P22" s="9"/>
      <c r="Q22" s="9"/>
      <c r="R22" s="9"/>
      <c r="S22" s="31"/>
      <c r="T22" s="31"/>
      <c r="U22" s="31"/>
      <c r="V22" s="12"/>
    </row>
    <row r="23" spans="1:22">
      <c r="B23" s="9"/>
      <c r="C23" s="23"/>
      <c r="D23" s="9" t="s">
        <v>909</v>
      </c>
      <c r="E23" s="9"/>
      <c r="F23" s="21">
        <f ca="1">VLOOKUP($B$21,Calibration!$B$172:$T$206,HLOOKUP($D23,Calibration!$C$3:$T$4,2,FALSE),FALSE)</f>
        <v>0</v>
      </c>
      <c r="G23" s="21">
        <f ca="1">VLOOKUP($B$21,Calibrati2!$B$172:$T$206,HLOOKUP($D23,Calibrati2!$C$3:$T$4,2,FALSE),FALSE)</f>
        <v>0</v>
      </c>
      <c r="H23" s="62">
        <f>IF($H$29=0,0,F23/$H$29)</f>
        <v>0</v>
      </c>
      <c r="I23" s="62">
        <f>IF(I$29=0,0,G23/I$29)</f>
        <v>0</v>
      </c>
      <c r="J23" s="542"/>
      <c r="K23" s="9"/>
      <c r="L23" s="542"/>
      <c r="M23" s="9"/>
      <c r="N23" s="542"/>
      <c r="O23" s="542"/>
      <c r="P23" s="9"/>
      <c r="Q23" s="9"/>
      <c r="R23" s="9"/>
      <c r="S23" s="31"/>
      <c r="T23" s="31"/>
      <c r="U23" s="31"/>
      <c r="V23" s="12"/>
    </row>
    <row r="24" spans="1:22">
      <c r="B24" s="9"/>
      <c r="C24" s="23"/>
      <c r="D24" s="9" t="s">
        <v>826</v>
      </c>
      <c r="E24" s="9"/>
      <c r="F24" s="21">
        <f ca="1">VLOOKUP($B$21,Calibration!$B$172:$T$206,HLOOKUP($D24,Calibration!$C$3:$T$4,2,FALSE),FALSE)</f>
        <v>0</v>
      </c>
      <c r="G24" s="21">
        <f ca="1">VLOOKUP($B$21,Calibrati2!$B$172:$T$206,HLOOKUP($D24,Calibrati2!$C$3:$T$4,2,FALSE),FALSE)</f>
        <v>0</v>
      </c>
      <c r="H24" s="62">
        <f>IF($H$29=0,0,F24/$H$29)</f>
        <v>0</v>
      </c>
      <c r="I24" s="62">
        <f>IF(I$29=0,0,G24/I$29)</f>
        <v>0</v>
      </c>
      <c r="J24" s="542"/>
      <c r="K24" s="9"/>
      <c r="L24" s="542"/>
      <c r="M24" s="9"/>
      <c r="N24" s="542"/>
      <c r="O24" s="542"/>
      <c r="P24" s="9"/>
      <c r="Q24" s="9"/>
      <c r="R24" s="9"/>
      <c r="S24" s="31"/>
      <c r="T24" s="31"/>
      <c r="U24" s="31"/>
      <c r="V24" s="12"/>
    </row>
    <row r="25" spans="1:22">
      <c r="B25" s="9"/>
      <c r="C25" s="23"/>
      <c r="D25" s="9" t="s">
        <v>577</v>
      </c>
      <c r="E25" s="9"/>
      <c r="F25" s="21">
        <f ca="1">VLOOKUP($B$21,Drivers!$T$58:$V$76,3,FALSE)*VLOOKUP($D25,Calibration!$A$220:$U$224,21,0)</f>
        <v>0</v>
      </c>
      <c r="G25" s="21">
        <f ca="1">VLOOKUP($B$21,Driver2!$T$58:$V$76,3,FALSE)*VLOOKUP($D25,Calibrati2!$A$220:$U$224,21,0)</f>
        <v>0</v>
      </c>
      <c r="H25" s="62">
        <f>IF($H$29=0,0,F25/$H$29)</f>
        <v>0</v>
      </c>
      <c r="I25" s="62">
        <f>IF(I$29=0,0,G25/I$29)</f>
        <v>0</v>
      </c>
      <c r="J25" s="542"/>
      <c r="K25" s="9"/>
      <c r="L25" s="542"/>
      <c r="M25" s="9"/>
      <c r="N25" s="542"/>
      <c r="O25" s="542"/>
      <c r="P25" s="9"/>
      <c r="Q25" s="9"/>
      <c r="R25" s="9"/>
      <c r="S25" s="31"/>
      <c r="T25" s="31"/>
      <c r="U25" s="31"/>
      <c r="V25" s="12"/>
    </row>
    <row r="26" spans="1:22">
      <c r="B26" s="9"/>
      <c r="C26" s="23"/>
      <c r="D26" s="9" t="s">
        <v>579</v>
      </c>
      <c r="E26" s="9"/>
      <c r="F26" s="21">
        <f ca="1">VLOOKUP($B$21,Drivers!$T$58:$V$76,2,FALSE)*VLOOKUP($D26,Calibration!$A$211:$U$215,21,0)</f>
        <v>0</v>
      </c>
      <c r="G26" s="21">
        <f ca="1">VLOOKUP($B$21,Driver2!$T$58:$V$76,2,FALSE)*VLOOKUP($D26,Calibrati2!$A$211:$U$215,21,0)</f>
        <v>0</v>
      </c>
      <c r="H26" s="62">
        <f>IF($H$29=0,0,F26/$H$29)</f>
        <v>0</v>
      </c>
      <c r="I26" s="62">
        <f>IF(I$29=0,0,G26/I$29)</f>
        <v>0</v>
      </c>
      <c r="J26" s="542"/>
      <c r="K26" s="9"/>
      <c r="L26" s="542"/>
      <c r="M26" s="9"/>
      <c r="N26" s="542"/>
      <c r="O26" s="542"/>
      <c r="P26" s="9"/>
      <c r="Q26" s="9"/>
      <c r="R26" s="9"/>
      <c r="S26" s="31"/>
      <c r="T26" s="31"/>
      <c r="U26" s="31"/>
      <c r="V26" s="12"/>
    </row>
    <row r="27" spans="1:22">
      <c r="B27" s="9"/>
      <c r="C27" s="23"/>
      <c r="D27" s="23" t="s">
        <v>1517</v>
      </c>
      <c r="E27" s="9"/>
      <c r="F27" s="21"/>
      <c r="G27" s="21"/>
      <c r="H27" s="62"/>
      <c r="I27" s="9">
        <v>0.02</v>
      </c>
      <c r="J27" s="542"/>
      <c r="K27" s="9"/>
      <c r="L27" s="542"/>
      <c r="M27" s="9"/>
      <c r="N27" s="542"/>
      <c r="O27" s="542"/>
      <c r="P27" s="9"/>
      <c r="Q27" s="9"/>
      <c r="R27" s="9"/>
      <c r="S27" s="31"/>
      <c r="T27" s="31"/>
      <c r="U27" s="31"/>
      <c r="V27" s="12">
        <f>I27*56/100*1000*0.8</f>
        <v>8.9600000000000009</v>
      </c>
    </row>
    <row r="28" spans="1:22" ht="13.5" thickBot="1">
      <c r="B28" s="22"/>
      <c r="C28" s="24"/>
      <c r="D28" s="52" t="s">
        <v>1515</v>
      </c>
      <c r="E28" s="22" t="s">
        <v>367</v>
      </c>
      <c r="F28" s="28"/>
      <c r="G28" s="28"/>
      <c r="H28" s="541"/>
      <c r="I28" s="9">
        <v>2</v>
      </c>
      <c r="J28" s="545"/>
      <c r="K28" s="9"/>
      <c r="L28" s="545"/>
      <c r="M28" s="9"/>
      <c r="N28" s="545"/>
      <c r="O28" s="545"/>
      <c r="P28" s="22"/>
      <c r="Q28" s="22"/>
      <c r="R28" s="9"/>
      <c r="S28" s="29"/>
      <c r="T28" s="29"/>
      <c r="U28" s="29"/>
      <c r="V28" s="13"/>
    </row>
    <row r="29" spans="1:22">
      <c r="B29" s="516" t="s">
        <v>1380</v>
      </c>
      <c r="C29" s="517" t="str">
        <f>E28</f>
        <v>IISDRI</v>
      </c>
      <c r="D29" s="517"/>
      <c r="E29" s="517"/>
      <c r="F29" s="517">
        <f>SUM(F21:F28)</f>
        <v>0</v>
      </c>
      <c r="G29" s="517">
        <f>SUM(G21:G28)</f>
        <v>0</v>
      </c>
      <c r="H29" s="517">
        <f ca="1">VLOOKUP($C29&amp;"000",Drivers!$E$58:$H$79,4,FALSE)</f>
        <v>0</v>
      </c>
      <c r="I29" s="517">
        <f ca="1">VLOOKUP($C29&amp;"000",Driver2!$E$58:$H$79,4,FALSE)</f>
        <v>0</v>
      </c>
      <c r="J29" s="517"/>
      <c r="K29" s="517"/>
      <c r="L29" s="517">
        <f ca="1">F29/(H29+Tiny)</f>
        <v>0</v>
      </c>
      <c r="M29" s="517">
        <f ca="1">G29/(I29+Tiny)</f>
        <v>0</v>
      </c>
      <c r="N29" s="517"/>
      <c r="O29" s="517"/>
      <c r="P29" s="517"/>
      <c r="Q29" s="517" t="s">
        <v>784</v>
      </c>
      <c r="R29" s="517"/>
      <c r="S29" s="517"/>
      <c r="T29" s="517"/>
      <c r="U29" s="517"/>
      <c r="V29" s="517"/>
    </row>
    <row r="30" spans="1:22">
      <c r="B30" s="35" t="s">
        <v>366</v>
      </c>
      <c r="C30" s="23" t="s">
        <v>815</v>
      </c>
      <c r="D30" s="9" t="s">
        <v>646</v>
      </c>
      <c r="E30" s="9"/>
      <c r="F30" s="21">
        <f ca="1">VLOOKUP($B30,Calibration!$B$172:$T$206,2,FALSE)</f>
        <v>2.5307586512140507</v>
      </c>
      <c r="G30" s="21">
        <f ca="1">VLOOKUP($B30,Calibrati2!$B$172:$T$206,2,FALSE)</f>
        <v>2.06728559189603</v>
      </c>
      <c r="H30" s="62">
        <f>IF(H$38=0,0,F30/H$38)</f>
        <v>2.0005997242798821</v>
      </c>
      <c r="I30" s="62">
        <f>IF(I$38=0,0,G30/I$38)</f>
        <v>1.5863149109085566</v>
      </c>
      <c r="J30" s="542"/>
      <c r="K30" s="9"/>
      <c r="L30" s="542">
        <f>H38</f>
        <v>1.2649999999999999</v>
      </c>
      <c r="M30" s="542">
        <f>I38</f>
        <v>1.3031999999999995</v>
      </c>
      <c r="N30" s="542">
        <v>0</v>
      </c>
      <c r="O30" s="17">
        <v>1</v>
      </c>
      <c r="P30" s="12">
        <v>1</v>
      </c>
      <c r="Q30" s="12">
        <v>30</v>
      </c>
      <c r="R30" s="9"/>
      <c r="S30" s="31"/>
      <c r="T30" s="31"/>
      <c r="U30" s="31"/>
      <c r="V30" s="12"/>
    </row>
    <row r="31" spans="1:22">
      <c r="B31" s="9"/>
      <c r="C31" s="23"/>
      <c r="D31" s="9" t="s">
        <v>906</v>
      </c>
      <c r="E31" s="9"/>
      <c r="F31" s="21">
        <f ca="1">VLOOKUP($B$30,Calibration!$B$172:$T$206,HLOOKUP($D31,Calibration!$C$3:$T$4,2,FALSE),FALSE)</f>
        <v>0.9168890448342718</v>
      </c>
      <c r="G31" s="21">
        <f ca="1">VLOOKUP($B$30,Calibrati2!$B$172:$T$206,HLOOKUP($D31,Calibrati2!$C$3:$T$4,2,FALSE),FALSE)</f>
        <v>0.68928282018612419</v>
      </c>
      <c r="H31" s="62">
        <f>IF($H$38=0,0,F31/$H$38)</f>
        <v>0.72481347417729003</v>
      </c>
      <c r="I31" s="62">
        <f>IF(I$38=0,0,G31/I$38)</f>
        <v>0.5289156078776277</v>
      </c>
      <c r="J31" s="542"/>
      <c r="K31" s="9"/>
      <c r="L31" s="542"/>
      <c r="M31" s="9"/>
      <c r="N31" s="542"/>
      <c r="O31" s="542"/>
      <c r="P31" s="9"/>
      <c r="Q31" s="9"/>
      <c r="R31" s="9"/>
      <c r="S31" s="31"/>
      <c r="T31" s="31"/>
      <c r="U31" s="31"/>
      <c r="V31" s="12"/>
    </row>
    <row r="32" spans="1:22">
      <c r="B32" s="9"/>
      <c r="C32" s="23"/>
      <c r="D32" s="9" t="s">
        <v>909</v>
      </c>
      <c r="E32" s="9"/>
      <c r="F32" s="21">
        <f ca="1">VLOOKUP($B$30,Calibration!$B$172:$T$206,HLOOKUP($D32,Calibration!$C$3:$T$4,2,FALSE),FALSE)</f>
        <v>0</v>
      </c>
      <c r="G32" s="21">
        <f ca="1">VLOOKUP($B$30,Calibrati2!$B$172:$T$206,HLOOKUP($D32,Calibrati2!$C$3:$T$4,2,FALSE),FALSE)</f>
        <v>0.11046743965256603</v>
      </c>
      <c r="H32" s="62">
        <f>IF($H$38=0,0,F32/$H$38)</f>
        <v>0</v>
      </c>
      <c r="I32" s="62">
        <f>IF(I$38=0,0,G32/I$38)</f>
        <v>8.4766298075940813E-2</v>
      </c>
      <c r="J32" s="542"/>
      <c r="K32" s="9"/>
      <c r="L32" s="542"/>
      <c r="M32" s="9"/>
      <c r="N32" s="542"/>
      <c r="O32" s="542"/>
      <c r="P32" s="9"/>
      <c r="Q32" s="9"/>
      <c r="R32" s="9"/>
      <c r="S32" s="31"/>
      <c r="T32" s="427">
        <v>3</v>
      </c>
      <c r="U32" s="31"/>
      <c r="V32" s="12"/>
    </row>
    <row r="33" spans="1:22">
      <c r="B33" s="9"/>
      <c r="C33" s="23"/>
      <c r="D33" s="9" t="s">
        <v>826</v>
      </c>
      <c r="E33" s="9"/>
      <c r="F33" s="21">
        <f ca="1">VLOOKUP($B$30,Calibration!$B$172:$T$206,HLOOKUP($D33,Calibration!$C$3:$T$4,2,FALSE),FALSE)</f>
        <v>5.9571525419037548E-2</v>
      </c>
      <c r="G33" s="21">
        <f ca="1">VLOOKUP($B$30,Calibrati2!$B$172:$T$206,HLOOKUP($D33,Calibrati2!$C$3:$T$4,2,FALSE),FALSE)</f>
        <v>4.142277058118881E-2</v>
      </c>
      <c r="H33" s="62">
        <f>IF($H$38=0,0,F33/$H$38)</f>
        <v>4.7092114955760912E-2</v>
      </c>
      <c r="I33" s="62">
        <f>IF(I$38=0,0,G33/I$38)</f>
        <v>3.1785428622766135E-2</v>
      </c>
      <c r="J33" s="542"/>
      <c r="K33" s="9"/>
      <c r="L33" s="542"/>
      <c r="M33" s="9"/>
      <c r="N33" s="542"/>
      <c r="O33" s="542"/>
      <c r="P33" s="9"/>
      <c r="Q33" s="9"/>
      <c r="R33" s="9"/>
      <c r="S33" s="31"/>
      <c r="T33" s="427">
        <v>3</v>
      </c>
      <c r="U33" s="31"/>
      <c r="V33" s="12"/>
    </row>
    <row r="34" spans="1:22">
      <c r="B34" s="9"/>
      <c r="C34" s="23"/>
      <c r="D34" s="9" t="s">
        <v>577</v>
      </c>
      <c r="E34" s="9"/>
      <c r="F34" s="21">
        <f ca="1">VLOOKUP($B$30,Drivers!$T$58:$V$76,3,FALSE)*VLOOKUP($D34,Calibration!$A$220:$U$224,21,0)</f>
        <v>1.1364367067308498</v>
      </c>
      <c r="G34" s="21">
        <f ca="1">VLOOKUP($B$30,Driver2!$T$58:$V$76,3,FALSE)*VLOOKUP($D34,Calibrati2!$A$220:$U$224,21,0)</f>
        <v>1.387064210863207</v>
      </c>
      <c r="H34" s="62">
        <f>IF($H$38=0,0,F34/$H$38)</f>
        <v>0.89836893812715413</v>
      </c>
      <c r="I34" s="62">
        <f>IF(I$38=0,0,G34/I$38)</f>
        <v>1.0643525252173169</v>
      </c>
      <c r="J34" s="542"/>
      <c r="K34" s="9"/>
      <c r="L34" s="542"/>
      <c r="M34" s="9"/>
      <c r="N34" s="542"/>
      <c r="O34" s="542"/>
      <c r="P34" s="9"/>
      <c r="Q34" s="9"/>
      <c r="R34" s="9"/>
      <c r="S34" s="31"/>
      <c r="T34" s="31"/>
      <c r="U34" s="31"/>
      <c r="V34" s="12"/>
    </row>
    <row r="35" spans="1:22">
      <c r="B35" s="9"/>
      <c r="C35" s="23"/>
      <c r="D35" s="9" t="s">
        <v>579</v>
      </c>
      <c r="E35" s="9"/>
      <c r="F35" s="21">
        <f ca="1">VLOOKUP($B$30,Drivers!$T$58:$V$76,2,FALSE)*VLOOKUP($D35,Calibration!$A$211:$U$215,21,0)</f>
        <v>1.98279605457144</v>
      </c>
      <c r="G35" s="21">
        <f ca="1">VLOOKUP($B$30,Driver2!$T$58:$V$76,2,FALSE)*VLOOKUP($D35,Calibrati2!$A$211:$U$215,21,0)</f>
        <v>1.787493096353318</v>
      </c>
      <c r="H35" s="62">
        <f>IF($H$38=0,0,F35/$H$38)</f>
        <v>1.5674277111236681</v>
      </c>
      <c r="I35" s="62">
        <f>IF(I$38=0,0,G35/I$38)</f>
        <v>1.3716183980611716</v>
      </c>
      <c r="J35" s="542"/>
      <c r="K35" s="9"/>
      <c r="L35" s="542"/>
      <c r="M35" s="9"/>
      <c r="N35" s="542"/>
      <c r="O35" s="542"/>
      <c r="P35" s="9"/>
      <c r="Q35" s="9"/>
      <c r="R35" s="9"/>
      <c r="S35" s="31"/>
      <c r="T35" s="31"/>
      <c r="U35" s="31"/>
      <c r="V35" s="12"/>
    </row>
    <row r="36" spans="1:22">
      <c r="B36" s="9"/>
      <c r="C36" s="23"/>
      <c r="D36" s="23" t="s">
        <v>1517</v>
      </c>
      <c r="E36" s="9" t="s">
        <v>1283</v>
      </c>
      <c r="F36" s="21"/>
      <c r="G36" s="21"/>
      <c r="H36" s="62"/>
      <c r="I36" s="62">
        <v>0.02</v>
      </c>
      <c r="J36" s="62">
        <f ca="1">IF(H38,Drivers!$L$133/H38,0)</f>
        <v>0.88853754940711482</v>
      </c>
      <c r="K36" s="62">
        <f ca="1">IF(I38,Driver2!$L$133/I38,0)</f>
        <v>0.85942295887047315</v>
      </c>
      <c r="L36" s="542"/>
      <c r="M36" s="9"/>
      <c r="N36" s="542"/>
      <c r="O36" s="542"/>
      <c r="P36" s="9"/>
      <c r="Q36" s="9"/>
      <c r="R36" s="9"/>
      <c r="S36" s="31"/>
      <c r="T36" s="31"/>
      <c r="U36" s="31"/>
      <c r="V36" s="12">
        <f>I36*56/100*1000*0.8</f>
        <v>8.9600000000000009</v>
      </c>
    </row>
    <row r="37" spans="1:22" ht="13.5" thickBot="1">
      <c r="A37" s="6"/>
      <c r="B37" s="22"/>
      <c r="C37" s="24"/>
      <c r="D37" s="22"/>
      <c r="E37" s="22" t="s">
        <v>365</v>
      </c>
      <c r="F37" s="28"/>
      <c r="G37" s="28"/>
      <c r="H37" s="541"/>
      <c r="I37" s="9"/>
      <c r="J37" s="545"/>
      <c r="K37" s="9"/>
      <c r="L37" s="545"/>
      <c r="M37" s="9"/>
      <c r="N37" s="545"/>
      <c r="O37" s="545"/>
      <c r="P37" s="22"/>
      <c r="Q37" s="22"/>
      <c r="R37" s="9"/>
      <c r="S37" s="29"/>
      <c r="T37" s="29"/>
      <c r="U37" s="29"/>
      <c r="V37" s="13"/>
    </row>
    <row r="38" spans="1:22">
      <c r="B38" s="516" t="s">
        <v>1380</v>
      </c>
      <c r="C38" s="517" t="str">
        <f>E37</f>
        <v>IISSCR</v>
      </c>
      <c r="D38" s="517"/>
      <c r="E38" s="517"/>
      <c r="F38" s="580">
        <f>SUM(F30:F35)</f>
        <v>6.62645198276965</v>
      </c>
      <c r="G38" s="580">
        <f>SUM(G30:G35)</f>
        <v>6.0830159295324346</v>
      </c>
      <c r="H38" s="580">
        <f ca="1">VLOOKUP($C38&amp;"000",Drivers!$E$58:$H$79,4,FALSE)</f>
        <v>1.2649999999999999</v>
      </c>
      <c r="I38" s="580">
        <f ca="1">VLOOKUP($C38&amp;"000",Driver2!$E$58:$H$79,4,FALSE)</f>
        <v>1.3031999999999995</v>
      </c>
      <c r="J38" s="580">
        <f>SUMIF($B$6:$B$38,"~*",H$6:H$38)</f>
        <v>4.03</v>
      </c>
      <c r="K38" s="580">
        <f>SUMIF($B$6:$B$38,"~*",I$6:I$38)</f>
        <v>4.0031999999999996</v>
      </c>
      <c r="L38" s="580">
        <f ca="1">F38/(H38+Tiny)</f>
        <v>5.238301958522805</v>
      </c>
      <c r="M38" s="580">
        <f ca="1">G38/(I38+Tiny)</f>
        <v>4.6677531651816171</v>
      </c>
      <c r="N38" s="517"/>
      <c r="O38" s="517"/>
      <c r="P38" s="517"/>
      <c r="Q38" s="517" t="s">
        <v>784</v>
      </c>
      <c r="R38" s="517"/>
      <c r="S38" s="517"/>
      <c r="T38" s="517"/>
      <c r="U38" s="517"/>
      <c r="V38" s="517"/>
    </row>
    <row r="39" spans="1:22">
      <c r="A39" s="6"/>
      <c r="B39" s="35" t="s">
        <v>410</v>
      </c>
      <c r="C39" s="23" t="s">
        <v>185</v>
      </c>
      <c r="D39" s="9" t="s">
        <v>646</v>
      </c>
      <c r="E39" s="9"/>
      <c r="F39" s="21">
        <f ca="1">VLOOKUP($B39,Calibration!$B$172:$T$206,2,FALSE)</f>
        <v>3.1927328054678701</v>
      </c>
      <c r="G39" s="21">
        <f ca="1">VLOOKUP($B39,Calibrati2!$B$172:$T$206,2,FALSE)</f>
        <v>7.4771691836491447</v>
      </c>
      <c r="H39" s="62">
        <f t="shared" ref="H39:H44" si="2">IF($H$47=0,0,F39/$H$47)</f>
        <v>13.414843720453236</v>
      </c>
      <c r="I39" s="9"/>
      <c r="J39" s="542"/>
      <c r="K39" s="9"/>
      <c r="L39" s="542">
        <f>H47</f>
        <v>0.23799999999999999</v>
      </c>
      <c r="M39" s="542">
        <f>I47</f>
        <v>0.48</v>
      </c>
      <c r="N39" s="542">
        <v>0</v>
      </c>
      <c r="O39" s="17">
        <v>1</v>
      </c>
      <c r="P39" s="12">
        <v>1</v>
      </c>
      <c r="Q39" s="12">
        <v>1</v>
      </c>
      <c r="R39" s="9">
        <v>900</v>
      </c>
      <c r="S39" s="31">
        <f>L39*0.015</f>
        <v>3.5699999999999998E-3</v>
      </c>
      <c r="T39" s="55"/>
      <c r="U39" s="55"/>
      <c r="V39" s="49"/>
    </row>
    <row r="40" spans="1:22">
      <c r="A40" s="6"/>
      <c r="B40" s="9"/>
      <c r="C40" s="23"/>
      <c r="D40" s="9" t="s">
        <v>906</v>
      </c>
      <c r="E40" s="9"/>
      <c r="F40" s="21">
        <f ca="1">VLOOKUP($B$39,Calibration!$B$172:$T$206,HLOOKUP($D40,Calibration!$C$3:$T$4,2,FALSE),FALSE)</f>
        <v>0</v>
      </c>
      <c r="G40" s="21">
        <f ca="1">VLOOKUP($B$39,Calibrati2!$B$172:$T$206,HLOOKUP($D40,Calibrati2!$C$3:$T$4,2,FALSE),FALSE)</f>
        <v>0</v>
      </c>
      <c r="H40" s="62">
        <f t="shared" si="2"/>
        <v>0</v>
      </c>
      <c r="I40" s="9"/>
      <c r="J40" s="542"/>
      <c r="K40" s="9"/>
      <c r="L40" s="542"/>
      <c r="M40" s="9"/>
      <c r="N40" s="542"/>
      <c r="O40" s="542"/>
      <c r="P40" s="9"/>
      <c r="Q40" s="9"/>
      <c r="R40" s="9"/>
      <c r="S40" s="55"/>
      <c r="T40" s="55"/>
      <c r="U40" s="55"/>
      <c r="V40" s="49"/>
    </row>
    <row r="41" spans="1:22">
      <c r="A41" s="6"/>
      <c r="B41" s="9"/>
      <c r="C41" s="23"/>
      <c r="D41" s="9" t="s">
        <v>909</v>
      </c>
      <c r="E41" s="9"/>
      <c r="F41" s="21">
        <f ca="1">VLOOKUP($B$39,Calibration!$B$172:$T$206,HLOOKUP($D41,Calibration!$C$3:$T$4,2,FALSE),FALSE)</f>
        <v>0</v>
      </c>
      <c r="G41" s="21">
        <f ca="1">VLOOKUP($B$39,Calibrati2!$B$172:$T$206,HLOOKUP($D41,Calibrati2!$C$3:$T$4,2,FALSE),FALSE)</f>
        <v>0.66591648714359908</v>
      </c>
      <c r="H41" s="62">
        <f t="shared" si="2"/>
        <v>0</v>
      </c>
      <c r="I41" s="9"/>
      <c r="J41" s="542"/>
      <c r="K41" s="9"/>
      <c r="L41" s="542"/>
      <c r="M41" s="9"/>
      <c r="N41" s="542"/>
      <c r="O41" s="542"/>
      <c r="P41" s="9"/>
      <c r="Q41" s="9"/>
      <c r="R41" s="9"/>
      <c r="S41" s="55"/>
      <c r="T41" s="55"/>
      <c r="U41" s="55"/>
      <c r="V41" s="49"/>
    </row>
    <row r="42" spans="1:22">
      <c r="A42" s="6"/>
      <c r="B42" s="9"/>
      <c r="C42" s="23"/>
      <c r="D42" s="9" t="s">
        <v>910</v>
      </c>
      <c r="E42" s="9"/>
      <c r="F42" s="21">
        <f ca="1">VLOOKUP($B$39,Calibration!$B$172:$T$206,HLOOKUP($D42,Calibration!$C$3:$T$4,2,FALSE),FALSE)</f>
        <v>2.8832594062700534</v>
      </c>
      <c r="G42" s="21">
        <f ca="1">VLOOKUP($B$39,Calibrati2!$B$172:$T$206,HLOOKUP($D42,Calibrati2!$C$3:$T$4,2,FALSE),FALSE)</f>
        <v>1.6915262252863965</v>
      </c>
      <c r="H42" s="62">
        <f t="shared" si="2"/>
        <v>12.11453532046241</v>
      </c>
      <c r="I42" s="9"/>
      <c r="J42" s="542"/>
      <c r="K42" s="9"/>
      <c r="L42" s="542"/>
      <c r="M42" s="9"/>
      <c r="N42" s="542"/>
      <c r="O42" s="542"/>
      <c r="P42" s="9"/>
      <c r="Q42" s="9"/>
      <c r="R42" s="9"/>
      <c r="S42" s="55"/>
      <c r="T42" s="55"/>
      <c r="U42" s="55"/>
      <c r="V42" s="49"/>
    </row>
    <row r="43" spans="1:22">
      <c r="A43" s="6"/>
      <c r="B43" s="9"/>
      <c r="C43" s="23"/>
      <c r="D43" s="9" t="s">
        <v>577</v>
      </c>
      <c r="E43" s="9"/>
      <c r="F43" s="21">
        <f ca="1">VLOOKUP($B$39,Drivers!$T$58:$V$76,3,FALSE)*VLOOKUP($D43,Calibration!$A$220:$U$224,21,0)</f>
        <v>0.96806403830294574</v>
      </c>
      <c r="G43" s="21">
        <f ca="1">VLOOKUP($B$39,Driver2!$T$58:$V$76,3,FALSE)*VLOOKUP($D43,Calibrati2!$A$220:$U$224,21,0)</f>
        <v>2.3131251734882299</v>
      </c>
      <c r="H43" s="62">
        <f t="shared" si="2"/>
        <v>4.0674959592560747</v>
      </c>
      <c r="I43" s="9"/>
      <c r="J43" s="542"/>
      <c r="K43" s="9"/>
      <c r="L43" s="542"/>
      <c r="M43" s="9"/>
      <c r="N43" s="542"/>
      <c r="O43" s="542"/>
      <c r="P43" s="9"/>
      <c r="Q43" s="9"/>
      <c r="R43" s="9"/>
      <c r="S43" s="55"/>
      <c r="T43" s="55"/>
      <c r="U43" s="55"/>
      <c r="V43" s="49"/>
    </row>
    <row r="44" spans="1:22">
      <c r="A44" s="6"/>
      <c r="B44" s="9"/>
      <c r="C44" s="23"/>
      <c r="D44" s="9" t="s">
        <v>579</v>
      </c>
      <c r="E44" s="9"/>
      <c r="F44" s="21">
        <f ca="1">VLOOKUP($B$39,Drivers!$T$58:$V$76,2,FALSE)*VLOOKUP($D44,Calibration!$A$211:$U$215,21,0)</f>
        <v>0.162567763176278</v>
      </c>
      <c r="G44" s="21">
        <f ca="1">VLOOKUP($B$39,Driver2!$T$58:$V$76,2,FALSE)*VLOOKUP($D44,Calibrati2!$A$211:$U$215,21,0)</f>
        <v>0.28690921141362513</v>
      </c>
      <c r="H44" s="62">
        <f t="shared" si="2"/>
        <v>0.68305782847175633</v>
      </c>
      <c r="I44" s="9"/>
      <c r="J44" s="542"/>
      <c r="K44" s="9"/>
      <c r="L44" s="542"/>
      <c r="M44" s="9"/>
      <c r="N44" s="542"/>
      <c r="O44" s="542"/>
      <c r="P44" s="9"/>
      <c r="Q44" s="9"/>
      <c r="R44" s="9"/>
      <c r="S44" s="55"/>
      <c r="T44" s="55"/>
      <c r="U44" s="55"/>
      <c r="V44" s="49"/>
    </row>
    <row r="45" spans="1:22">
      <c r="A45" s="6"/>
      <c r="B45" s="9"/>
      <c r="C45" s="23"/>
      <c r="D45" s="23" t="s">
        <v>1517</v>
      </c>
      <c r="E45" s="9"/>
      <c r="F45" s="21"/>
      <c r="G45" s="21"/>
      <c r="H45" s="62"/>
      <c r="I45" s="62">
        <v>2.5000000000000001E-2</v>
      </c>
      <c r="J45" s="542"/>
      <c r="K45" s="9"/>
      <c r="L45" s="542"/>
      <c r="M45" s="9"/>
      <c r="N45" s="542"/>
      <c r="O45" s="542"/>
      <c r="P45" s="9"/>
      <c r="Q45" s="9"/>
      <c r="R45" s="9"/>
      <c r="S45" s="55"/>
      <c r="T45" s="55"/>
      <c r="U45" s="55"/>
      <c r="V45" s="178">
        <f>I45*56/100*1000*0.8</f>
        <v>11.200000000000003</v>
      </c>
    </row>
    <row r="46" spans="1:22" ht="13.5" thickBot="1">
      <c r="A46" s="6"/>
      <c r="B46" s="22"/>
      <c r="C46" s="24"/>
      <c r="D46" s="52" t="s">
        <v>1515</v>
      </c>
      <c r="E46" s="22" t="s">
        <v>409</v>
      </c>
      <c r="F46" s="28"/>
      <c r="G46" s="28"/>
      <c r="H46" s="541"/>
      <c r="I46" s="46">
        <v>1.5</v>
      </c>
      <c r="J46" s="545"/>
      <c r="K46" s="9"/>
      <c r="L46" s="545"/>
      <c r="M46" s="9"/>
      <c r="N46" s="545"/>
      <c r="O46" s="545"/>
      <c r="P46" s="22"/>
      <c r="Q46" s="22"/>
      <c r="R46" s="9"/>
      <c r="S46" s="55"/>
      <c r="T46" s="55"/>
      <c r="U46" s="55"/>
      <c r="V46" s="49"/>
    </row>
    <row r="47" spans="1:22">
      <c r="B47" s="516" t="s">
        <v>902</v>
      </c>
      <c r="C47" s="517" t="str">
        <f>E46</f>
        <v>IISFEA</v>
      </c>
      <c r="D47" s="517"/>
      <c r="E47" s="517"/>
      <c r="F47" s="580">
        <f>SUM(F39:F44)</f>
        <v>7.2066240132171471</v>
      </c>
      <c r="G47" s="580">
        <f>SUM(G39:G44)</f>
        <v>12.434646280980996</v>
      </c>
      <c r="H47" s="580">
        <f ca="1">VLOOKUP($C47&amp;"000",Drivers!$E$58:$H$79,4,FALSE)</f>
        <v>0.23799999999999999</v>
      </c>
      <c r="I47" s="580">
        <f ca="1">VLOOKUP($C47&amp;"000",Driver2!$E$58:$H$79,4,FALSE)</f>
        <v>0.48</v>
      </c>
      <c r="J47" s="580"/>
      <c r="K47" s="580"/>
      <c r="L47" s="580">
        <f ca="1">F47/(H47+Tiny)</f>
        <v>30.279932701416868</v>
      </c>
      <c r="M47" s="580">
        <f ca="1">G47/(I47+Tiny)</f>
        <v>25.905513031407256</v>
      </c>
      <c r="N47" s="580"/>
      <c r="O47" s="517"/>
      <c r="P47" s="517"/>
      <c r="Q47" s="517" t="s">
        <v>784</v>
      </c>
      <c r="R47" s="517"/>
      <c r="S47" s="517"/>
      <c r="T47" s="517"/>
      <c r="U47" s="517"/>
      <c r="V47" s="517"/>
    </row>
    <row r="48" spans="1:22">
      <c r="B48" s="35" t="s">
        <v>1286</v>
      </c>
      <c r="C48" s="23" t="s">
        <v>1287</v>
      </c>
      <c r="D48" s="9" t="s">
        <v>646</v>
      </c>
      <c r="E48" s="9"/>
      <c r="F48" s="21">
        <f ca="1">VLOOKUP($B48,Calibration!$B$172:$T$206,2,FALSE)</f>
        <v>0.1910953830070278</v>
      </c>
      <c r="G48" s="21">
        <f ca="1">VLOOKUP($B48,Calibrati2!$B$172:$T$206,2,FALSE)</f>
        <v>0</v>
      </c>
      <c r="H48" s="62">
        <f>IF($H$55=0,0,F48/$H$55)</f>
        <v>4.7418209182885307E-2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55"/>
      <c r="T48" s="363">
        <v>2017</v>
      </c>
      <c r="U48" s="55"/>
      <c r="V48" s="49"/>
    </row>
    <row r="49" spans="1:31">
      <c r="B49" s="9"/>
      <c r="C49" s="23"/>
      <c r="D49" s="9" t="s">
        <v>910</v>
      </c>
      <c r="E49" s="9"/>
      <c r="F49" s="21">
        <f ca="1">VLOOKUP($B$48,Calibration!$B$172:$T$206,HLOOKUP($D49,Calibration!$C$3:$T$4,2,FALSE),FALSE)</f>
        <v>0.13805791943658749</v>
      </c>
      <c r="G49" s="21">
        <f ca="1">VLOOKUP($B$48,Calibrati2!$B$172:$T$206,HLOOKUP($D49,Calibrati2!$C$3:$T$4,2,FALSE),FALSE)</f>
        <v>0</v>
      </c>
      <c r="H49" s="62">
        <f>IF($H$55=0,0,F49/$H$55)</f>
        <v>3.4257548247292179E-2</v>
      </c>
      <c r="I49" s="9"/>
      <c r="J49" s="542"/>
      <c r="K49" s="9"/>
      <c r="L49" s="542"/>
      <c r="M49" s="9"/>
      <c r="N49" s="542"/>
      <c r="O49" s="542"/>
      <c r="P49" s="9"/>
      <c r="Q49" s="9"/>
      <c r="R49" s="9"/>
      <c r="S49" s="55"/>
      <c r="T49" s="363">
        <v>2017</v>
      </c>
      <c r="U49" s="55"/>
      <c r="V49" s="49"/>
    </row>
    <row r="50" spans="1:31">
      <c r="B50" s="9"/>
      <c r="C50" s="23"/>
      <c r="D50" s="9" t="s">
        <v>907</v>
      </c>
      <c r="E50" s="9"/>
      <c r="F50" s="21">
        <f ca="1">VLOOKUP($B$48,Calibration!$B$172:$T$206,HLOOKUP($D50,Calibration!$C$3:$T$4,2,FALSE),FALSE)</f>
        <v>0.51569824358832117</v>
      </c>
      <c r="G50" s="21">
        <f ca="1">VLOOKUP($B$48,Calibrati2!$B$172:$T$206,HLOOKUP($D50,Calibrati2!$C$3:$T$4,2,FALSE),FALSE)</f>
        <v>0</v>
      </c>
      <c r="H50" s="62">
        <f>IF($H$55=0,0,F50/$H$55)</f>
        <v>0.12796482471174223</v>
      </c>
      <c r="I50" s="9"/>
      <c r="J50" s="542"/>
      <c r="K50" s="9"/>
      <c r="L50" s="542"/>
      <c r="M50" s="9"/>
      <c r="N50" s="542"/>
      <c r="O50" s="542"/>
      <c r="P50" s="9"/>
      <c r="Q50" s="9"/>
      <c r="R50" s="9"/>
      <c r="S50" s="55"/>
      <c r="T50" s="363">
        <v>2017</v>
      </c>
      <c r="U50" s="55"/>
      <c r="V50" s="49"/>
    </row>
    <row r="51" spans="1:31">
      <c r="B51" s="9"/>
      <c r="C51" s="23"/>
      <c r="D51" s="9" t="s">
        <v>577</v>
      </c>
      <c r="E51" s="9"/>
      <c r="F51" s="21">
        <f ca="1">VLOOKUP($B$48,Drivers!$T$58:$V$76,3,FALSE)*VLOOKUP($D51,Calibration!$A$220:$U$224,21,0)</f>
        <v>0.22660016866679802</v>
      </c>
      <c r="G51" s="21">
        <f ca="1">VLOOKUP($B$48,Driver2!$T$58:$V$76,3,FALSE)*VLOOKUP($D51,Calibrati2!$A$220:$U$224,21,0)</f>
        <v>0</v>
      </c>
      <c r="H51" s="62">
        <f>IF($H$55=0,0,F51/$H$55)</f>
        <v>5.6228329693994543E-2</v>
      </c>
      <c r="I51" s="9"/>
      <c r="J51" s="542"/>
      <c r="K51" s="9"/>
      <c r="L51" s="542"/>
      <c r="M51" s="9"/>
      <c r="N51" s="542"/>
      <c r="O51" s="542"/>
      <c r="P51" s="9"/>
      <c r="Q51" s="9"/>
      <c r="R51" s="9"/>
      <c r="S51" s="55"/>
      <c r="T51" s="363">
        <v>2017</v>
      </c>
      <c r="U51" s="55"/>
      <c r="V51" s="49"/>
    </row>
    <row r="52" spans="1:31">
      <c r="B52" s="9"/>
      <c r="C52" s="23"/>
      <c r="D52" s="9" t="s">
        <v>579</v>
      </c>
      <c r="E52" s="9"/>
      <c r="F52" s="21">
        <f ca="1">VLOOKUP($B$48,Drivers!$T$58:$V$76,2,FALSE)*VLOOKUP($D52,Calibration!$A$211:$U$215,21,0)</f>
        <v>0.8362636469108411</v>
      </c>
      <c r="G52" s="21">
        <f ca="1">VLOOKUP($B$48,Driver2!$T$58:$V$76,2,FALSE)*VLOOKUP($D52,Calibrati2!$A$211:$U$215,21,0)</f>
        <v>1.2310977947853623</v>
      </c>
      <c r="H52" s="62">
        <f>IF($H$55=0,0,F52/$H$55)</f>
        <v>0.20750958980417891</v>
      </c>
      <c r="I52" s="9"/>
      <c r="J52" s="542"/>
      <c r="K52" s="9"/>
      <c r="L52" s="542"/>
      <c r="M52" s="9"/>
      <c r="N52" s="542"/>
      <c r="O52" s="542"/>
      <c r="P52" s="9"/>
      <c r="Q52" s="9"/>
      <c r="R52" s="9"/>
      <c r="S52" s="55"/>
      <c r="T52" s="363">
        <v>2017</v>
      </c>
      <c r="U52" s="55"/>
      <c r="V52" s="49"/>
    </row>
    <row r="53" spans="1:31">
      <c r="B53" s="9"/>
      <c r="C53" s="23"/>
      <c r="D53" s="23" t="s">
        <v>395</v>
      </c>
      <c r="E53" s="9"/>
      <c r="F53" s="21"/>
      <c r="G53" s="21"/>
      <c r="H53" s="62">
        <v>1</v>
      </c>
      <c r="I53" s="9"/>
      <c r="J53" s="542"/>
      <c r="K53" s="9"/>
      <c r="L53" s="542"/>
      <c r="M53" s="9"/>
      <c r="N53" s="542"/>
      <c r="O53" s="542"/>
      <c r="P53" s="9"/>
      <c r="Q53" s="9"/>
      <c r="R53" s="9"/>
      <c r="S53" s="55"/>
      <c r="T53" s="55"/>
      <c r="U53" s="55"/>
      <c r="V53" s="49"/>
    </row>
    <row r="54" spans="1:31" ht="13.5" thickBot="1">
      <c r="B54" s="22"/>
      <c r="C54" s="24"/>
      <c r="D54" s="22"/>
      <c r="E54" s="22" t="s">
        <v>1285</v>
      </c>
      <c r="F54" s="28"/>
      <c r="G54" s="28"/>
      <c r="H54" s="541"/>
      <c r="I54" s="9"/>
      <c r="J54" s="545"/>
      <c r="K54" s="545"/>
      <c r="L54" s="545"/>
      <c r="M54" s="545"/>
      <c r="N54" s="545"/>
      <c r="O54" s="545"/>
      <c r="P54" s="545"/>
      <c r="Q54" s="545"/>
      <c r="R54" s="545"/>
      <c r="S54" s="55"/>
      <c r="T54" s="55"/>
      <c r="U54" s="55"/>
      <c r="V54" s="49"/>
    </row>
    <row r="55" spans="1:31">
      <c r="B55" s="516" t="s">
        <v>902</v>
      </c>
      <c r="C55" s="517" t="str">
        <f>E54</f>
        <v>IISOTH</v>
      </c>
      <c r="D55" s="517"/>
      <c r="E55" s="517"/>
      <c r="F55" s="580">
        <f>SUM(F48:F53)</f>
        <v>1.9077153616095757</v>
      </c>
      <c r="G55" s="580">
        <f>SUM(G48:G53)</f>
        <v>1.2310977947853623</v>
      </c>
      <c r="H55" s="580">
        <f>MAX(0.1,SUMIF($B$6:$B$38,"~*",H$6:H$38))</f>
        <v>4.03</v>
      </c>
      <c r="I55" s="580">
        <f>MAX(0.1,SUMIF($B$6:$B$38,"~*",I$6:I$38))</f>
        <v>4.0031999999999996</v>
      </c>
      <c r="J55" s="580"/>
      <c r="K55" s="580"/>
      <c r="L55" s="580">
        <f ca="1">F55/(H55+Tiny)</f>
        <v>0.47337850152262956</v>
      </c>
      <c r="M55" s="580">
        <f ca="1">G55/(I55+Tiny)</f>
        <v>0.30752842587875551</v>
      </c>
      <c r="N55" s="517"/>
      <c r="O55" s="517"/>
      <c r="P55" s="517"/>
      <c r="Q55" s="517" t="s">
        <v>784</v>
      </c>
      <c r="R55" s="517"/>
      <c r="S55" s="517"/>
      <c r="T55" s="517"/>
      <c r="U55" s="517"/>
      <c r="V55" s="517"/>
    </row>
    <row r="56" spans="1:31" ht="25.5">
      <c r="B56" s="484" t="s">
        <v>384</v>
      </c>
      <c r="C56" s="326" t="s">
        <v>397</v>
      </c>
      <c r="D56" s="169" t="s">
        <v>1245</v>
      </c>
      <c r="E56" s="169"/>
      <c r="F56" s="485">
        <f>SUMIF($D$6:$D$55,$E57,F$6:F$55)</f>
        <v>5.9145868396889485</v>
      </c>
      <c r="G56" s="485">
        <f>SUMIF($D$6:$D$55,$E57,G$6:G$55)</f>
        <v>9.5444547755451747</v>
      </c>
      <c r="H56" s="485">
        <v>1</v>
      </c>
      <c r="I56" s="485">
        <v>1</v>
      </c>
      <c r="J56" s="486"/>
      <c r="K56" s="486"/>
      <c r="L56" s="486"/>
      <c r="M56" s="486"/>
      <c r="N56" s="486"/>
      <c r="O56" s="487">
        <v>1</v>
      </c>
      <c r="P56" s="487">
        <v>1</v>
      </c>
      <c r="Q56" s="491">
        <v>30</v>
      </c>
      <c r="R56" s="491">
        <v>100</v>
      </c>
      <c r="S56" s="486"/>
      <c r="T56" s="486"/>
      <c r="U56" s="486"/>
      <c r="V56" s="486"/>
    </row>
    <row r="57" spans="1:31" ht="13.5" thickBot="1">
      <c r="B57" s="22"/>
      <c r="C57" s="24"/>
      <c r="D57" s="22"/>
      <c r="E57" s="22" t="s">
        <v>646</v>
      </c>
      <c r="F57" s="28"/>
      <c r="G57" s="28"/>
      <c r="H57" s="28"/>
      <c r="I57" s="28"/>
      <c r="J57" s="488"/>
      <c r="K57" s="488"/>
      <c r="L57" s="488"/>
      <c r="M57" s="488"/>
      <c r="N57" s="488"/>
      <c r="O57" s="489"/>
      <c r="P57" s="489"/>
      <c r="Q57" s="489"/>
      <c r="R57" s="489"/>
      <c r="S57" s="488"/>
      <c r="T57" s="488"/>
      <c r="U57" s="488"/>
      <c r="V57" s="488"/>
    </row>
    <row r="58" spans="1:31" ht="18">
      <c r="A58" s="8"/>
      <c r="E58" s="216"/>
    </row>
    <row r="59" spans="1:31" ht="18">
      <c r="A59" s="8"/>
      <c r="B59" s="10"/>
      <c r="C59" s="11"/>
      <c r="E59" s="216"/>
    </row>
    <row r="60" spans="1:31" ht="18">
      <c r="B60" s="86" t="s">
        <v>90</v>
      </c>
      <c r="C60" s="88"/>
      <c r="D60" s="88"/>
      <c r="E60" s="230"/>
      <c r="F60" s="34" t="s">
        <v>784</v>
      </c>
      <c r="H60" s="225" t="str">
        <f>"~FI_T: "&amp;Region</f>
        <v>~FI_T: FIN</v>
      </c>
      <c r="J60" s="34" t="s">
        <v>784</v>
      </c>
      <c r="K60" s="34"/>
      <c r="Z60" s="1"/>
      <c r="AA60" s="1"/>
      <c r="AB60" s="1"/>
      <c r="AC60" s="1"/>
      <c r="AD60" s="1"/>
      <c r="AE60" s="1"/>
    </row>
    <row r="61" spans="1:31" ht="39" thickBot="1">
      <c r="B61" s="45" t="s">
        <v>649</v>
      </c>
      <c r="C61" s="45" t="s">
        <v>650</v>
      </c>
      <c r="D61" s="45" t="s">
        <v>648</v>
      </c>
      <c r="E61" s="45" t="s">
        <v>189</v>
      </c>
      <c r="F61" s="45" t="s">
        <v>651</v>
      </c>
      <c r="G61" s="45" t="s">
        <v>724</v>
      </c>
      <c r="H61" s="346" t="s">
        <v>1443</v>
      </c>
      <c r="I61" s="356" t="s">
        <v>190</v>
      </c>
      <c r="J61" s="355">
        <f ca="1">BaseYear</f>
        <v>2010</v>
      </c>
      <c r="K61" s="45">
        <f ca="1">AuxYear</f>
        <v>2017</v>
      </c>
      <c r="L61" s="45">
        <v>2020</v>
      </c>
      <c r="M61" s="45">
        <v>2030</v>
      </c>
      <c r="N61" s="45">
        <v>2040</v>
      </c>
      <c r="O61" s="45">
        <v>2050</v>
      </c>
      <c r="P61" s="354">
        <v>2100</v>
      </c>
      <c r="Q61" s="45" t="s">
        <v>1342</v>
      </c>
      <c r="R61" s="45" t="str">
        <f ca="1">"VDA_FLOP~MATI~"&amp;AuxYear</f>
        <v>VDA_FLOP~MATI~2017</v>
      </c>
      <c r="S61" s="45" t="s">
        <v>848</v>
      </c>
      <c r="T61" s="45" t="s">
        <v>556</v>
      </c>
      <c r="U61" s="45" t="str">
        <f>CONCATENATE("\I:","Base share")</f>
        <v>\I:Base share</v>
      </c>
      <c r="V61" s="45" t="str">
        <f>CONCATENATE("\I:","Base share")</f>
        <v>\I:Base share</v>
      </c>
    </row>
    <row r="62" spans="1:31">
      <c r="B62" s="35" t="s">
        <v>569</v>
      </c>
      <c r="C62" s="23" t="s">
        <v>290</v>
      </c>
      <c r="D62" s="52" t="s">
        <v>213</v>
      </c>
      <c r="E62" s="52"/>
      <c r="F62" s="9"/>
      <c r="G62" s="304" t="s">
        <v>147</v>
      </c>
      <c r="H62" s="9" t="s">
        <v>1444</v>
      </c>
      <c r="I62" s="373">
        <v>3</v>
      </c>
      <c r="J62" s="351">
        <f t="shared" ref="J62:K64" si="3">U62+0.002</f>
        <v>0.68810421836228286</v>
      </c>
      <c r="K62" s="54">
        <f t="shared" si="3"/>
        <v>0.6764604316546764</v>
      </c>
      <c r="L62" s="54">
        <f>(K62+1)/2</f>
        <v>0.83823021582733825</v>
      </c>
      <c r="M62" s="54"/>
      <c r="N62" s="54">
        <v>1</v>
      </c>
      <c r="O62" s="54">
        <v>1</v>
      </c>
      <c r="P62" s="347"/>
      <c r="Q62" s="31">
        <f>J38/H$55</f>
        <v>1</v>
      </c>
      <c r="R62" s="31">
        <f>K38/I$55</f>
        <v>1</v>
      </c>
      <c r="S62" s="31">
        <v>1</v>
      </c>
      <c r="T62" s="31">
        <v>5</v>
      </c>
      <c r="U62" s="31">
        <f t="shared" ref="U62:V64" si="4">IF(J$38,SUMIF($C$5:$C$38,$D62,H$5:H$38)/J$38,1)</f>
        <v>0.68610421836228286</v>
      </c>
      <c r="V62" s="31">
        <f t="shared" si="4"/>
        <v>0.6744604316546764</v>
      </c>
    </row>
    <row r="63" spans="1:31">
      <c r="B63" s="9"/>
      <c r="C63" s="23"/>
      <c r="D63" s="52" t="s">
        <v>367</v>
      </c>
      <c r="E63" s="52"/>
      <c r="F63" s="9"/>
      <c r="G63" s="304" t="s">
        <v>147</v>
      </c>
      <c r="H63" s="9" t="s">
        <v>1444</v>
      </c>
      <c r="I63" s="374">
        <v>3</v>
      </c>
      <c r="J63" s="352">
        <f t="shared" si="3"/>
        <v>2E-3</v>
      </c>
      <c r="K63" s="55">
        <f t="shared" si="3"/>
        <v>2E-3</v>
      </c>
      <c r="L63" s="55"/>
      <c r="M63" s="55">
        <f>MAX(MIN(0.35,U63+0.1),0.25,J63)</f>
        <v>0.25</v>
      </c>
      <c r="N63" s="55"/>
      <c r="O63" s="55">
        <f>MAX(J63+0.15,0.33)</f>
        <v>0.33</v>
      </c>
      <c r="P63" s="348"/>
      <c r="Q63" s="31"/>
      <c r="R63" s="31"/>
      <c r="S63" s="31"/>
      <c r="T63" s="31"/>
      <c r="U63" s="31">
        <f t="shared" si="4"/>
        <v>0</v>
      </c>
      <c r="V63" s="31">
        <f t="shared" si="4"/>
        <v>0</v>
      </c>
    </row>
    <row r="64" spans="1:31">
      <c r="B64" s="9"/>
      <c r="C64" s="23"/>
      <c r="D64" s="52" t="s">
        <v>365</v>
      </c>
      <c r="E64" s="52"/>
      <c r="F64" s="9"/>
      <c r="G64" s="304" t="s">
        <v>147</v>
      </c>
      <c r="H64" s="9" t="s">
        <v>1444</v>
      </c>
      <c r="I64" s="374">
        <v>3</v>
      </c>
      <c r="J64" s="352">
        <f t="shared" si="3"/>
        <v>0.31589578163771709</v>
      </c>
      <c r="K64" s="55">
        <f t="shared" si="3"/>
        <v>0.32753956834532366</v>
      </c>
      <c r="L64" s="55"/>
      <c r="M64" s="55"/>
      <c r="N64" s="55"/>
      <c r="O64" s="55">
        <f>MAX(J64,0.6)</f>
        <v>0.6</v>
      </c>
      <c r="P64" s="348">
        <f>MAX(O64,0.7)</f>
        <v>0.7</v>
      </c>
      <c r="Q64" s="31"/>
      <c r="R64" s="31"/>
      <c r="S64" s="31"/>
      <c r="T64" s="31"/>
      <c r="U64" s="31">
        <f t="shared" si="4"/>
        <v>0.31389578163771709</v>
      </c>
      <c r="V64" s="31">
        <f t="shared" si="4"/>
        <v>0.32553956834532366</v>
      </c>
    </row>
    <row r="65" spans="1:22">
      <c r="B65" s="9"/>
      <c r="C65" s="23"/>
      <c r="D65" s="52"/>
      <c r="E65" s="52" t="s">
        <v>409</v>
      </c>
      <c r="F65" s="9"/>
      <c r="G65" s="9"/>
      <c r="H65" s="9" t="s">
        <v>388</v>
      </c>
      <c r="I65" s="374"/>
      <c r="J65" s="352">
        <f ca="1">Drivers!$H$61/H$55</f>
        <v>5.9057071960297761E-2</v>
      </c>
      <c r="K65" s="55">
        <f ca="1">Driver2!$H$61/I$55</f>
        <v>0.11990407673860912</v>
      </c>
      <c r="L65" s="55"/>
      <c r="M65" s="55">
        <f>$J65+MIN(0.2,4*$J65)*(1-0.99^(M$61-$J$61))</f>
        <v>9.5475684440851638E-2</v>
      </c>
      <c r="N65" s="55"/>
      <c r="O65" s="55">
        <f>$J65+MIN(0.2,4*$J65)*(1-0.99^(O$61-$J$61))</f>
        <v>0.12526272024636176</v>
      </c>
      <c r="P65" s="348">
        <f>$J65+MIN(0.2,4*$J65)*(1-0.99^(P$61-$J$61))</f>
        <v>0.17811067742463305</v>
      </c>
      <c r="Q65" s="31"/>
      <c r="R65" s="31"/>
      <c r="S65" s="31"/>
      <c r="T65" s="31"/>
      <c r="U65" s="31"/>
      <c r="V65" s="31"/>
    </row>
    <row r="66" spans="1:22">
      <c r="B66" s="9"/>
      <c r="C66" s="23"/>
      <c r="D66" s="52"/>
      <c r="E66" s="52" t="s">
        <v>1283</v>
      </c>
      <c r="F66" s="9"/>
      <c r="G66" s="9"/>
      <c r="H66" s="9" t="s">
        <v>388</v>
      </c>
      <c r="I66" s="374">
        <v>15</v>
      </c>
      <c r="J66" s="55">
        <f>J36*H38/IF(J$38,J$38,1)*0.99</f>
        <v>0.27611910669975187</v>
      </c>
      <c r="K66" s="55">
        <f>K36*I38/IF(K$38,K$38,1)*0.99</f>
        <v>0.2769784172661871</v>
      </c>
      <c r="L66" s="55"/>
      <c r="M66" s="55"/>
      <c r="N66" s="55"/>
      <c r="O66" s="55"/>
      <c r="P66" s="348"/>
      <c r="Q66" s="31"/>
      <c r="R66" s="31"/>
      <c r="S66" s="31"/>
      <c r="T66" s="31"/>
      <c r="U66" s="31"/>
      <c r="V66" s="31"/>
    </row>
    <row r="67" spans="1:22">
      <c r="B67" s="9"/>
      <c r="C67" s="23"/>
      <c r="D67" s="52"/>
      <c r="E67" s="52" t="s">
        <v>1285</v>
      </c>
      <c r="F67" s="9"/>
      <c r="G67" s="9"/>
      <c r="H67" s="9" t="s">
        <v>388</v>
      </c>
      <c r="I67" s="374"/>
      <c r="J67" s="352">
        <v>1</v>
      </c>
      <c r="K67" s="55"/>
      <c r="L67" s="55"/>
      <c r="M67" s="55"/>
      <c r="N67" s="55"/>
      <c r="O67" s="55"/>
      <c r="P67" s="348"/>
      <c r="Q67" s="31"/>
      <c r="R67" s="31"/>
      <c r="S67" s="31"/>
      <c r="T67" s="31"/>
      <c r="U67" s="31"/>
      <c r="V67" s="31"/>
    </row>
    <row r="68" spans="1:22" ht="13.5" thickBot="1">
      <c r="A68" s="6"/>
      <c r="B68" s="22"/>
      <c r="C68" s="24"/>
      <c r="D68" s="22"/>
      <c r="E68" s="22"/>
      <c r="F68" s="22" t="s">
        <v>568</v>
      </c>
      <c r="G68" s="22"/>
      <c r="H68" s="22"/>
      <c r="I68" s="350"/>
      <c r="J68" s="353"/>
      <c r="K68" s="29"/>
      <c r="L68" s="29"/>
      <c r="M68" s="29"/>
      <c r="N68" s="29"/>
      <c r="O68" s="29"/>
      <c r="P68" s="349"/>
      <c r="Q68" s="29"/>
      <c r="R68" s="29"/>
      <c r="S68" s="29"/>
      <c r="T68" s="29"/>
      <c r="U68" s="29"/>
      <c r="V68" s="29"/>
    </row>
    <row r="69" spans="1:22">
      <c r="B69" s="192" t="s">
        <v>902</v>
      </c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9">
        <f>SUM(U62:U64)</f>
        <v>1</v>
      </c>
      <c r="V69" s="199">
        <f>SUM(V62:V64)</f>
        <v>1</v>
      </c>
    </row>
    <row r="72" spans="1:22">
      <c r="D72" s="216"/>
    </row>
    <row r="73" spans="1:22" ht="18">
      <c r="B73" s="124" t="s">
        <v>89</v>
      </c>
      <c r="C73" s="125"/>
      <c r="D73" s="225"/>
      <c r="M73" s="2"/>
      <c r="N73" s="2"/>
      <c r="O73" s="2"/>
    </row>
    <row r="74" spans="1:22" ht="27.75" customHeight="1" thickBot="1">
      <c r="B74" s="25" t="s">
        <v>772</v>
      </c>
      <c r="C74" s="25" t="s">
        <v>773</v>
      </c>
      <c r="D74" s="25" t="s">
        <v>778</v>
      </c>
      <c r="E74" s="25" t="s">
        <v>1083</v>
      </c>
      <c r="F74" s="25" t="str">
        <f ca="1">"DEMAND~"&amp;AuxYear</f>
        <v>DEMAND~2017</v>
      </c>
      <c r="G74" s="25"/>
      <c r="H74" s="25"/>
      <c r="M74" s="2"/>
      <c r="N74" s="2"/>
      <c r="O74" s="2"/>
      <c r="P74" s="25"/>
      <c r="Q74" s="25">
        <f ca="1">BaseYear</f>
        <v>2010</v>
      </c>
      <c r="R74" s="25">
        <f ca="1">AuxYear</f>
        <v>2017</v>
      </c>
    </row>
    <row r="75" spans="1:22">
      <c r="B75" s="27" t="s">
        <v>568</v>
      </c>
      <c r="C75" s="27" t="s">
        <v>559</v>
      </c>
      <c r="D75" s="483" t="s">
        <v>976</v>
      </c>
      <c r="E75" s="338">
        <f>H$55</f>
        <v>4.03</v>
      </c>
      <c r="F75" s="338">
        <f>I$55</f>
        <v>4.0031999999999996</v>
      </c>
      <c r="G75" s="12"/>
      <c r="H75" s="12"/>
      <c r="M75" s="2"/>
      <c r="N75" s="2"/>
      <c r="O75" s="2"/>
      <c r="P75" s="782" t="s">
        <v>456</v>
      </c>
      <c r="Q75" s="782">
        <f>H20*H17</f>
        <v>0.207375</v>
      </c>
      <c r="R75" s="782">
        <f>I20*I17</f>
        <v>0.20250000000000001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76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9.7109375" customWidth="1"/>
    <col min="3" max="3" width="24.28515625" customWidth="1"/>
    <col min="4" max="4" width="10.7109375" customWidth="1"/>
  </cols>
  <sheetData>
    <row r="1" spans="1:18" ht="18">
      <c r="A1" s="5" t="s">
        <v>878</v>
      </c>
    </row>
    <row r="2" spans="1:18" ht="18">
      <c r="A2" s="8"/>
      <c r="E2" s="216"/>
    </row>
    <row r="3" spans="1:18" ht="18">
      <c r="A3" s="8"/>
      <c r="B3" s="10"/>
      <c r="C3" s="11"/>
      <c r="E3" s="216"/>
    </row>
    <row r="4" spans="1:18" ht="18">
      <c r="B4" s="86" t="s">
        <v>90</v>
      </c>
      <c r="C4" s="88"/>
      <c r="D4" s="88"/>
      <c r="E4" s="225" t="str">
        <f>"~FI_T: "&amp;Region</f>
        <v>~FI_T: FIN</v>
      </c>
      <c r="F4" s="34"/>
      <c r="G4" s="34"/>
      <c r="R4" s="1"/>
    </row>
    <row r="5" spans="1:18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 ca="1">CONCATENATE("\I:",IEAData!$D$2," service demand")</f>
        <v>\I:2010 service demand</v>
      </c>
      <c r="G5" s="64" t="str">
        <f ca="1">CONCATENATE("\I:",AuxData!$D$2," service demand")</f>
        <v>\I:2017 service demand</v>
      </c>
      <c r="H5" s="45" t="s">
        <v>388</v>
      </c>
      <c r="I5" s="45" t="str">
        <f ca="1">"INPUT~"&amp;AuxYear</f>
        <v>INPUT~2017</v>
      </c>
      <c r="J5" s="45" t="str">
        <f ca="1">"RESID~"&amp;BaseYear</f>
        <v>RESID~2010</v>
      </c>
      <c r="K5" s="45" t="str">
        <f ca="1">"RESID~"&amp;AuxYear</f>
        <v>RESID~2017</v>
      </c>
      <c r="L5" s="45" t="str">
        <f ca="1">"RESID~"&amp;CEILING(AuxYear+24,5)</f>
        <v>RESID~2045</v>
      </c>
      <c r="M5" s="45" t="s">
        <v>848</v>
      </c>
      <c r="N5" s="64" t="s">
        <v>872</v>
      </c>
      <c r="O5" s="64" t="s">
        <v>556</v>
      </c>
      <c r="P5" s="45" t="s">
        <v>1507</v>
      </c>
      <c r="Q5" s="45" t="s">
        <v>526</v>
      </c>
      <c r="R5" s="45" t="s">
        <v>108</v>
      </c>
    </row>
    <row r="6" spans="1:18">
      <c r="B6" s="35" t="s">
        <v>259</v>
      </c>
      <c r="C6" s="23" t="s">
        <v>287</v>
      </c>
      <c r="D6" s="9" t="s">
        <v>864</v>
      </c>
      <c r="E6" s="9"/>
      <c r="F6" s="21">
        <f ca="1">VLOOKUP($B6,Calibration!$B$172:$T$206,2,FALSE)</f>
        <v>0</v>
      </c>
      <c r="G6" s="21">
        <f ca="1">VLOOKUP($B6,Calibrati2!$B$172:$T$206,2,FALSE)</f>
        <v>0</v>
      </c>
      <c r="H6" s="62">
        <f>IF(H$15=0,0,F6/H$15)</f>
        <v>0</v>
      </c>
      <c r="I6" s="62">
        <f>IF(I$15=0,0,G6/I$15)</f>
        <v>0</v>
      </c>
      <c r="J6" s="542">
        <f>H15</f>
        <v>0</v>
      </c>
      <c r="K6" s="542">
        <f>I15</f>
        <v>0</v>
      </c>
      <c r="L6" s="542">
        <v>0</v>
      </c>
      <c r="M6" s="17">
        <v>1</v>
      </c>
      <c r="N6" s="12">
        <v>1</v>
      </c>
      <c r="O6" s="12">
        <v>30</v>
      </c>
      <c r="P6" s="9"/>
      <c r="Q6" s="31"/>
      <c r="R6" s="31"/>
    </row>
    <row r="7" spans="1:18">
      <c r="B7" s="9"/>
      <c r="C7" s="23"/>
      <c r="D7" s="9" t="s">
        <v>906</v>
      </c>
      <c r="E7" s="9"/>
      <c r="F7" s="21">
        <f ca="1">VLOOKUP($B$6,Calibration!$B$172:$T$206,HLOOKUP($D7,Calibration!$C$3:$T$4,2,FALSE),FALSE)</f>
        <v>0</v>
      </c>
      <c r="G7" s="21">
        <f ca="1">VLOOKUP($B$6,Calibrati2!$B$172:$T$206,HLOOKUP($D7,Calibrati2!$C$3:$T$4,2,FALSE),FALSE)</f>
        <v>0</v>
      </c>
      <c r="H7" s="62">
        <f t="shared" ref="H7:H12" si="0">IF($H$15=0,0,F7/$H$15)</f>
        <v>0</v>
      </c>
      <c r="I7" s="62">
        <f t="shared" ref="I7:I12" si="1">IF(I$15=0,0,G7/I$15)</f>
        <v>0</v>
      </c>
      <c r="J7" s="542"/>
      <c r="K7" s="9"/>
      <c r="L7" s="542"/>
      <c r="M7" s="542"/>
      <c r="N7" s="9"/>
      <c r="O7" s="9"/>
      <c r="P7" s="9"/>
      <c r="Q7" s="31"/>
      <c r="R7" s="31"/>
    </row>
    <row r="8" spans="1:18">
      <c r="B8" s="9"/>
      <c r="C8" s="23"/>
      <c r="D8" s="9" t="s">
        <v>909</v>
      </c>
      <c r="E8" s="9"/>
      <c r="F8" s="21">
        <f ca="1">VLOOKUP($B$6,Calibration!$B$172:$T$206,HLOOKUP($D8,Calibration!$C$3:$T$4,2,FALSE),FALSE)</f>
        <v>0</v>
      </c>
      <c r="G8" s="21">
        <f ca="1">VLOOKUP($B$6,Calibrati2!$B$172:$T$206,HLOOKUP($D8,Calibrati2!$C$3:$T$4,2,FALSE),FALSE)</f>
        <v>0</v>
      </c>
      <c r="H8" s="62">
        <f t="shared" si="0"/>
        <v>0</v>
      </c>
      <c r="I8" s="62">
        <f t="shared" si="1"/>
        <v>0</v>
      </c>
      <c r="J8" s="542"/>
      <c r="K8" s="9"/>
      <c r="L8" s="542"/>
      <c r="M8" s="542"/>
      <c r="N8" s="9"/>
      <c r="O8" s="9"/>
      <c r="P8" s="9"/>
      <c r="Q8" s="31"/>
      <c r="R8" s="427">
        <v>3</v>
      </c>
    </row>
    <row r="9" spans="1:18">
      <c r="B9" s="9"/>
      <c r="C9" s="23"/>
      <c r="D9" s="9" t="s">
        <v>910</v>
      </c>
      <c r="E9" s="9"/>
      <c r="F9" s="21">
        <f ca="1">VLOOKUP($B$6,Calibration!$B$172:$T$206,HLOOKUP($D9,Calibration!$C$3:$T$4,2,FALSE),FALSE)</f>
        <v>0</v>
      </c>
      <c r="G9" s="21">
        <f ca="1">VLOOKUP($B$6,Calibrati2!$B$172:$T$206,HLOOKUP($D9,Calibrati2!$C$3:$T$4,2,FALSE),FALSE)</f>
        <v>0</v>
      </c>
      <c r="H9" s="62">
        <f t="shared" si="0"/>
        <v>0</v>
      </c>
      <c r="I9" s="62">
        <f t="shared" si="1"/>
        <v>0</v>
      </c>
      <c r="J9" s="542"/>
      <c r="K9" s="9"/>
      <c r="L9" s="542"/>
      <c r="M9" s="542"/>
      <c r="N9" s="9"/>
      <c r="O9" s="9"/>
      <c r="P9" s="9"/>
      <c r="Q9" s="31"/>
      <c r="R9" s="427">
        <v>3</v>
      </c>
    </row>
    <row r="10" spans="1:18">
      <c r="B10" s="9"/>
      <c r="C10" s="23"/>
      <c r="D10" s="9" t="s">
        <v>913</v>
      </c>
      <c r="E10" s="9"/>
      <c r="F10" s="21">
        <f ca="1">VLOOKUP($B$6,Calibration!$B$172:$T$206,HLOOKUP($D10,Calibration!$C$3:$T$4,2,FALSE),FALSE)</f>
        <v>0</v>
      </c>
      <c r="G10" s="21">
        <f ca="1">VLOOKUP($B$6,Calibrati2!$B$172:$T$206,HLOOKUP($D10,Calibrati2!$C$3:$T$4,2,FALSE),FALSE)</f>
        <v>0</v>
      </c>
      <c r="H10" s="62">
        <f t="shared" si="0"/>
        <v>0</v>
      </c>
      <c r="I10" s="62">
        <f t="shared" si="1"/>
        <v>0</v>
      </c>
      <c r="J10" s="542"/>
      <c r="K10" s="9"/>
      <c r="L10" s="542"/>
      <c r="M10" s="542"/>
      <c r="N10" s="9"/>
      <c r="O10" s="9"/>
      <c r="P10" s="9"/>
      <c r="Q10" s="31"/>
      <c r="R10" s="427">
        <v>3</v>
      </c>
    </row>
    <row r="11" spans="1:18">
      <c r="B11" s="9"/>
      <c r="C11" s="23"/>
      <c r="D11" s="9" t="s">
        <v>859</v>
      </c>
      <c r="E11" s="9"/>
      <c r="F11" s="21">
        <f ca="1">VLOOKUP($B$6,Drivers!$T$58:$V$76,3,FALSE)*VLOOKUP($D11,Calibration!$A$220:$U$224,21,0)</f>
        <v>0</v>
      </c>
      <c r="G11" s="21">
        <f ca="1">VLOOKUP($B$6,Driver2!$T$58:$V$76,3,FALSE)*VLOOKUP($D11,Calibrati2!$A$220:$U$224,21,0)</f>
        <v>0</v>
      </c>
      <c r="H11" s="62">
        <f t="shared" si="0"/>
        <v>0</v>
      </c>
      <c r="I11" s="62">
        <f t="shared" si="1"/>
        <v>0</v>
      </c>
      <c r="J11" s="542"/>
      <c r="K11" s="9"/>
      <c r="L11" s="542"/>
      <c r="M11" s="542"/>
      <c r="N11" s="9"/>
      <c r="O11" s="9"/>
      <c r="P11" s="9"/>
      <c r="Q11" s="31"/>
      <c r="R11" s="31"/>
    </row>
    <row r="12" spans="1:18">
      <c r="B12" s="9"/>
      <c r="C12" s="23"/>
      <c r="D12" s="9" t="s">
        <v>862</v>
      </c>
      <c r="E12" s="9"/>
      <c r="F12" s="21">
        <f ca="1">VLOOKUP($B$6,Drivers!$T$58:$V$76,2,FALSE)*VLOOKUP($D12,Calibration!$A$211:$U$215,21,0)</f>
        <v>0</v>
      </c>
      <c r="G12" s="21">
        <f ca="1">VLOOKUP($B$6,Driver2!$T$58:$V$76,2,FALSE)*VLOOKUP($D12,Calibrati2!$A$211:$U$215,21,0)</f>
        <v>0</v>
      </c>
      <c r="H12" s="62">
        <f t="shared" si="0"/>
        <v>0</v>
      </c>
      <c r="I12" s="62">
        <f t="shared" si="1"/>
        <v>0</v>
      </c>
      <c r="J12" s="542"/>
      <c r="K12" s="9"/>
      <c r="L12" s="542"/>
      <c r="M12" s="542"/>
      <c r="N12" s="9"/>
      <c r="O12" s="9"/>
      <c r="P12" s="9"/>
      <c r="Q12" s="31"/>
      <c r="R12" s="31"/>
    </row>
    <row r="13" spans="1:18">
      <c r="B13" s="9"/>
      <c r="C13" s="23"/>
      <c r="D13" s="23" t="s">
        <v>395</v>
      </c>
      <c r="E13" s="9"/>
      <c r="F13" s="21"/>
      <c r="G13" s="21"/>
      <c r="H13" s="62">
        <v>1</v>
      </c>
      <c r="I13" s="62"/>
      <c r="J13" s="542"/>
      <c r="K13" s="9"/>
      <c r="L13" s="542"/>
      <c r="M13" s="542"/>
      <c r="N13" s="9"/>
      <c r="O13" s="9"/>
      <c r="P13" s="9"/>
      <c r="Q13" s="31"/>
      <c r="R13" s="31"/>
    </row>
    <row r="14" spans="1:18" ht="13.5" thickBot="1">
      <c r="A14" s="6"/>
      <c r="B14" s="22"/>
      <c r="C14" s="24"/>
      <c r="D14" s="22"/>
      <c r="E14" s="22" t="s">
        <v>221</v>
      </c>
      <c r="F14" s="28"/>
      <c r="G14" s="28"/>
      <c r="H14" s="541"/>
      <c r="I14" s="9"/>
      <c r="J14" s="545"/>
      <c r="K14" s="9"/>
      <c r="L14" s="545"/>
      <c r="M14" s="545"/>
      <c r="N14" s="22"/>
      <c r="O14" s="22"/>
      <c r="P14" s="9"/>
      <c r="Q14" s="29"/>
      <c r="R14" s="29"/>
    </row>
    <row r="15" spans="1:18">
      <c r="B15" s="516" t="s">
        <v>1380</v>
      </c>
      <c r="C15" s="517" t="s">
        <v>221</v>
      </c>
      <c r="D15" s="517"/>
      <c r="E15" s="517"/>
      <c r="F15" s="581">
        <f>SUM(F6:F14)</f>
        <v>0</v>
      </c>
      <c r="G15" s="581">
        <f>SUM(G6:G14)</f>
        <v>0</v>
      </c>
      <c r="H15" s="581">
        <f ca="1">VLOOKUP($C15&amp;"000",Drivers!$E$58:$H$79,4,FALSE)</f>
        <v>0</v>
      </c>
      <c r="I15" s="581">
        <f ca="1">VLOOKUP($C15&amp;"000",Driver2!$E$58:$H$79,4,FALSE)</f>
        <v>0</v>
      </c>
      <c r="J15" s="581">
        <f ca="1">F15/(H15+Tiny)</f>
        <v>0</v>
      </c>
      <c r="K15" s="581">
        <f ca="1">G15/(I15+Tiny)</f>
        <v>0</v>
      </c>
      <c r="L15" s="518"/>
      <c r="M15" s="518"/>
      <c r="N15" s="517"/>
      <c r="O15" s="517" t="s">
        <v>784</v>
      </c>
      <c r="P15" s="517" t="s">
        <v>784</v>
      </c>
      <c r="Q15" s="517" t="s">
        <v>784</v>
      </c>
      <c r="R15" s="517" t="s">
        <v>784</v>
      </c>
    </row>
    <row r="16" spans="1:18">
      <c r="B16" s="35" t="s">
        <v>370</v>
      </c>
      <c r="C16" s="23" t="s">
        <v>288</v>
      </c>
      <c r="D16" s="9" t="s">
        <v>864</v>
      </c>
      <c r="E16" s="9"/>
      <c r="F16" s="21">
        <f ca="1">VLOOKUP($B16,Calibration!$B$172:$T$206,2,FALSE)</f>
        <v>1.5688927861222894</v>
      </c>
      <c r="G16" s="21">
        <f ca="1">VLOOKUP($B16,Calibrati2!$B$172:$T$206,2,FALSE)</f>
        <v>1.7544863133076296</v>
      </c>
      <c r="H16" s="62">
        <f>IF(H$25=0,0,F16/H$25)</f>
        <v>11.647310958591605</v>
      </c>
      <c r="I16" s="62">
        <f>IF(I$25=0,0,G16/I$25)</f>
        <v>11.214325877658981</v>
      </c>
      <c r="J16" s="542">
        <f>H25</f>
        <v>0.13470000000000001</v>
      </c>
      <c r="K16" s="542">
        <f>I25</f>
        <v>0.15645044851094367</v>
      </c>
      <c r="L16" s="542">
        <v>0</v>
      </c>
      <c r="M16" s="17">
        <v>1</v>
      </c>
      <c r="N16" s="12">
        <v>1</v>
      </c>
      <c r="O16" s="12">
        <v>30</v>
      </c>
      <c r="P16" s="9"/>
      <c r="Q16" s="31"/>
      <c r="R16" s="31"/>
    </row>
    <row r="17" spans="1:18">
      <c r="B17" s="9"/>
      <c r="C17" s="23"/>
      <c r="D17" s="9" t="s">
        <v>906</v>
      </c>
      <c r="E17" s="9"/>
      <c r="F17" s="21">
        <f ca="1">VLOOKUP($B$16,Calibration!$B$172:$T$206,HLOOKUP($D17,Calibration!$C$3:$T$4,2,FALSE),FALSE)</f>
        <v>1.1469589490213395E-2</v>
      </c>
      <c r="G17" s="21">
        <f ca="1">VLOOKUP($B$16,Calibrati2!$B$172:$T$206,HLOOKUP($D17,Calibrati2!$C$3:$T$4,2,FALSE),FALSE)</f>
        <v>1.2929768316236281E-2</v>
      </c>
      <c r="H17" s="62">
        <f t="shared" ref="H17:H22" si="2">IF($H$25=0,0,F17/$H$25)</f>
        <v>8.514914246632066E-2</v>
      </c>
      <c r="I17" s="62">
        <f t="shared" ref="I17:I22" si="3">IF(I$25=0,0,G17/I$25)</f>
        <v>8.2644495041711868E-2</v>
      </c>
      <c r="J17" s="542"/>
      <c r="K17" s="9"/>
      <c r="L17" s="542"/>
      <c r="M17" s="542"/>
      <c r="N17" s="9"/>
      <c r="O17" s="9"/>
      <c r="P17" s="9"/>
      <c r="Q17" s="31"/>
      <c r="R17" s="427">
        <v>3</v>
      </c>
    </row>
    <row r="18" spans="1:18">
      <c r="B18" s="9"/>
      <c r="C18" s="23"/>
      <c r="D18" s="9" t="s">
        <v>909</v>
      </c>
      <c r="E18" s="9"/>
      <c r="F18" s="21">
        <f ca="1">VLOOKUP($B$16,Calibration!$B$172:$T$206,HLOOKUP($D18,Calibration!$C$3:$T$4,2,FALSE),FALSE)</f>
        <v>0</v>
      </c>
      <c r="G18" s="21">
        <f ca="1">VLOOKUP($B$16,Calibrati2!$B$172:$T$206,HLOOKUP($D18,Calibrati2!$C$3:$T$4,2,FALSE),FALSE)</f>
        <v>1.2679075162848948E-2</v>
      </c>
      <c r="H18" s="62">
        <f t="shared" si="2"/>
        <v>0</v>
      </c>
      <c r="I18" s="62">
        <f t="shared" si="3"/>
        <v>8.1042114506703053E-2</v>
      </c>
      <c r="J18" s="542"/>
      <c r="K18" s="9"/>
      <c r="L18" s="542"/>
      <c r="M18" s="542"/>
      <c r="N18" s="9"/>
      <c r="O18" s="9"/>
      <c r="P18" s="9"/>
      <c r="Q18" s="31"/>
      <c r="R18" s="427">
        <v>3</v>
      </c>
    </row>
    <row r="19" spans="1:18">
      <c r="B19" s="9"/>
      <c r="C19" s="23"/>
      <c r="D19" s="9" t="s">
        <v>910</v>
      </c>
      <c r="E19" s="9"/>
      <c r="F19" s="21">
        <f ca="1">VLOOKUP($B$16,Calibration!$B$172:$T$206,HLOOKUP($D19,Calibration!$C$3:$T$4,2,FALSE),FALSE)</f>
        <v>0</v>
      </c>
      <c r="G19" s="21">
        <f ca="1">VLOOKUP($B$16,Calibrati2!$B$172:$T$206,HLOOKUP($D19,Calibrati2!$C$3:$T$4,2,FALSE),FALSE)</f>
        <v>0.17707773613957412</v>
      </c>
      <c r="H19" s="62">
        <f t="shared" si="2"/>
        <v>0</v>
      </c>
      <c r="I19" s="62">
        <f t="shared" si="3"/>
        <v>1.1318455001245176</v>
      </c>
      <c r="J19" s="542"/>
      <c r="K19" s="9"/>
      <c r="L19" s="542"/>
      <c r="M19" s="542"/>
      <c r="N19" s="9"/>
      <c r="O19" s="9"/>
      <c r="P19" s="9"/>
      <c r="Q19" s="31"/>
      <c r="R19" s="427">
        <v>3</v>
      </c>
    </row>
    <row r="20" spans="1:18">
      <c r="B20" s="9"/>
      <c r="C20" s="23"/>
      <c r="D20" s="9" t="s">
        <v>913</v>
      </c>
      <c r="E20" s="9"/>
      <c r="F20" s="21">
        <f ca="1">VLOOKUP($B$16,Calibration!$B$172:$T$206,HLOOKUP($D20,Calibration!$C$3:$T$4,2,FALSE),FALSE)</f>
        <v>0.2589567040264189</v>
      </c>
      <c r="G20" s="21">
        <f ca="1">VLOOKUP($B$16,Calibrati2!$B$172:$T$206,HLOOKUP($D20,Calibrati2!$C$3:$T$4,2,FALSE),FALSE)</f>
        <v>0.17774524862493499</v>
      </c>
      <c r="H20" s="62">
        <f t="shared" si="2"/>
        <v>1.9224699630766064</v>
      </c>
      <c r="I20" s="62">
        <f t="shared" si="3"/>
        <v>1.1361121065274655</v>
      </c>
      <c r="J20" s="542"/>
      <c r="K20" s="9"/>
      <c r="L20" s="542"/>
      <c r="M20" s="542"/>
      <c r="N20" s="9"/>
      <c r="O20" s="9"/>
      <c r="P20" s="9"/>
      <c r="Q20" s="31"/>
      <c r="R20" s="427">
        <v>3</v>
      </c>
    </row>
    <row r="21" spans="1:18">
      <c r="B21" s="9"/>
      <c r="C21" s="23"/>
      <c r="D21" s="9" t="s">
        <v>859</v>
      </c>
      <c r="E21" s="9"/>
      <c r="F21" s="21">
        <f ca="1">VLOOKUP($B$16,Drivers!$T$58:$V$76,3,FALSE)*VLOOKUP($D21,Calibration!$A$220:$U$224,21,0)</f>
        <v>0.84283861100280666</v>
      </c>
      <c r="G21" s="21">
        <f ca="1">VLOOKUP($B$16,Driver2!$T$58:$V$76,3,FALSE)*VLOOKUP($D21,Calibrati2!$A$220:$U$224,21,0)</f>
        <v>0.99569601931730511</v>
      </c>
      <c r="H21" s="62">
        <f t="shared" si="2"/>
        <v>6.257153756516753</v>
      </c>
      <c r="I21" s="62">
        <f t="shared" si="3"/>
        <v>6.3642899639732029</v>
      </c>
      <c r="J21" s="542"/>
      <c r="K21" s="9"/>
      <c r="L21" s="542"/>
      <c r="M21" s="542"/>
      <c r="N21" s="9"/>
      <c r="O21" s="9"/>
      <c r="P21" s="9"/>
      <c r="Q21" s="31"/>
      <c r="R21" s="31"/>
    </row>
    <row r="22" spans="1:18">
      <c r="B22" s="9"/>
      <c r="C22" s="23"/>
      <c r="D22" s="9" t="s">
        <v>862</v>
      </c>
      <c r="E22" s="9"/>
      <c r="F22" s="21">
        <f ca="1">VLOOKUP($B$16,Drivers!$T$58:$V$76,2,FALSE)*VLOOKUP($D22,Calibration!$A$211:$U$215,21,0)</f>
        <v>0.22634562446619871</v>
      </c>
      <c r="G22" s="21">
        <f ca="1">VLOOKUP($B$16,Driver2!$T$58:$V$76,2,FALSE)*VLOOKUP($D22,Calibrati2!$A$211:$U$215,21,0)</f>
        <v>0.25880352117923583</v>
      </c>
      <c r="H22" s="62">
        <f t="shared" si="2"/>
        <v>1.6803684073214453</v>
      </c>
      <c r="I22" s="62">
        <f t="shared" si="3"/>
        <v>1.6542203850641732</v>
      </c>
      <c r="J22" s="542"/>
      <c r="K22" s="9"/>
      <c r="L22" s="542"/>
      <c r="M22" s="542"/>
      <c r="N22" s="9"/>
      <c r="O22" s="9"/>
      <c r="P22" s="9"/>
      <c r="Q22" s="31"/>
      <c r="R22" s="31"/>
    </row>
    <row r="23" spans="1:18">
      <c r="B23" s="9"/>
      <c r="C23" s="23"/>
      <c r="D23" s="23" t="s">
        <v>395</v>
      </c>
      <c r="E23" s="9"/>
      <c r="F23" s="21"/>
      <c r="G23" s="21"/>
      <c r="H23" s="62">
        <v>1</v>
      </c>
      <c r="I23" s="9"/>
      <c r="J23" s="542"/>
      <c r="K23" s="9"/>
      <c r="L23" s="542"/>
      <c r="M23" s="542"/>
      <c r="N23" s="9"/>
      <c r="O23" s="9"/>
      <c r="P23" s="9"/>
      <c r="Q23" s="31"/>
      <c r="R23" s="31"/>
    </row>
    <row r="24" spans="1:18" ht="13.5" thickBot="1">
      <c r="B24" s="22"/>
      <c r="C24" s="24"/>
      <c r="D24" s="22"/>
      <c r="E24" s="22" t="s">
        <v>369</v>
      </c>
      <c r="F24" s="28"/>
      <c r="G24" s="28"/>
      <c r="H24" s="541"/>
      <c r="I24" s="9"/>
      <c r="J24" s="545"/>
      <c r="K24" s="9"/>
      <c r="L24" s="545"/>
      <c r="M24" s="545"/>
      <c r="N24" s="22"/>
      <c r="O24" s="22"/>
      <c r="P24" s="9"/>
      <c r="Q24" s="29"/>
      <c r="R24" s="29"/>
    </row>
    <row r="25" spans="1:18">
      <c r="B25" s="516" t="s">
        <v>1380</v>
      </c>
      <c r="C25" s="517" t="s">
        <v>369</v>
      </c>
      <c r="D25" s="517"/>
      <c r="E25" s="517"/>
      <c r="F25" s="580">
        <f>SUM(F16:F24)</f>
        <v>2.9085033151079269</v>
      </c>
      <c r="G25" s="580">
        <f>SUM(G16:G24)</f>
        <v>3.3894176820477648</v>
      </c>
      <c r="H25" s="580">
        <f ca="1">VLOOKUP($C25&amp;"000",Drivers!$E$58:$H$79,4,FALSE)</f>
        <v>0.13470000000000001</v>
      </c>
      <c r="I25" s="580">
        <f ca="1">VLOOKUP($C25&amp;"000",Driver2!$E$58:$H$79,4,FALSE)</f>
        <v>0.15645044851094367</v>
      </c>
      <c r="J25" s="580">
        <f ca="1">F25/(H25+Tiny)</f>
        <v>21.592452067672419</v>
      </c>
      <c r="K25" s="580">
        <f ca="1">G25/(I25+Tiny)</f>
        <v>21.664480304421726</v>
      </c>
      <c r="L25" s="518"/>
      <c r="M25" s="518"/>
      <c r="N25" s="517"/>
      <c r="O25" s="517" t="s">
        <v>784</v>
      </c>
      <c r="P25" s="517"/>
      <c r="Q25" s="517"/>
      <c r="R25" s="517"/>
    </row>
    <row r="26" spans="1:18">
      <c r="B26" s="35" t="s">
        <v>417</v>
      </c>
      <c r="C26" s="23" t="s">
        <v>441</v>
      </c>
      <c r="D26" s="9" t="s">
        <v>864</v>
      </c>
      <c r="E26" s="9"/>
      <c r="F26" s="21">
        <f ca="1">VLOOKUP($B26,Calibration!$B$172:$T$206,2,FALSE)</f>
        <v>3.6356001000451448</v>
      </c>
      <c r="G26" s="21">
        <f ca="1">VLOOKUP($B26,Calibrati2!$B$172:$T$206,2,FALSE)</f>
        <v>3.4042086713005077</v>
      </c>
      <c r="H26" s="62">
        <f>IF(H$33=0,0,F26/H$33)</f>
        <v>11.836793491147946</v>
      </c>
      <c r="I26" s="62">
        <f>IF(I$33=0,0,G26/I$33)</f>
        <v>11.944927125324597</v>
      </c>
      <c r="J26" s="542">
        <f>H33</f>
        <v>0.30714400000000003</v>
      </c>
      <c r="K26" s="542">
        <f>I33</f>
        <v>0.28499200000000002</v>
      </c>
      <c r="L26" s="542">
        <v>0</v>
      </c>
      <c r="M26" s="17">
        <v>1</v>
      </c>
      <c r="N26" s="12">
        <v>1</v>
      </c>
      <c r="O26" s="12">
        <v>30</v>
      </c>
      <c r="P26" s="9"/>
      <c r="Q26" s="31"/>
      <c r="R26" s="31"/>
    </row>
    <row r="27" spans="1:18">
      <c r="B27" s="9"/>
      <c r="C27" s="23"/>
      <c r="D27" s="9" t="s">
        <v>906</v>
      </c>
      <c r="E27" s="9"/>
      <c r="F27" s="21">
        <f ca="1">VLOOKUP($B$26,Calibration!$B$172:$T$206,HLOOKUP($D27,Calibration!$C$3:$T$4,2,FALSE),FALSE)</f>
        <v>8.1212129651135802E-3</v>
      </c>
      <c r="G27" s="21">
        <f ca="1">VLOOKUP($B$26,Calibrati2!$B$172:$T$206,HLOOKUP($D27,Calibrati2!$C$3:$T$4,2,FALSE),FALSE)</f>
        <v>7.6656169948753723E-3</v>
      </c>
      <c r="H27" s="62">
        <f>IF($H$33=0,0,F27/$H$33)</f>
        <v>2.644106010572754E-2</v>
      </c>
      <c r="I27" s="62">
        <f>IF(I$33=0,0,G27/I$33)</f>
        <v>2.6897656758348907E-2</v>
      </c>
      <c r="J27" s="542"/>
      <c r="K27" s="9"/>
      <c r="L27" s="542"/>
      <c r="M27" s="542"/>
      <c r="N27" s="9"/>
      <c r="O27" s="9"/>
      <c r="P27" s="9"/>
      <c r="Q27" s="31"/>
      <c r="R27" s="427">
        <v>3</v>
      </c>
    </row>
    <row r="28" spans="1:18">
      <c r="B28" s="9"/>
      <c r="C28" s="23"/>
      <c r="D28" s="9" t="s">
        <v>913</v>
      </c>
      <c r="E28" s="9"/>
      <c r="F28" s="21">
        <f ca="1">VLOOKUP($B$26,Calibration!$B$172:$T$206,HLOOKUP($D28,Calibration!$C$3:$T$4,2,FALSE),FALSE)</f>
        <v>9.1679067674431028E-2</v>
      </c>
      <c r="G28" s="21">
        <f ca="1">VLOOKUP($B$26,Calibrati2!$B$172:$T$206,HLOOKUP($D28,Calibrati2!$C$3:$T$4,2,FALSE),FALSE)</f>
        <v>5.2689536474783E-2</v>
      </c>
      <c r="H28" s="62">
        <f>IF($H$33=0,0,F28/$H$33)</f>
        <v>0.29848887712093031</v>
      </c>
      <c r="I28" s="62">
        <f>IF(I$33=0,0,G28/I$33)</f>
        <v>0.18488075621344807</v>
      </c>
      <c r="J28" s="542"/>
      <c r="K28" s="9"/>
      <c r="L28" s="542"/>
      <c r="M28" s="542"/>
      <c r="N28" s="9"/>
      <c r="O28" s="9"/>
      <c r="P28" s="9"/>
      <c r="Q28" s="31"/>
      <c r="R28" s="427">
        <v>3</v>
      </c>
    </row>
    <row r="29" spans="1:18">
      <c r="B29" s="9"/>
      <c r="C29" s="23"/>
      <c r="D29" s="9" t="s">
        <v>859</v>
      </c>
      <c r="E29" s="9"/>
      <c r="F29" s="21">
        <f ca="1">VLOOKUP($B$26,Drivers!$T$58:$V$76,3,FALSE)*VLOOKUP($D29,Calibration!$A$220:$U$224,21,0)</f>
        <v>0.90954981013540293</v>
      </c>
      <c r="G29" s="21">
        <f ca="1">VLOOKUP($B$26,Driver2!$T$58:$V$76,3,FALSE)*VLOOKUP($D29,Calibrati2!$A$220:$U$224,21,0)</f>
        <v>0.85840107362056151</v>
      </c>
      <c r="H29" s="62">
        <f>IF($H$33=0,0,F29/$H$33)</f>
        <v>2.9613139443889605</v>
      </c>
      <c r="I29" s="62">
        <f>IF(I$33=0,0,G29/I$33)</f>
        <v>3.0120181395286934</v>
      </c>
      <c r="J29" s="542"/>
      <c r="K29" s="9"/>
      <c r="L29" s="542"/>
      <c r="M29" s="542"/>
      <c r="N29" s="9"/>
      <c r="O29" s="9"/>
      <c r="P29" s="9"/>
      <c r="Q29" s="31"/>
      <c r="R29" s="31"/>
    </row>
    <row r="30" spans="1:18">
      <c r="B30" s="9"/>
      <c r="C30" s="23"/>
      <c r="D30" s="9" t="s">
        <v>862</v>
      </c>
      <c r="E30" s="9"/>
      <c r="F30" s="21">
        <f ca="1">VLOOKUP($B$26,Drivers!$T$58:$V$76,2,FALSE)*VLOOKUP($D30,Calibration!$A$211:$U$215,21,0)</f>
        <v>0.46157675047526325</v>
      </c>
      <c r="G30" s="21">
        <f ca="1">VLOOKUP($B$26,Driver2!$T$58:$V$76,2,FALSE)*VLOOKUP($D30,Calibrati2!$A$211:$U$215,21,0)</f>
        <v>0.4216221506541763</v>
      </c>
      <c r="H30" s="62">
        <f>IF($H$33=0,0,F30/$H$33)</f>
        <v>1.5028024329801761</v>
      </c>
      <c r="I30" s="62">
        <f>IF(I$33=0,0,G30/I$33)</f>
        <v>1.4794174947162597</v>
      </c>
      <c r="J30" s="542"/>
      <c r="K30" s="9"/>
      <c r="L30" s="542"/>
      <c r="M30" s="542"/>
      <c r="N30" s="9"/>
      <c r="O30" s="9"/>
      <c r="P30" s="9"/>
      <c r="Q30" s="31"/>
      <c r="R30" s="31"/>
    </row>
    <row r="31" spans="1:18">
      <c r="B31" s="9"/>
      <c r="C31" s="23"/>
      <c r="D31" s="23" t="s">
        <v>395</v>
      </c>
      <c r="E31" s="9"/>
      <c r="F31" s="21"/>
      <c r="G31" s="21"/>
      <c r="H31" s="62">
        <v>1</v>
      </c>
      <c r="I31" s="9"/>
      <c r="J31" s="542"/>
      <c r="K31" s="9"/>
      <c r="L31" s="542"/>
      <c r="M31" s="542"/>
      <c r="N31" s="9"/>
      <c r="O31" s="9"/>
      <c r="P31" s="9"/>
      <c r="Q31" s="31"/>
      <c r="R31" s="31"/>
    </row>
    <row r="32" spans="1:18" ht="13.5" thickBot="1">
      <c r="A32" s="6"/>
      <c r="B32" s="22"/>
      <c r="C32" s="24"/>
      <c r="D32" s="22"/>
      <c r="E32" s="22" t="s">
        <v>404</v>
      </c>
      <c r="F32" s="28"/>
      <c r="G32" s="28"/>
      <c r="H32" s="541"/>
      <c r="I32" s="9"/>
      <c r="J32" s="545"/>
      <c r="K32" s="9"/>
      <c r="L32" s="545"/>
      <c r="M32" s="545"/>
      <c r="N32" s="22"/>
      <c r="O32" s="22"/>
      <c r="P32" s="9"/>
      <c r="Q32" s="29"/>
      <c r="R32" s="29"/>
    </row>
    <row r="33" spans="1:18">
      <c r="B33" s="516" t="s">
        <v>1380</v>
      </c>
      <c r="C33" s="517" t="s">
        <v>404</v>
      </c>
      <c r="D33" s="517"/>
      <c r="E33" s="517"/>
      <c r="F33" s="580">
        <f>SUM(F26:F32)</f>
        <v>5.1065269412953551</v>
      </c>
      <c r="G33" s="580">
        <f>SUM(G26:G32)</f>
        <v>4.7445870490449042</v>
      </c>
      <c r="H33" s="580">
        <f ca="1">VLOOKUP($C33&amp;"000",Drivers!$E$58:$H$79,4,FALSE)</f>
        <v>0.30714400000000003</v>
      </c>
      <c r="I33" s="580">
        <f ca="1">VLOOKUP($C33&amp;"000",Driver2!$E$58:$H$79,4,FALSE)</f>
        <v>0.28499200000000002</v>
      </c>
      <c r="J33" s="580">
        <f ca="1">F33/(H33+Tiny)</f>
        <v>16.625839751613295</v>
      </c>
      <c r="K33" s="580">
        <f ca="1">G33/(I33+Tiny)</f>
        <v>16.648141114125178</v>
      </c>
      <c r="L33" s="518"/>
      <c r="M33" s="518"/>
      <c r="N33" s="517"/>
      <c r="O33" s="517" t="s">
        <v>784</v>
      </c>
      <c r="P33" s="517"/>
      <c r="Q33" s="517"/>
      <c r="R33" s="517"/>
    </row>
    <row r="34" spans="1:18">
      <c r="B34" s="35" t="s">
        <v>418</v>
      </c>
      <c r="C34" s="23" t="s">
        <v>442</v>
      </c>
      <c r="D34" s="9" t="s">
        <v>864</v>
      </c>
      <c r="E34" s="9"/>
      <c r="F34" s="21">
        <f ca="1">VLOOKUP($B34,Calibration!$B$172:$T$206,2,FALSE)</f>
        <v>0.27340846764501503</v>
      </c>
      <c r="G34" s="21">
        <f ca="1">VLOOKUP($B34,Calibrati2!$B$172:$T$206,2,FALSE)</f>
        <v>0.16171180277779681</v>
      </c>
      <c r="H34" s="62">
        <f>IF(H$43=0,0,F34/H$43)</f>
        <v>0.61878959009291745</v>
      </c>
      <c r="I34" s="62">
        <f>IF(I$43=0,0,G34/I$43)</f>
        <v>0.36632590119794028</v>
      </c>
      <c r="J34" s="542"/>
      <c r="K34" s="9"/>
      <c r="L34" s="542"/>
      <c r="M34" s="17"/>
      <c r="N34" s="12"/>
      <c r="O34" s="12"/>
      <c r="P34" s="9"/>
      <c r="Q34" s="31"/>
      <c r="R34" s="427">
        <v>2017</v>
      </c>
    </row>
    <row r="35" spans="1:18">
      <c r="B35" s="9"/>
      <c r="C35" s="23"/>
      <c r="D35" s="9" t="s">
        <v>906</v>
      </c>
      <c r="E35" s="9"/>
      <c r="F35" s="21">
        <f ca="1">VLOOKUP($B$34,Calibration!$B$172:$T$206,HLOOKUP($D35,Calibration!$C$3:$T$4,2,FALSE),FALSE)</f>
        <v>1.2825551477964306E-2</v>
      </c>
      <c r="G35" s="21">
        <f ca="1">VLOOKUP($B$34,Calibrati2!$B$172:$T$206,HLOOKUP($D35,Calibrati2!$C$3:$T$4,2,FALSE),FALSE)</f>
        <v>7.6470152479250564E-3</v>
      </c>
      <c r="H35" s="62">
        <f t="shared" ref="H35:H40" si="4">IF($H$43=0,0,F35/$H$43)</f>
        <v>2.9027329731679746E-2</v>
      </c>
      <c r="I35" s="62">
        <f t="shared" ref="I35:I40" si="5">IF(I$43=0,0,G35/I$43)</f>
        <v>1.7322790940743616E-2</v>
      </c>
      <c r="J35" s="542"/>
      <c r="K35" s="9"/>
      <c r="L35" s="542"/>
      <c r="M35" s="542"/>
      <c r="N35" s="9"/>
      <c r="O35" s="9"/>
      <c r="P35" s="9"/>
      <c r="Q35" s="31"/>
      <c r="R35" s="427">
        <v>2017</v>
      </c>
    </row>
    <row r="36" spans="1:18">
      <c r="B36" s="9"/>
      <c r="C36" s="23"/>
      <c r="D36" s="9" t="s">
        <v>907</v>
      </c>
      <c r="E36" s="9"/>
      <c r="F36" s="21">
        <f ca="1">VLOOKUP($B$34,Calibration!$B$172:$T$206,HLOOKUP($D36,Calibration!$C$3:$T$4,2,FALSE),FALSE)</f>
        <v>0.12521139492536673</v>
      </c>
      <c r="G36" s="21">
        <f ca="1">VLOOKUP($B$34,Calibrati2!$B$172:$T$206,HLOOKUP($D36,Calibrati2!$C$3:$T$4,2,FALSE),FALSE)</f>
        <v>0.13260742858226823</v>
      </c>
      <c r="H36" s="62">
        <f t="shared" si="4"/>
        <v>0.28338371670853679</v>
      </c>
      <c r="I36" s="62">
        <f t="shared" si="5"/>
        <v>0.30039573455061785</v>
      </c>
      <c r="J36" s="542"/>
      <c r="K36" s="9"/>
      <c r="L36" s="542"/>
      <c r="M36" s="542"/>
      <c r="N36" s="9"/>
      <c r="O36" s="9"/>
      <c r="P36" s="9"/>
      <c r="Q36" s="31"/>
      <c r="R36" s="427">
        <v>2017</v>
      </c>
    </row>
    <row r="37" spans="1:18">
      <c r="B37" s="9"/>
      <c r="C37" s="23"/>
      <c r="D37" s="9" t="s">
        <v>910</v>
      </c>
      <c r="E37" s="9"/>
      <c r="F37" s="21">
        <f ca="1">VLOOKUP($B$34,Calibration!$B$172:$T$206,HLOOKUP($D37,Calibration!$C$3:$T$4,2,FALSE),FALSE)</f>
        <v>0</v>
      </c>
      <c r="G37" s="21">
        <f ca="1">VLOOKUP($B$34,Calibrati2!$B$172:$T$206,HLOOKUP($D37,Calibrati2!$C$3:$T$4,2,FALSE),FALSE)</f>
        <v>1.4961224309321383E-2</v>
      </c>
      <c r="H37" s="62">
        <f t="shared" si="4"/>
        <v>0</v>
      </c>
      <c r="I37" s="62">
        <f t="shared" si="5"/>
        <v>3.3891675709456566E-2</v>
      </c>
      <c r="J37" s="542"/>
      <c r="K37" s="9"/>
      <c r="L37" s="542"/>
      <c r="M37" s="542"/>
      <c r="N37" s="9"/>
      <c r="O37" s="9"/>
      <c r="P37" s="9"/>
      <c r="Q37" s="31"/>
      <c r="R37" s="427">
        <v>2017</v>
      </c>
    </row>
    <row r="38" spans="1:18">
      <c r="B38" s="9"/>
      <c r="C38" s="23"/>
      <c r="D38" s="9" t="s">
        <v>913</v>
      </c>
      <c r="E38" s="9"/>
      <c r="F38" s="21">
        <f ca="1">VLOOKUP($B$34,Calibration!$B$172:$T$206,HLOOKUP($D38,Calibration!$C$3:$T$4,2,FALSE),FALSE)</f>
        <v>0.10341827780100966</v>
      </c>
      <c r="G38" s="21">
        <f ca="1">VLOOKUP($B$34,Calibrati2!$B$172:$T$206,HLOOKUP($D38,Calibrati2!$C$3:$T$4,2,FALSE),FALSE)</f>
        <v>3.7544055404255885E-2</v>
      </c>
      <c r="H38" s="62">
        <f t="shared" si="4"/>
        <v>0.23406061370304826</v>
      </c>
      <c r="I38" s="62">
        <f t="shared" si="5"/>
        <v>8.5048584545727335E-2</v>
      </c>
      <c r="J38" s="542"/>
      <c r="K38" s="9"/>
      <c r="L38" s="542"/>
      <c r="M38" s="542"/>
      <c r="N38" s="9"/>
      <c r="O38" s="9"/>
      <c r="P38" s="9"/>
      <c r="Q38" s="31"/>
      <c r="R38" s="427">
        <v>2017</v>
      </c>
    </row>
    <row r="39" spans="1:18">
      <c r="B39" s="9"/>
      <c r="C39" s="23"/>
      <c r="D39" s="9" t="s">
        <v>859</v>
      </c>
      <c r="E39" s="9"/>
      <c r="F39" s="21">
        <f ca="1">VLOOKUP($B$34,Drivers!$T$58:$V$76,3,FALSE)*VLOOKUP($D39,Calibration!$A$220:$U$224,21,0)</f>
        <v>1.8304338187243807</v>
      </c>
      <c r="G39" s="21">
        <f ca="1">VLOOKUP($B$34,Driver2!$T$58:$V$76,3,FALSE)*VLOOKUP($D39,Calibrati2!$A$220:$U$224,21,0)</f>
        <v>1.2325456180983063</v>
      </c>
      <c r="H39" s="62">
        <f t="shared" si="4"/>
        <v>4.1427151182869535</v>
      </c>
      <c r="I39" s="62">
        <f t="shared" si="5"/>
        <v>2.7920867652303958</v>
      </c>
      <c r="J39" s="542"/>
      <c r="K39" s="9"/>
      <c r="L39" s="542"/>
      <c r="M39" s="542"/>
      <c r="N39" s="9"/>
      <c r="O39" s="9"/>
      <c r="P39" s="9"/>
      <c r="Q39" s="31"/>
      <c r="R39" s="427">
        <v>2017</v>
      </c>
    </row>
    <row r="40" spans="1:18">
      <c r="B40" s="9"/>
      <c r="C40" s="23"/>
      <c r="D40" s="9" t="s">
        <v>862</v>
      </c>
      <c r="E40" s="9"/>
      <c r="F40" s="21">
        <f ca="1">VLOOKUP($B$34,Drivers!$T$58:$V$76,2,FALSE)*VLOOKUP($D40,Calibration!$A$211:$U$215,21,0)</f>
        <v>1.0625457823828974</v>
      </c>
      <c r="G40" s="21">
        <f ca="1">VLOOKUP($B$34,Driver2!$T$58:$V$76,2,FALSE)*VLOOKUP($D40,Calibrati2!$A$211:$U$215,21,0)</f>
        <v>0.66962826540345954</v>
      </c>
      <c r="H40" s="62">
        <f t="shared" si="4"/>
        <v>2.4047984863048892</v>
      </c>
      <c r="I40" s="62">
        <f t="shared" si="5"/>
        <v>1.5169095488261795</v>
      </c>
      <c r="J40" s="542"/>
      <c r="K40" s="9"/>
      <c r="L40" s="542"/>
      <c r="M40" s="542"/>
      <c r="N40" s="9"/>
      <c r="O40" s="9"/>
      <c r="P40" s="9"/>
      <c r="Q40" s="31"/>
      <c r="R40" s="427">
        <v>2017</v>
      </c>
    </row>
    <row r="41" spans="1:18">
      <c r="B41" s="9"/>
      <c r="C41" s="23"/>
      <c r="D41" s="23" t="s">
        <v>395</v>
      </c>
      <c r="E41" s="9"/>
      <c r="F41" s="21"/>
      <c r="G41" s="21"/>
      <c r="H41" s="62">
        <f ca="1">Tiny</f>
        <v>1.0000000000000001E-9</v>
      </c>
      <c r="I41" s="9"/>
      <c r="J41" s="542"/>
      <c r="K41" s="9"/>
      <c r="L41" s="542"/>
      <c r="M41" s="542"/>
      <c r="N41" s="9"/>
      <c r="O41" s="9"/>
      <c r="P41" s="9"/>
      <c r="Q41" s="31"/>
      <c r="R41" s="31"/>
    </row>
    <row r="42" spans="1:18" ht="13.5" thickBot="1">
      <c r="A42" s="6"/>
      <c r="B42" s="22"/>
      <c r="C42" s="24"/>
      <c r="D42" s="22"/>
      <c r="E42" s="22" t="s">
        <v>405</v>
      </c>
      <c r="F42" s="28"/>
      <c r="G42" s="28"/>
      <c r="H42" s="541"/>
      <c r="I42" s="545"/>
      <c r="J42" s="545"/>
      <c r="K42" s="545"/>
      <c r="L42" s="545"/>
      <c r="M42" s="545"/>
      <c r="N42" s="22"/>
      <c r="O42" s="22"/>
      <c r="P42" s="9"/>
      <c r="Q42" s="29"/>
      <c r="R42" s="29"/>
    </row>
    <row r="43" spans="1:18">
      <c r="B43" s="516" t="s">
        <v>1380</v>
      </c>
      <c r="C43" s="517" t="s">
        <v>405</v>
      </c>
      <c r="D43" s="517"/>
      <c r="E43" s="517"/>
      <c r="F43" s="580">
        <f>SUM(F34:F42)</f>
        <v>3.4078432929566338</v>
      </c>
      <c r="G43" s="580">
        <f>SUM(G34:G42)</f>
        <v>2.2566454098233333</v>
      </c>
      <c r="H43" s="580">
        <f>MAX(0.1,SUMIF($B$6:$B$37,"~*",H$6:H$37))</f>
        <v>0.44184400000000001</v>
      </c>
      <c r="I43" s="580">
        <f>MAX(0.1,SUMIF($B$6:$B$37,"~*",I$6:I$37))</f>
        <v>0.44144244851094372</v>
      </c>
      <c r="J43" s="580">
        <f ca="1">F43/(H43+Tiny)</f>
        <v>7.7127748373721463</v>
      </c>
      <c r="K43" s="580">
        <f ca="1">G43/(I43+Tiny)</f>
        <v>5.1119809894208847</v>
      </c>
      <c r="L43" s="518"/>
      <c r="M43" s="518"/>
      <c r="N43" s="517"/>
      <c r="O43" s="517" t="s">
        <v>784</v>
      </c>
      <c r="P43" s="517"/>
      <c r="Q43" s="517"/>
      <c r="R43" s="517"/>
    </row>
    <row r="44" spans="1:18" ht="38.25">
      <c r="B44" s="264" t="s">
        <v>383</v>
      </c>
      <c r="C44" s="50" t="s">
        <v>398</v>
      </c>
      <c r="D44" s="52" t="s">
        <v>1246</v>
      </c>
      <c r="E44" s="52"/>
      <c r="F44" s="53">
        <f>SUMIF($D$5:$D$43,"IENF",F$5:F$43)</f>
        <v>5.4779013538124497</v>
      </c>
      <c r="G44" s="53">
        <f>SUMIF($D$5:$D$43,"IENF",G$5:G$43)</f>
        <v>5.3204067873859344</v>
      </c>
      <c r="H44" s="485">
        <v>1</v>
      </c>
      <c r="I44" s="485">
        <v>1</v>
      </c>
      <c r="J44" s="490"/>
      <c r="K44" s="490"/>
      <c r="L44" s="490"/>
      <c r="M44" s="490">
        <v>1</v>
      </c>
      <c r="N44" s="490">
        <v>1</v>
      </c>
      <c r="O44" s="491">
        <v>30</v>
      </c>
      <c r="P44" s="486">
        <v>100</v>
      </c>
      <c r="Q44" s="31"/>
      <c r="R44" s="31"/>
    </row>
    <row r="45" spans="1:18" ht="13.5" thickBot="1">
      <c r="B45" s="22"/>
      <c r="C45" s="24"/>
      <c r="D45" s="22"/>
      <c r="E45" s="22" t="s">
        <v>864</v>
      </c>
      <c r="F45" s="28"/>
      <c r="G45" s="28"/>
      <c r="H45" s="28"/>
      <c r="I45" s="28"/>
      <c r="J45" s="489"/>
      <c r="K45" s="489"/>
      <c r="L45" s="489"/>
      <c r="M45" s="489"/>
      <c r="N45" s="489"/>
      <c r="O45" s="489"/>
      <c r="P45" s="488"/>
      <c r="Q45" s="29"/>
      <c r="R45" s="29"/>
    </row>
    <row r="47" spans="1:18" ht="18">
      <c r="A47" s="8"/>
      <c r="E47" s="216"/>
    </row>
    <row r="48" spans="1:18" ht="18">
      <c r="A48" s="8"/>
      <c r="B48" s="10"/>
      <c r="C48" s="11"/>
      <c r="E48" s="216"/>
    </row>
    <row r="49" spans="1:30" ht="18">
      <c r="B49" s="86" t="s">
        <v>90</v>
      </c>
      <c r="C49" s="88"/>
      <c r="D49" s="88"/>
      <c r="E49" s="225" t="str">
        <f>"~FI_T: "&amp;Region</f>
        <v>~FI_T: FIN</v>
      </c>
      <c r="F49" s="34"/>
      <c r="G49" s="34" t="s">
        <v>784</v>
      </c>
      <c r="H49" s="34" t="s">
        <v>784</v>
      </c>
      <c r="I49" s="34" t="s">
        <v>784</v>
      </c>
      <c r="J49" s="34"/>
      <c r="Y49" s="1"/>
      <c r="Z49" s="1"/>
      <c r="AA49" s="1"/>
      <c r="AB49" s="1"/>
      <c r="AC49" s="1"/>
      <c r="AD49" s="1"/>
    </row>
    <row r="50" spans="1:30" ht="26.25" thickBot="1">
      <c r="B50" s="45" t="s">
        <v>649</v>
      </c>
      <c r="C50" s="45" t="s">
        <v>650</v>
      </c>
      <c r="D50" s="45" t="s">
        <v>648</v>
      </c>
      <c r="E50" s="45" t="s">
        <v>651</v>
      </c>
      <c r="F50" s="45" t="s">
        <v>1288</v>
      </c>
      <c r="G50" s="45" t="s">
        <v>848</v>
      </c>
      <c r="H50" s="45" t="s">
        <v>556</v>
      </c>
      <c r="I50" s="45" t="s">
        <v>564</v>
      </c>
      <c r="J50" s="45" t="str">
        <f ca="1">"Input~"&amp;BaseYear</f>
        <v>Input~2010</v>
      </c>
      <c r="K50" s="45" t="str">
        <f ca="1">"Input~"&amp;AuxYear</f>
        <v>Input~2017</v>
      </c>
      <c r="L50" s="45" t="str">
        <f ca="1">"Input~"&amp;BaseYear+20</f>
        <v>Input~2030</v>
      </c>
      <c r="M50" s="45" t="str">
        <f ca="1">"Input~"&amp;BaseYear+30</f>
        <v>Input~2040</v>
      </c>
      <c r="N50" s="45" t="str">
        <f>"Input~"&amp;2050</f>
        <v>Input~2050</v>
      </c>
      <c r="O50" s="45" t="str">
        <f>"Input~"&amp;2100</f>
        <v>Input~2100</v>
      </c>
    </row>
    <row r="51" spans="1:30">
      <c r="B51" s="35" t="s">
        <v>785</v>
      </c>
      <c r="C51" s="23" t="s">
        <v>816</v>
      </c>
      <c r="D51" s="52" t="s">
        <v>221</v>
      </c>
      <c r="E51" s="9"/>
      <c r="F51" s="62">
        <v>1</v>
      </c>
      <c r="G51" s="62">
        <v>1</v>
      </c>
      <c r="H51" s="62">
        <v>5</v>
      </c>
      <c r="I51" s="31">
        <v>3</v>
      </c>
      <c r="J51" s="31">
        <f>IF($G$43,SUMIF($C$6:$C$42,$D51,H$6:H$42)/H$43,0)</f>
        <v>0</v>
      </c>
      <c r="K51" s="31">
        <f>IF($G$43,SUMIF($C$6:$C$42,$D51,I$6:I$42)/I$43,0)</f>
        <v>0</v>
      </c>
      <c r="L51" s="31"/>
      <c r="M51" s="31"/>
      <c r="N51" s="31"/>
      <c r="O51" s="31"/>
    </row>
    <row r="52" spans="1:30">
      <c r="B52" s="9"/>
      <c r="C52" s="23"/>
      <c r="D52" s="52" t="s">
        <v>369</v>
      </c>
      <c r="E52" s="9"/>
      <c r="F52" s="62"/>
      <c r="G52" s="62"/>
      <c r="H52" s="62"/>
      <c r="I52" s="31">
        <v>3</v>
      </c>
      <c r="J52" s="31">
        <f>IF($G$43,SUMIF($C$6:$C$42,D52,$H$6:$H$42)/H$43,0)</f>
        <v>0.30485872841998535</v>
      </c>
      <c r="K52" s="31">
        <f>IF($G$43,SUMIF($C$6:$C$42,$D52,I$6:I$42)/I$43,0)</f>
        <v>0.35440735035490167</v>
      </c>
      <c r="L52" s="31"/>
      <c r="M52" s="31"/>
      <c r="N52" s="31"/>
      <c r="O52" s="31"/>
    </row>
    <row r="53" spans="1:30">
      <c r="B53" s="9"/>
      <c r="C53" s="23"/>
      <c r="D53" s="52" t="s">
        <v>404</v>
      </c>
      <c r="E53" s="9"/>
      <c r="F53" s="62"/>
      <c r="G53" s="62"/>
      <c r="H53" s="62"/>
      <c r="I53" s="31">
        <v>3</v>
      </c>
      <c r="J53" s="31">
        <f>IF($G$43,SUMIF($C$6:$C$42,D53,$H$6:$H$42)/H$43,0)</f>
        <v>0.69514127158001471</v>
      </c>
      <c r="K53" s="31">
        <f>IF($G$43,SUMIF($C$6:$C$42,$D53,I$6:I$42)/I$43,0)</f>
        <v>0.64559264964509833</v>
      </c>
      <c r="L53" s="31"/>
      <c r="M53" s="31"/>
      <c r="N53" s="31"/>
      <c r="O53" s="31"/>
    </row>
    <row r="54" spans="1:30">
      <c r="B54" s="9"/>
      <c r="C54" s="23"/>
      <c r="D54" s="52" t="s">
        <v>405</v>
      </c>
      <c r="E54" s="9"/>
      <c r="F54" s="62"/>
      <c r="G54" s="62"/>
      <c r="H54" s="62"/>
      <c r="I54" s="31"/>
      <c r="J54" s="31">
        <f>IF($G$43,SUMIF($C$6:$C$43,$D54,H$6:H$43)/H$43,0)</f>
        <v>1</v>
      </c>
      <c r="K54" s="31">
        <f>IF($G$43,SUMIF($C$6:$C$43,$D54,I$6:I$43)/I$43,0)</f>
        <v>1</v>
      </c>
      <c r="L54" s="31"/>
      <c r="M54" s="31"/>
      <c r="N54" s="31"/>
      <c r="O54" s="31"/>
    </row>
    <row r="55" spans="1:30" ht="13.5" thickBot="1">
      <c r="A55" s="6"/>
      <c r="B55" s="22"/>
      <c r="C55" s="24"/>
      <c r="D55" s="22"/>
      <c r="E55" s="22" t="s">
        <v>880</v>
      </c>
      <c r="F55" s="541"/>
      <c r="G55" s="541"/>
      <c r="H55" s="541"/>
      <c r="I55" s="29"/>
      <c r="J55" s="29"/>
      <c r="K55" s="29"/>
      <c r="L55" s="29"/>
      <c r="M55" s="29"/>
      <c r="N55" s="29"/>
      <c r="O55" s="29"/>
    </row>
    <row r="56" spans="1:30">
      <c r="B56" s="192" t="s">
        <v>902</v>
      </c>
      <c r="C56" s="198"/>
      <c r="D56" s="198"/>
      <c r="E56" s="198"/>
      <c r="F56" s="198"/>
      <c r="G56" s="198"/>
      <c r="H56" s="198"/>
      <c r="I56" s="198"/>
      <c r="J56" s="199">
        <f>SUM(J51:J53)</f>
        <v>1</v>
      </c>
      <c r="K56" s="198"/>
      <c r="L56" s="198"/>
      <c r="M56" s="198"/>
      <c r="N56" s="198"/>
      <c r="O56" s="198"/>
    </row>
    <row r="59" spans="1:30">
      <c r="D59" s="216"/>
    </row>
    <row r="60" spans="1:30" ht="18">
      <c r="B60" s="124" t="s">
        <v>89</v>
      </c>
      <c r="C60" s="125"/>
      <c r="D60" s="225"/>
      <c r="M60" s="2"/>
      <c r="N60" s="2"/>
      <c r="O60" s="2"/>
    </row>
    <row r="61" spans="1:30" ht="27.75" customHeight="1" thickBot="1">
      <c r="B61" s="25" t="s">
        <v>772</v>
      </c>
      <c r="C61" s="25" t="s">
        <v>773</v>
      </c>
      <c r="D61" s="25" t="s">
        <v>778</v>
      </c>
      <c r="E61" s="25" t="s">
        <v>1083</v>
      </c>
      <c r="F61" s="25" t="str">
        <f ca="1">"DEMAND~"&amp;AuxYear</f>
        <v>DEMAND~2017</v>
      </c>
      <c r="G61" s="25"/>
      <c r="H61" s="25"/>
      <c r="M61" s="2"/>
      <c r="N61" s="2"/>
      <c r="O61" s="2"/>
      <c r="P61" s="47"/>
    </row>
    <row r="62" spans="1:30">
      <c r="B62" s="27" t="s">
        <v>880</v>
      </c>
      <c r="C62" s="27" t="s">
        <v>886</v>
      </c>
      <c r="D62" s="483" t="s">
        <v>976</v>
      </c>
      <c r="E62" s="17">
        <f>H$43</f>
        <v>0.44184400000000001</v>
      </c>
      <c r="F62" s="17">
        <f>I$43</f>
        <v>0.44144244851094372</v>
      </c>
      <c r="G62" s="12"/>
      <c r="H62" s="12"/>
      <c r="M62" s="2"/>
      <c r="N62" s="2"/>
      <c r="O62" s="2"/>
      <c r="P62" s="48"/>
    </row>
    <row r="70" spans="2:28"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</row>
    <row r="71" spans="2:28"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</row>
    <row r="72" spans="2:28"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</row>
    <row r="73" spans="2:28"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</row>
    <row r="74" spans="2:28"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</row>
    <row r="75" spans="2:28"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</row>
    <row r="76" spans="2:28"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94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6.140625" customWidth="1"/>
    <col min="3" max="3" width="21.28515625" bestFit="1" customWidth="1"/>
    <col min="4" max="4" width="12.140625" bestFit="1" customWidth="1"/>
  </cols>
  <sheetData>
    <row r="1" spans="1:23" ht="18">
      <c r="A1" s="5" t="s">
        <v>786</v>
      </c>
    </row>
    <row r="2" spans="1:23" ht="18">
      <c r="A2" s="8"/>
      <c r="E2" s="216"/>
    </row>
    <row r="3" spans="1:23" ht="18">
      <c r="A3" s="8"/>
      <c r="B3" s="10"/>
      <c r="C3" s="11"/>
      <c r="E3" s="216"/>
    </row>
    <row r="4" spans="1:23" ht="18">
      <c r="B4" s="86" t="s">
        <v>90</v>
      </c>
      <c r="C4" s="88"/>
      <c r="D4" s="88"/>
      <c r="E4" s="225" t="str">
        <f>"~FI_T: "&amp;Region</f>
        <v>~FI_T: FIN</v>
      </c>
      <c r="F4" s="34"/>
      <c r="S4" s="1"/>
      <c r="T4" s="1"/>
      <c r="U4" s="1"/>
      <c r="V4" s="1"/>
    </row>
    <row r="5" spans="1:23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 ca="1">CONCATENATE("\I:",BaseYear," service demand")</f>
        <v>\I:2010 service demand</v>
      </c>
      <c r="G5" s="64" t="str">
        <f ca="1">CONCATENATE("\I:",AuxData!$D$2," service demand")</f>
        <v>\I:2017 service demand</v>
      </c>
      <c r="H5" s="45" t="s">
        <v>388</v>
      </c>
      <c r="I5" s="45" t="str">
        <f ca="1">"INPUT~"&amp;AuxYear</f>
        <v>INPUT~2017</v>
      </c>
      <c r="J5" s="45" t="str">
        <f ca="1">"RESID~"&amp;BaseYear</f>
        <v>RESID~2010</v>
      </c>
      <c r="K5" s="45" t="str">
        <f ca="1">"RESID~"&amp;AuxYear</f>
        <v>RESID~2017</v>
      </c>
      <c r="L5" s="45" t="str">
        <f ca="1">"RESID~"&amp;CEILING(AuxYear+25,5)</f>
        <v>RESID~2045</v>
      </c>
      <c r="M5" s="45" t="s">
        <v>848</v>
      </c>
      <c r="N5" s="64" t="s">
        <v>872</v>
      </c>
      <c r="O5" s="64" t="s">
        <v>556</v>
      </c>
      <c r="P5" s="45" t="s">
        <v>1507</v>
      </c>
      <c r="Q5" s="45" t="str">
        <f ca="1">"AF~LO~"&amp;AuxYear</f>
        <v>AF~LO~2017</v>
      </c>
      <c r="R5" s="45" t="str">
        <f>"AF~LO~"&amp;RIGHT(L5,4)</f>
        <v>AF~LO~2045</v>
      </c>
      <c r="S5" s="45" t="s">
        <v>526</v>
      </c>
      <c r="T5" s="45" t="s">
        <v>108</v>
      </c>
      <c r="U5" s="45" t="s">
        <v>8</v>
      </c>
      <c r="V5" s="45" t="s">
        <v>9</v>
      </c>
      <c r="W5" s="45" t="s">
        <v>10</v>
      </c>
    </row>
    <row r="6" spans="1:23">
      <c r="B6" s="35" t="s">
        <v>360</v>
      </c>
      <c r="C6" s="23" t="s">
        <v>325</v>
      </c>
      <c r="D6" s="9" t="s">
        <v>84</v>
      </c>
      <c r="E6" s="9"/>
      <c r="F6" s="21">
        <f ca="1">VLOOKUP($B6,Calibration!$B$172:$T$206,2,FALSE)</f>
        <v>0.44348695541583333</v>
      </c>
      <c r="G6" s="21">
        <f ca="1">VLOOKUP($B6,Calibrati2!$B$172:$T$206,2,FALSE)</f>
        <v>0.1436599163540199</v>
      </c>
      <c r="H6" s="62">
        <f t="shared" ref="H6:H15" si="0">IF($H$17=0,0,F6/$H$17)</f>
        <v>0.97114967560650578</v>
      </c>
      <c r="I6" s="62">
        <f t="shared" ref="I6:I15" si="1">IF($H$17=0,0,G6/$H$17)</f>
        <v>0.31458711346774193</v>
      </c>
      <c r="J6" s="542">
        <f>H17</f>
        <v>0.45666179637949766</v>
      </c>
      <c r="K6" s="542">
        <f>I17</f>
        <v>0.43014715401364156</v>
      </c>
      <c r="L6" s="542">
        <v>0</v>
      </c>
      <c r="M6" s="17">
        <v>1</v>
      </c>
      <c r="N6" s="12">
        <v>1</v>
      </c>
      <c r="O6" s="12">
        <v>30</v>
      </c>
      <c r="P6" s="9"/>
      <c r="Q6" s="31">
        <v>0.9</v>
      </c>
      <c r="R6" s="31">
        <v>0.2</v>
      </c>
      <c r="S6" s="31"/>
      <c r="T6" s="31"/>
      <c r="U6" s="31"/>
      <c r="V6" s="31"/>
      <c r="W6" s="31"/>
    </row>
    <row r="7" spans="1:23">
      <c r="B7" s="9"/>
      <c r="C7" s="23"/>
      <c r="D7" s="9" t="s">
        <v>906</v>
      </c>
      <c r="E7" s="9"/>
      <c r="F7" s="21">
        <f ca="1">VLOOKUP($B$6,Calibration!$B$172:$T$206,HLOOKUP($D7,Calibration!$C$3:$T$4,2,FALSE),FALSE)</f>
        <v>3.4385678875789069E-2</v>
      </c>
      <c r="G7" s="21">
        <f ca="1">VLOOKUP($B$6,Calibrati2!$B$172:$T$206,HLOOKUP($D7,Calibrati2!$C$3:$T$4,2,FALSE),FALSE)</f>
        <v>3.1604998064449268E-2</v>
      </c>
      <c r="H7" s="62">
        <f t="shared" si="0"/>
        <v>7.529791006912627E-2</v>
      </c>
      <c r="I7" s="62">
        <f t="shared" si="1"/>
        <v>6.9208763060583905E-2</v>
      </c>
      <c r="J7" s="542"/>
      <c r="K7" s="9"/>
      <c r="L7" s="542"/>
      <c r="M7" s="542"/>
      <c r="N7" s="9"/>
      <c r="O7" s="9"/>
      <c r="P7" s="9"/>
      <c r="Q7" s="31"/>
      <c r="R7" s="31"/>
      <c r="S7" s="31"/>
      <c r="T7" s="31"/>
      <c r="U7" s="31"/>
      <c r="V7" s="31"/>
      <c r="W7" s="31"/>
    </row>
    <row r="8" spans="1:23">
      <c r="B8" s="9"/>
      <c r="C8" s="23"/>
      <c r="D8" s="9" t="s">
        <v>907</v>
      </c>
      <c r="E8" s="9"/>
      <c r="F8" s="21">
        <f ca="1">VLOOKUP($B$6,Calibration!$B$172:$T$206,HLOOKUP($D8,Calibration!$C$3:$T$4,2,FALSE),FALSE)</f>
        <v>0</v>
      </c>
      <c r="G8" s="21">
        <f ca="1">VLOOKUP($B$6,Calibrati2!$B$172:$T$206,HLOOKUP($D8,Calibrati2!$C$3:$T$4,2,FALSE),FALSE)</f>
        <v>0.50472859245664259</v>
      </c>
      <c r="H8" s="62">
        <f t="shared" si="0"/>
        <v>0</v>
      </c>
      <c r="I8" s="62">
        <f t="shared" si="1"/>
        <v>1.1052568803833114</v>
      </c>
      <c r="J8" s="542"/>
      <c r="K8" s="9"/>
      <c r="L8" s="542"/>
      <c r="M8" s="542"/>
      <c r="N8" s="9"/>
      <c r="O8" s="9"/>
      <c r="P8" s="9"/>
      <c r="Q8" s="31"/>
      <c r="R8" s="31"/>
      <c r="S8" s="31"/>
      <c r="T8" s="427">
        <v>3</v>
      </c>
      <c r="U8" s="31"/>
      <c r="V8" s="31"/>
      <c r="W8" s="31"/>
    </row>
    <row r="9" spans="1:23">
      <c r="B9" s="9"/>
      <c r="C9" s="23"/>
      <c r="D9" s="9" t="s">
        <v>913</v>
      </c>
      <c r="E9" s="9"/>
      <c r="F9" s="21">
        <f ca="1">VLOOKUP($B$6,Calibration!$B$172:$T$206,HLOOKUP($D9,Calibration!$C$3:$T$4,2,FALSE),FALSE)</f>
        <v>0.1226458073203497</v>
      </c>
      <c r="G9" s="21">
        <f ca="1">VLOOKUP($B$6,Calibrati2!$B$172:$T$206,HLOOKUP($D9,Calibrati2!$C$3:$T$4,2,FALSE),FALSE)</f>
        <v>6.6973941408085436E-2</v>
      </c>
      <c r="H9" s="62">
        <f t="shared" si="0"/>
        <v>0.26857032555100774</v>
      </c>
      <c r="I9" s="62">
        <f t="shared" si="1"/>
        <v>0.1466598299640296</v>
      </c>
      <c r="J9" s="542"/>
      <c r="K9" s="9"/>
      <c r="L9" s="542"/>
      <c r="M9" s="542"/>
      <c r="N9" s="9"/>
      <c r="O9" s="9"/>
      <c r="P9" s="9"/>
      <c r="Q9" s="31"/>
      <c r="R9" s="31"/>
      <c r="S9" s="31"/>
      <c r="T9" s="427">
        <v>3</v>
      </c>
      <c r="U9" s="31"/>
      <c r="V9" s="31"/>
      <c r="W9" s="31"/>
    </row>
    <row r="10" spans="1:23">
      <c r="A10" s="6"/>
      <c r="B10" s="52"/>
      <c r="C10" s="50"/>
      <c r="D10" s="52" t="s">
        <v>826</v>
      </c>
      <c r="E10" s="52"/>
      <c r="F10" s="21">
        <f ca="1">VLOOKUP($B$6,Calibration!$B$172:$T$206,HLOOKUP($D10,Calibration!$C$3:$T$4,2,FALSE),FALSE)</f>
        <v>2.7853935467370684E-2</v>
      </c>
      <c r="G10" s="21">
        <f ca="1">VLOOKUP($B$6,Calibrati2!$B$172:$T$206,HLOOKUP($D10,Calibrati2!$C$3:$T$4,2,FALSE),FALSE)</f>
        <v>9.7193037753671181E-3</v>
      </c>
      <c r="H10" s="62">
        <f t="shared" si="0"/>
        <v>6.0994669771375729E-2</v>
      </c>
      <c r="I10" s="62">
        <f t="shared" si="1"/>
        <v>2.1283373937613401E-2</v>
      </c>
      <c r="J10" s="543"/>
      <c r="K10" s="9"/>
      <c r="L10" s="543"/>
      <c r="M10" s="543"/>
      <c r="N10" s="52"/>
      <c r="O10" s="52"/>
      <c r="P10" s="9"/>
      <c r="Q10" s="31"/>
      <c r="R10" s="31"/>
      <c r="S10" s="31"/>
      <c r="T10" s="427">
        <v>3</v>
      </c>
      <c r="U10" s="31"/>
      <c r="V10" s="31"/>
      <c r="W10" s="31"/>
    </row>
    <row r="11" spans="1:23">
      <c r="B11" s="9"/>
      <c r="C11" s="23"/>
      <c r="D11" s="9" t="s">
        <v>914</v>
      </c>
      <c r="E11" s="9"/>
      <c r="F11" s="21">
        <f ca="1">VLOOKUP($B$6,Calibration!$B$172:$T$206,HLOOKUP($D11,Calibration!$C$3:$T$4,2,FALSE),FALSE)</f>
        <v>1.5696412466135232</v>
      </c>
      <c r="G11" s="21">
        <f ca="1">VLOOKUP($B$6,Calibrati2!$B$172:$T$206,HLOOKUP($D11,Calibrati2!$C$3:$T$4,2,FALSE),FALSE)</f>
        <v>2.3852564054484752E-3</v>
      </c>
      <c r="H11" s="62">
        <f t="shared" si="0"/>
        <v>3.4372072703649401</v>
      </c>
      <c r="I11" s="62">
        <f t="shared" si="1"/>
        <v>5.2232449141996233E-3</v>
      </c>
      <c r="J11" s="542"/>
      <c r="K11" s="9"/>
      <c r="L11" s="542"/>
      <c r="M11" s="542"/>
      <c r="N11" s="9"/>
      <c r="O11" s="9"/>
      <c r="P11" s="9"/>
      <c r="Q11" s="31"/>
      <c r="R11" s="31"/>
      <c r="S11" s="31"/>
      <c r="T11" s="427">
        <v>3</v>
      </c>
      <c r="U11" s="31"/>
      <c r="V11" s="31"/>
      <c r="W11" s="31"/>
    </row>
    <row r="12" spans="1:23">
      <c r="B12" s="9"/>
      <c r="C12" s="23"/>
      <c r="D12" s="9" t="s">
        <v>915</v>
      </c>
      <c r="E12" s="9"/>
      <c r="F12" s="21">
        <f ca="1">VLOOKUP($B$6,Calibration!$B$172:$T$206,HLOOKUP($D12,Calibration!$C$3:$T$4,2,FALSE),FALSE)</f>
        <v>0</v>
      </c>
      <c r="G12" s="21">
        <f ca="1">VLOOKUP($B$6,Calibrati2!$B$172:$T$206,HLOOKUP($D12,Calibrati2!$C$3:$T$4,2,FALSE),FALSE)</f>
        <v>2.0166565462288299</v>
      </c>
      <c r="H12" s="62">
        <f t="shared" si="0"/>
        <v>0</v>
      </c>
      <c r="I12" s="62">
        <f t="shared" si="1"/>
        <v>4.4160833295389939</v>
      </c>
      <c r="J12" s="542"/>
      <c r="K12" s="9"/>
      <c r="L12" s="542"/>
      <c r="M12" s="542"/>
      <c r="N12" s="9"/>
      <c r="O12" s="9"/>
      <c r="P12" s="9"/>
      <c r="Q12" s="31"/>
      <c r="R12" s="31"/>
      <c r="S12" s="31"/>
      <c r="T12" s="427">
        <v>3</v>
      </c>
      <c r="U12" s="31"/>
      <c r="V12" s="31"/>
      <c r="W12" s="31"/>
    </row>
    <row r="13" spans="1:23">
      <c r="B13" s="9"/>
      <c r="C13" s="23"/>
      <c r="D13" s="23" t="s">
        <v>960</v>
      </c>
      <c r="E13" s="9"/>
      <c r="F13" s="21">
        <f ca="1">INDEX(Calibration!$AL$251:$AL$255,MATCH($B6,Calibration!$B$251:$B$255,0))</f>
        <v>19.885951881296297</v>
      </c>
      <c r="G13" s="21">
        <f ca="1">INDEX(Calibrati2!$AL$251:$AL$255,MATCH($B6,Calibrati2!$B$251:$B$255,0))</f>
        <v>18.448400720593909</v>
      </c>
      <c r="H13" s="62">
        <f t="shared" si="0"/>
        <v>43.546344447807847</v>
      </c>
      <c r="I13" s="62">
        <f t="shared" si="1"/>
        <v>40.39838862557886</v>
      </c>
      <c r="J13" s="542"/>
      <c r="K13" s="9"/>
      <c r="L13" s="542"/>
      <c r="M13" s="542"/>
      <c r="N13" s="9"/>
      <c r="O13" s="9"/>
      <c r="P13" s="9"/>
      <c r="Q13" s="31"/>
      <c r="R13" s="31"/>
      <c r="S13" s="31"/>
      <c r="T13" s="319"/>
      <c r="U13" s="319"/>
      <c r="V13" s="319"/>
      <c r="W13" s="319"/>
    </row>
    <row r="14" spans="1:23">
      <c r="B14" s="9"/>
      <c r="C14" s="23"/>
      <c r="D14" s="9" t="s">
        <v>570</v>
      </c>
      <c r="E14" s="9"/>
      <c r="F14" s="21">
        <f ca="1">VLOOKUP($B$6,Drivers!$T$58:$V$76,3,FALSE)*VLOOKUP($D14,Calibration!$A$220:$U$224,21,0)</f>
        <v>4.5844098222544423</v>
      </c>
      <c r="G14" s="21">
        <f ca="1">VLOOKUP($B$6,Driver2!$T$58:$V$76,3,FALSE)*VLOOKUP($D14,Calibrati2!$A$220:$U$224,21,0)</f>
        <v>3.5640400090091355</v>
      </c>
      <c r="H14" s="62">
        <f t="shared" si="0"/>
        <v>10.038960689509222</v>
      </c>
      <c r="I14" s="62">
        <f t="shared" si="1"/>
        <v>7.8045504074690033</v>
      </c>
      <c r="J14" s="542"/>
      <c r="K14" s="9"/>
      <c r="L14" s="542"/>
      <c r="M14" s="542"/>
      <c r="N14" s="9"/>
      <c r="O14" s="9"/>
      <c r="P14" s="9"/>
      <c r="Q14" s="31"/>
      <c r="R14" s="31"/>
      <c r="S14" s="31"/>
      <c r="T14" s="31"/>
      <c r="U14" s="31"/>
      <c r="V14" s="31"/>
      <c r="W14" s="31"/>
    </row>
    <row r="15" spans="1:23">
      <c r="B15" s="9"/>
      <c r="C15" s="23"/>
      <c r="D15" s="9" t="s">
        <v>572</v>
      </c>
      <c r="E15" s="9"/>
      <c r="F15" s="21">
        <f ca="1">VLOOKUP($B$6,Drivers!$T$58:$V$76,2,FALSE)*VLOOKUP($D15,Calibration!$A$211:$U$215,21,0)</f>
        <v>0.1891837750331411</v>
      </c>
      <c r="G15" s="21">
        <f ca="1">VLOOKUP($B$6,Driver2!$T$58:$V$76,2,FALSE)*VLOOKUP($D15,Calibrati2!$A$211:$U$215,21,0)</f>
        <v>0.18551059797063188</v>
      </c>
      <c r="H15" s="62">
        <f t="shared" si="0"/>
        <v>0.41427545840932251</v>
      </c>
      <c r="I15" s="62">
        <f t="shared" si="1"/>
        <v>0.40623191920453056</v>
      </c>
      <c r="J15" s="542"/>
      <c r="K15" s="9"/>
      <c r="L15" s="542"/>
      <c r="M15" s="542"/>
      <c r="N15" s="9"/>
      <c r="O15" s="9"/>
      <c r="P15" s="9"/>
      <c r="Q15" s="31"/>
      <c r="R15" s="31"/>
      <c r="S15" s="31"/>
      <c r="T15" s="31"/>
      <c r="U15" s="31"/>
      <c r="V15" s="31"/>
      <c r="W15" s="31"/>
    </row>
    <row r="16" spans="1:23" ht="13.5" thickBot="1">
      <c r="A16" s="6"/>
      <c r="B16" s="22"/>
      <c r="C16" s="24"/>
      <c r="D16" s="22"/>
      <c r="E16" s="22" t="s">
        <v>359</v>
      </c>
      <c r="F16" s="28"/>
      <c r="G16" s="28"/>
      <c r="H16" s="541"/>
      <c r="I16" s="9"/>
      <c r="J16" s="545"/>
      <c r="K16" s="9"/>
      <c r="L16" s="545"/>
      <c r="M16" s="545"/>
      <c r="N16" s="22"/>
      <c r="O16" s="22"/>
      <c r="P16" s="9"/>
      <c r="Q16" s="29"/>
      <c r="R16" s="29"/>
      <c r="S16" s="29"/>
      <c r="T16" s="29"/>
      <c r="U16" s="29"/>
      <c r="V16" s="29"/>
      <c r="W16" s="29"/>
    </row>
    <row r="17" spans="2:23">
      <c r="B17" s="516" t="s">
        <v>1380</v>
      </c>
      <c r="C17" s="517" t="str">
        <f>E16</f>
        <v>ICHOLF</v>
      </c>
      <c r="D17" s="517"/>
      <c r="E17" s="517"/>
      <c r="F17" s="580">
        <f ca="1">SUM(F6:F16)</f>
        <v>26.857559102276745</v>
      </c>
      <c r="G17" s="580">
        <f ca="1">SUM(G6:G16)</f>
        <v>24.97367988226652</v>
      </c>
      <c r="H17" s="580">
        <f ca="1">VLOOKUP($E16&amp;"000",Drivers!$E$58:$H$79,4,FALSE)</f>
        <v>0.45666179637949766</v>
      </c>
      <c r="I17" s="580">
        <f ca="1">VLOOKUP($E16&amp;"000",Driver2!$E$58:$H$79,4,FALSE)</f>
        <v>0.43014715401364156</v>
      </c>
      <c r="J17" s="580">
        <f ca="1">F17/(H17+Tiny)</f>
        <v>58.812800318300816</v>
      </c>
      <c r="K17" s="580">
        <f ca="1">G17/(I17+Tiny)</f>
        <v>58.058456486767909</v>
      </c>
      <c r="L17" s="518"/>
      <c r="M17" s="518"/>
      <c r="N17" s="517"/>
      <c r="O17" s="517" t="s">
        <v>784</v>
      </c>
      <c r="P17" s="517"/>
      <c r="Q17" s="517"/>
      <c r="R17" s="517"/>
      <c r="S17" s="517"/>
      <c r="T17" s="517"/>
      <c r="U17" s="517"/>
      <c r="V17" s="517"/>
      <c r="W17" s="517"/>
    </row>
    <row r="18" spans="2:23">
      <c r="B18" s="35" t="s">
        <v>972</v>
      </c>
      <c r="C18" s="23" t="s">
        <v>326</v>
      </c>
      <c r="D18" s="9" t="s">
        <v>84</v>
      </c>
      <c r="E18" s="9"/>
      <c r="F18" s="21">
        <f ca="1">VLOOKUP($B18,Calibration!$B$172:$T$206,2,FALSE)</f>
        <v>3.9028925975359147E-2</v>
      </c>
      <c r="G18" s="21">
        <f ca="1">VLOOKUP($B18,Calibrati2!$B$172:$T$206,2,FALSE)</f>
        <v>2.2611513596921189E-2</v>
      </c>
      <c r="H18" s="62">
        <f t="shared" ref="H18:I24" si="2">IF($H$29=0,0,F18/$H$29)</f>
        <v>0.26547096704277356</v>
      </c>
      <c r="I18" s="62">
        <f t="shared" si="2"/>
        <v>0.15380132122173404</v>
      </c>
      <c r="J18" s="542">
        <f>H29</f>
        <v>0.1470176811051081</v>
      </c>
      <c r="K18" s="542">
        <f>I29</f>
        <v>0.14319767101260772</v>
      </c>
      <c r="L18" s="542">
        <v>0</v>
      </c>
      <c r="M18" s="17">
        <v>1</v>
      </c>
      <c r="N18" s="12">
        <v>1</v>
      </c>
      <c r="O18" s="12">
        <v>30</v>
      </c>
      <c r="P18" s="9"/>
      <c r="Q18" s="31">
        <v>0.9</v>
      </c>
      <c r="R18" s="31">
        <v>0.2</v>
      </c>
      <c r="S18" s="31"/>
      <c r="T18" s="31"/>
      <c r="U18" s="31"/>
      <c r="V18" s="31"/>
      <c r="W18" s="31"/>
    </row>
    <row r="19" spans="2:23">
      <c r="B19" s="35"/>
      <c r="C19" s="23"/>
      <c r="D19" s="9" t="s">
        <v>906</v>
      </c>
      <c r="E19" s="9"/>
      <c r="F19" s="21">
        <f ca="1">VLOOKUP($B$18,Calibration!$B$172:$T$206,HLOOKUP($D19,Calibration!$C$3:$T$4,2,FALSE),FALSE)</f>
        <v>2.2695754053193434E-3</v>
      </c>
      <c r="G19" s="21">
        <f ca="1">VLOOKUP($B$18,Calibrati2!$B$172:$T$206,HLOOKUP($D19,Calibrati2!$C$3:$T$4,2,FALSE),FALSE)</f>
        <v>3.7308780779039068E-3</v>
      </c>
      <c r="H19" s="62">
        <f t="shared" si="2"/>
        <v>1.5437431663044286E-2</v>
      </c>
      <c r="I19" s="62">
        <f t="shared" si="2"/>
        <v>2.5377070634358401E-2</v>
      </c>
      <c r="J19" s="542"/>
      <c r="K19" s="9"/>
      <c r="L19" s="542"/>
      <c r="M19" s="542"/>
      <c r="N19" s="9"/>
      <c r="O19" s="9"/>
      <c r="P19" s="9"/>
      <c r="Q19" s="31"/>
      <c r="R19" s="31"/>
      <c r="S19" s="31"/>
      <c r="T19" s="31"/>
      <c r="U19" s="31"/>
      <c r="V19" s="31"/>
      <c r="W19" s="31"/>
    </row>
    <row r="20" spans="2:23">
      <c r="B20" s="9"/>
      <c r="C20" s="23"/>
      <c r="D20" s="9" t="s">
        <v>907</v>
      </c>
      <c r="E20" s="9"/>
      <c r="F20" s="21">
        <f ca="1">VLOOKUP($B$18,Calibration!$B$172:$T$206,HLOOKUP($D20,Calibration!$C$3:$T$4,2,FALSE),FALSE)</f>
        <v>0</v>
      </c>
      <c r="G20" s="21">
        <f ca="1">VLOOKUP($B$18,Calibrati2!$B$172:$T$206,HLOOKUP($D20,Calibrati2!$C$3:$T$4,2,FALSE),FALSE)</f>
        <v>7.944232267937637E-2</v>
      </c>
      <c r="H20" s="62">
        <f t="shared" si="2"/>
        <v>0</v>
      </c>
      <c r="I20" s="62">
        <f t="shared" si="2"/>
        <v>0.54035896963019203</v>
      </c>
      <c r="J20" s="542"/>
      <c r="K20" s="9"/>
      <c r="L20" s="542"/>
      <c r="M20" s="542"/>
      <c r="N20" s="9"/>
      <c r="O20" s="9"/>
      <c r="P20" s="9"/>
      <c r="Q20" s="31"/>
      <c r="R20" s="31"/>
      <c r="S20" s="31"/>
      <c r="T20" s="427">
        <v>3</v>
      </c>
      <c r="U20" s="31"/>
      <c r="V20" s="31"/>
      <c r="W20" s="31"/>
    </row>
    <row r="21" spans="2:23">
      <c r="B21" s="9"/>
      <c r="C21" s="23"/>
      <c r="D21" s="9" t="s">
        <v>913</v>
      </c>
      <c r="E21" s="9"/>
      <c r="F21" s="21">
        <f ca="1">VLOOKUP($B$18,Calibration!$B$172:$T$206,HLOOKUP($D21,Calibration!$C$3:$T$4,2,FALSE),FALSE)</f>
        <v>1.0793404578508584E-2</v>
      </c>
      <c r="G21" s="21">
        <f ca="1">VLOOKUP($B$18,Calibrati2!$B$172:$T$206,HLOOKUP($D21,Calibrati2!$C$3:$T$4,2,FALSE),FALSE)</f>
        <v>1.0541438594857927E-2</v>
      </c>
      <c r="H21" s="62">
        <f t="shared" si="2"/>
        <v>7.3415690530392735E-2</v>
      </c>
      <c r="I21" s="62">
        <f t="shared" si="2"/>
        <v>7.1701842360861912E-2</v>
      </c>
      <c r="J21" s="542"/>
      <c r="K21" s="9"/>
      <c r="L21" s="542"/>
      <c r="M21" s="542"/>
      <c r="N21" s="9"/>
      <c r="O21" s="9"/>
      <c r="P21" s="9"/>
      <c r="Q21" s="31"/>
      <c r="R21" s="31"/>
      <c r="S21" s="31"/>
      <c r="T21" s="427">
        <v>3</v>
      </c>
      <c r="U21" s="31"/>
      <c r="V21" s="31"/>
      <c r="W21" s="31"/>
    </row>
    <row r="22" spans="2:23">
      <c r="B22" s="9"/>
      <c r="C22" s="23"/>
      <c r="D22" s="9" t="s">
        <v>826</v>
      </c>
      <c r="E22" s="9"/>
      <c r="F22" s="21">
        <f ca="1">VLOOKUP($B$18,Calibration!$B$172:$T$206,HLOOKUP($D22,Calibration!$C$3:$T$4,2,FALSE),FALSE)</f>
        <v>2.4512765757881611E-3</v>
      </c>
      <c r="G22" s="21">
        <f ca="1">VLOOKUP($B$18,Calibrati2!$B$172:$T$206,HLOOKUP($D22,Calibrati2!$C$3:$T$4,2,FALSE),FALSE)</f>
        <v>1.5297807143904237E-3</v>
      </c>
      <c r="H22" s="62">
        <f t="shared" si="2"/>
        <v>1.6673345391944098E-2</v>
      </c>
      <c r="I22" s="62">
        <f t="shared" si="2"/>
        <v>1.0405419966437436E-2</v>
      </c>
      <c r="J22" s="542"/>
      <c r="K22" s="9"/>
      <c r="L22" s="542"/>
      <c r="M22" s="542"/>
      <c r="N22" s="9"/>
      <c r="O22" s="9"/>
      <c r="P22" s="9"/>
      <c r="Q22" s="31"/>
      <c r="R22" s="31"/>
      <c r="S22" s="31"/>
      <c r="T22" s="427">
        <v>3</v>
      </c>
      <c r="U22" s="31"/>
      <c r="V22" s="31"/>
      <c r="W22" s="31"/>
    </row>
    <row r="23" spans="2:23">
      <c r="B23" s="9"/>
      <c r="C23" s="23"/>
      <c r="D23" s="9" t="s">
        <v>914</v>
      </c>
      <c r="E23" s="9"/>
      <c r="F23" s="21">
        <f ca="1">VLOOKUP($B$18,Calibration!$B$172:$T$206,HLOOKUP($D23,Calibration!$C$3:$T$4,2,FALSE),FALSE)</f>
        <v>0.27627153977734564</v>
      </c>
      <c r="G23" s="21">
        <f ca="1">VLOOKUP($B$18,Calibrati2!$B$172:$T$206,HLOOKUP($D23,Calibrati2!$C$3:$T$4,2,FALSE),FALSE)</f>
        <v>7.5086021226730834E-4</v>
      </c>
      <c r="H23" s="62">
        <f t="shared" si="2"/>
        <v>1.8791722036469165</v>
      </c>
      <c r="I23" s="62">
        <f t="shared" si="2"/>
        <v>5.1072782989312147E-3</v>
      </c>
      <c r="J23" s="542"/>
      <c r="K23" s="9"/>
      <c r="L23" s="542"/>
      <c r="M23" s="542"/>
      <c r="N23" s="9"/>
      <c r="O23" s="9"/>
      <c r="P23" s="9"/>
      <c r="Q23" s="31"/>
      <c r="R23" s="31"/>
      <c r="S23" s="31"/>
      <c r="T23" s="427">
        <v>3</v>
      </c>
      <c r="U23" s="31"/>
      <c r="V23" s="31"/>
      <c r="W23" s="31"/>
    </row>
    <row r="24" spans="2:23">
      <c r="B24" s="52"/>
      <c r="C24" s="50"/>
      <c r="D24" s="52" t="s">
        <v>915</v>
      </c>
      <c r="E24" s="52"/>
      <c r="F24" s="21">
        <f ca="1">VLOOKUP($B$18,Calibration!$B$172:$T$206,HLOOKUP($D24,Calibration!$C$3:$T$4,2,FALSE),FALSE)</f>
        <v>0</v>
      </c>
      <c r="G24" s="21">
        <f ca="1">VLOOKUP($B$18,Calibrati2!$B$172:$T$206,HLOOKUP($D24,Calibrati2!$C$3:$T$4,2,FALSE),FALSE)</f>
        <v>0.31741391804101055</v>
      </c>
      <c r="H24" s="62">
        <f t="shared" si="2"/>
        <v>0</v>
      </c>
      <c r="I24" s="62">
        <f t="shared" si="2"/>
        <v>2.1590186680612939</v>
      </c>
      <c r="J24" s="543"/>
      <c r="K24" s="9"/>
      <c r="L24" s="543"/>
      <c r="M24" s="543"/>
      <c r="N24" s="52"/>
      <c r="O24" s="52"/>
      <c r="P24" s="9"/>
      <c r="Q24" s="31"/>
      <c r="R24" s="31"/>
      <c r="S24" s="31"/>
      <c r="T24" s="427">
        <v>3</v>
      </c>
      <c r="U24" s="31"/>
      <c r="V24" s="31"/>
      <c r="W24" s="31"/>
    </row>
    <row r="25" spans="2:23">
      <c r="B25" s="52"/>
      <c r="C25" s="50"/>
      <c r="D25" s="23" t="s">
        <v>960</v>
      </c>
      <c r="E25" s="9"/>
      <c r="F25" s="21">
        <f ca="1">INDEX(Calibration!$AL$251:$AL$255,MATCH($B18,Calibration!$B$251:$B$255,0))</f>
        <v>7.1237914506259505</v>
      </c>
      <c r="G25" s="21">
        <f ca="1">INDEX(Calibrati2!$AL$251:$AL$255,MATCH($B18,Calibrati2!$B$251:$B$255,0))</f>
        <v>5.511635431783386</v>
      </c>
      <c r="H25" s="62">
        <f>IF($H$17=0,0,F25/$H$29)</f>
        <v>48.455338140811115</v>
      </c>
      <c r="I25" s="62">
        <f>IF($H$17=0,0,G25/$H$29)</f>
        <v>37.489609347347304</v>
      </c>
      <c r="J25" s="543"/>
      <c r="K25" s="9"/>
      <c r="L25" s="543"/>
      <c r="M25" s="543"/>
      <c r="N25" s="52"/>
      <c r="O25" s="52"/>
      <c r="P25" s="9"/>
      <c r="Q25" s="31"/>
      <c r="R25" s="31"/>
      <c r="S25" s="31"/>
      <c r="T25" s="319"/>
      <c r="U25" s="319"/>
      <c r="V25" s="319"/>
      <c r="W25" s="319"/>
    </row>
    <row r="26" spans="2:23">
      <c r="B26" s="9"/>
      <c r="C26" s="23"/>
      <c r="D26" s="9" t="s">
        <v>570</v>
      </c>
      <c r="E26" s="9"/>
      <c r="F26" s="21">
        <f ca="1">VLOOKUP($B$18,Drivers!$T$58:$V$76,3,FALSE)*VLOOKUP($D26,Calibration!$A$220:$U$224,21,0)</f>
        <v>0.83193065821629431</v>
      </c>
      <c r="G26" s="21">
        <f ca="1">VLOOKUP($B$18,Driver2!$T$58:$V$76,3,FALSE)*VLOOKUP($D26,Calibrati2!$A$220:$U$224,21,0)</f>
        <v>0.66879078207760001</v>
      </c>
      <c r="H26" s="62">
        <f>IF($H$29=0,0,F26/$H$29)</f>
        <v>5.6587116050450961</v>
      </c>
      <c r="I26" s="62">
        <f>IF($H$29=0,0,G26/$H$29)</f>
        <v>4.5490499989552822</v>
      </c>
      <c r="J26" s="542"/>
      <c r="K26" s="9"/>
      <c r="L26" s="542"/>
      <c r="M26" s="542"/>
      <c r="N26" s="9"/>
      <c r="O26" s="9"/>
      <c r="P26" s="9"/>
      <c r="Q26" s="31"/>
      <c r="R26" s="31"/>
      <c r="S26" s="31"/>
      <c r="T26" s="31"/>
      <c r="U26" s="31"/>
      <c r="V26" s="31"/>
      <c r="W26" s="31"/>
    </row>
    <row r="27" spans="2:23">
      <c r="B27" s="9"/>
      <c r="C27" s="23"/>
      <c r="D27" s="9" t="s">
        <v>572</v>
      </c>
      <c r="E27" s="9"/>
      <c r="F27" s="21">
        <f ca="1">VLOOKUP($B$18,Drivers!$T$58:$V$76,2,FALSE)*VLOOKUP($D27,Calibration!$A$211:$U$215,21,0)</f>
        <v>9.4239136590549943E-2</v>
      </c>
      <c r="G27" s="21">
        <f ca="1">VLOOKUP($B$18,Driver2!$T$58:$V$76,2,FALSE)*VLOOKUP($D27,Calibrati2!$A$211:$U$215,21,0)</f>
        <v>9.5556481394341725E-2</v>
      </c>
      <c r="H27" s="62">
        <f>IF($H$29=0,0,F27/$H$29)</f>
        <v>0.64100546194287389</v>
      </c>
      <c r="I27" s="62">
        <f>IF($H$29=0,0,G27/$H$29)</f>
        <v>0.64996591346060639</v>
      </c>
      <c r="J27" s="542"/>
      <c r="K27" s="9"/>
      <c r="L27" s="542"/>
      <c r="M27" s="542"/>
      <c r="N27" s="9"/>
      <c r="O27" s="9"/>
      <c r="P27" s="9"/>
      <c r="Q27" s="31"/>
      <c r="R27" s="31"/>
      <c r="S27" s="31"/>
      <c r="T27" s="31"/>
      <c r="U27" s="31"/>
      <c r="V27" s="31"/>
      <c r="W27" s="31"/>
    </row>
    <row r="28" spans="2:23" ht="13.5" thickBot="1">
      <c r="B28" s="22"/>
      <c r="C28" s="24"/>
      <c r="D28" s="22"/>
      <c r="E28" s="22" t="s">
        <v>253</v>
      </c>
      <c r="F28" s="28"/>
      <c r="G28" s="28"/>
      <c r="H28" s="541"/>
      <c r="I28" s="9"/>
      <c r="J28" s="545"/>
      <c r="K28" s="9"/>
      <c r="L28" s="545"/>
      <c r="M28" s="545"/>
      <c r="N28" s="22"/>
      <c r="O28" s="22"/>
      <c r="P28" s="9"/>
      <c r="Q28" s="29"/>
      <c r="R28" s="29"/>
      <c r="S28" s="29"/>
      <c r="T28" s="29"/>
      <c r="U28" s="29"/>
      <c r="V28" s="29"/>
      <c r="W28" s="29"/>
    </row>
    <row r="29" spans="2:23">
      <c r="B29" s="516" t="s">
        <v>1380</v>
      </c>
      <c r="C29" s="517" t="str">
        <f>E28</f>
        <v>ICHBTX</v>
      </c>
      <c r="D29" s="517"/>
      <c r="E29" s="517"/>
      <c r="F29" s="580">
        <f ca="1">SUM(F18:F28)</f>
        <v>8.3807759677451159</v>
      </c>
      <c r="G29" s="580">
        <f ca="1">SUM(G18:G28)</f>
        <v>6.7120034071720553</v>
      </c>
      <c r="H29" s="580">
        <f ca="1">VLOOKUP($E28&amp;"000",Drivers!$E$58:$H$79,4,FALSE)</f>
        <v>0.1470176811051081</v>
      </c>
      <c r="I29" s="580">
        <f ca="1">VLOOKUP($E28&amp;"000",Driver2!$E$58:$H$79,4,FALSE)</f>
        <v>0.14319767101260772</v>
      </c>
      <c r="J29" s="580">
        <f ca="1">F29/(H29+Tiny)</f>
        <v>57.005224458330154</v>
      </c>
      <c r="K29" s="580">
        <f ca="1">G29/(I29+Tiny)</f>
        <v>46.872294170963215</v>
      </c>
      <c r="L29" s="518"/>
      <c r="M29" s="518"/>
      <c r="N29" s="517"/>
      <c r="O29" s="517" t="s">
        <v>784</v>
      </c>
      <c r="P29" s="517"/>
      <c r="Q29" s="517"/>
      <c r="R29" s="517"/>
      <c r="S29" s="517"/>
      <c r="T29" s="517"/>
      <c r="U29" s="517"/>
      <c r="V29" s="517"/>
      <c r="W29" s="517"/>
    </row>
    <row r="30" spans="2:23">
      <c r="B30" s="35" t="s">
        <v>358</v>
      </c>
      <c r="C30" s="23" t="s">
        <v>327</v>
      </c>
      <c r="D30" s="9" t="s">
        <v>84</v>
      </c>
      <c r="E30" s="9"/>
      <c r="F30" s="21">
        <f ca="1">VLOOKUP($B30,Calibration!$B$172:$T$206,2,FALSE)</f>
        <v>0.28912979780993525</v>
      </c>
      <c r="G30" s="21">
        <f ca="1">VLOOKUP($B30,Calibrati2!$B$172:$T$206,2,FALSE)</f>
        <v>0.13518787028154591</v>
      </c>
      <c r="H30" s="62">
        <f t="shared" ref="H30:I36" si="3">IF($H$38=0,0,F30/$H$38)</f>
        <v>3.960527150932541</v>
      </c>
      <c r="I30" s="62">
        <f t="shared" si="3"/>
        <v>1.8518161558663486</v>
      </c>
      <c r="J30" s="542">
        <f>H38</f>
        <v>7.3002857142857133E-2</v>
      </c>
      <c r="K30" s="542">
        <f>I38</f>
        <v>9.4903714285714286E-2</v>
      </c>
      <c r="L30" s="542">
        <v>0</v>
      </c>
      <c r="M30" s="17">
        <v>1</v>
      </c>
      <c r="N30" s="12">
        <v>1</v>
      </c>
      <c r="O30" s="12">
        <v>30</v>
      </c>
      <c r="P30" s="9"/>
      <c r="Q30" s="31">
        <v>0.9</v>
      </c>
      <c r="R30" s="31">
        <v>0.2</v>
      </c>
      <c r="S30" s="31"/>
      <c r="T30" s="31"/>
      <c r="U30" s="31"/>
      <c r="V30" s="31"/>
      <c r="W30" s="31"/>
    </row>
    <row r="31" spans="2:23">
      <c r="B31" s="9"/>
      <c r="C31" s="23"/>
      <c r="D31" s="9" t="s">
        <v>906</v>
      </c>
      <c r="E31" s="9"/>
      <c r="F31" s="21">
        <f ca="1">VLOOKUP($B$30,Calibration!$B$172:$T$206,HLOOKUP($D31,Calibration!$C$3:$T$4,2,FALSE),FALSE)</f>
        <v>8.4066094781685211E-2</v>
      </c>
      <c r="G31" s="21">
        <f ca="1">VLOOKUP($B$30,Calibrati2!$B$172:$T$206,HLOOKUP($D31,Calibrati2!$C$3:$T$4,2,FALSE),FALSE)</f>
        <v>0.11152934532003475</v>
      </c>
      <c r="H31" s="62">
        <f t="shared" si="3"/>
        <v>1.1515452692102004</v>
      </c>
      <c r="I31" s="62">
        <f t="shared" si="3"/>
        <v>1.5277394568514802</v>
      </c>
      <c r="J31" s="542"/>
      <c r="K31" s="9"/>
      <c r="L31" s="542"/>
      <c r="M31" s="542"/>
      <c r="N31" s="9"/>
      <c r="O31" s="9"/>
      <c r="P31" s="9"/>
      <c r="Q31" s="31"/>
      <c r="R31" s="31"/>
      <c r="S31" s="31"/>
      <c r="T31" s="31"/>
      <c r="U31" s="31"/>
      <c r="V31" s="31"/>
      <c r="W31" s="31"/>
    </row>
    <row r="32" spans="2:23">
      <c r="B32" s="9"/>
      <c r="C32" s="23"/>
      <c r="D32" s="9" t="s">
        <v>909</v>
      </c>
      <c r="E32" s="9"/>
      <c r="F32" s="21">
        <f ca="1">VLOOKUP($B$30,Calibration!$B$172:$T$206,HLOOKUP($D32,Calibration!$C$3:$T$4,2,FALSE),FALSE)</f>
        <v>0</v>
      </c>
      <c r="G32" s="21">
        <f ca="1">VLOOKUP($B$30,Calibrati2!$B$172:$T$206,HLOOKUP($D32,Calibrati2!$C$3:$T$4,2,FALSE),FALSE)</f>
        <v>0</v>
      </c>
      <c r="H32" s="62">
        <f t="shared" si="3"/>
        <v>0</v>
      </c>
      <c r="I32" s="62">
        <f t="shared" si="3"/>
        <v>0</v>
      </c>
      <c r="J32" s="542"/>
      <c r="K32" s="9"/>
      <c r="L32" s="542"/>
      <c r="M32" s="542"/>
      <c r="N32" s="9"/>
      <c r="O32" s="9"/>
      <c r="P32" s="9"/>
      <c r="Q32" s="31"/>
      <c r="R32" s="31"/>
      <c r="S32" s="31"/>
      <c r="T32" s="427">
        <v>3</v>
      </c>
      <c r="U32" s="31"/>
      <c r="V32" s="31"/>
      <c r="W32" s="31"/>
    </row>
    <row r="33" spans="1:23">
      <c r="B33" s="9"/>
      <c r="C33" s="23"/>
      <c r="D33" s="9" t="s">
        <v>915</v>
      </c>
      <c r="E33" s="9"/>
      <c r="F33" s="21">
        <f ca="1">VLOOKUP($B$30,Calibration!$B$172:$T$206,HLOOKUP($D33,Calibration!$C$3:$T$4,2,FALSE),FALSE)</f>
        <v>0</v>
      </c>
      <c r="G33" s="21">
        <f ca="1">VLOOKUP($B$30,Calibrati2!$B$172:$T$206,HLOOKUP($D33,Calibrati2!$C$3:$T$4,2,FALSE),FALSE)</f>
        <v>0.37954568051143767</v>
      </c>
      <c r="H33" s="62">
        <f t="shared" si="3"/>
        <v>0</v>
      </c>
      <c r="I33" s="62">
        <f t="shared" si="3"/>
        <v>5.1990524119996557</v>
      </c>
      <c r="J33" s="542"/>
      <c r="K33" s="9"/>
      <c r="L33" s="542"/>
      <c r="M33" s="542"/>
      <c r="N33" s="9"/>
      <c r="O33" s="9"/>
      <c r="P33" s="9"/>
      <c r="Q33" s="31"/>
      <c r="R33" s="31"/>
      <c r="S33" s="31"/>
      <c r="T33" s="427">
        <v>3</v>
      </c>
      <c r="U33" s="31"/>
      <c r="V33" s="31"/>
      <c r="W33" s="31"/>
    </row>
    <row r="34" spans="1:23">
      <c r="B34" s="9"/>
      <c r="C34" s="50"/>
      <c r="D34" s="23" t="s">
        <v>960</v>
      </c>
      <c r="E34" s="9"/>
      <c r="F34" s="21">
        <f ca="1">INDEX(Calibration!$AL$251:$AL$255,MATCH($B30,Calibration!$B$251:$B$255,0))</f>
        <v>1.865901112877097</v>
      </c>
      <c r="G34" s="21">
        <f ca="1">INDEX(Calibrati2!$AL$251:$AL$255,MATCH($B30,Calibrati2!$B$251:$B$255,0))</f>
        <v>1.6891841809343286</v>
      </c>
      <c r="H34" s="62">
        <f t="shared" si="3"/>
        <v>25.559288853938558</v>
      </c>
      <c r="I34" s="62">
        <f t="shared" si="3"/>
        <v>23.138603707370166</v>
      </c>
      <c r="J34" s="542"/>
      <c r="K34" s="9"/>
      <c r="L34" s="542"/>
      <c r="M34" s="542"/>
      <c r="N34" s="9"/>
      <c r="O34" s="9"/>
      <c r="P34" s="9"/>
      <c r="Q34" s="31"/>
      <c r="R34" s="31"/>
      <c r="S34" s="31"/>
      <c r="T34" s="319"/>
      <c r="U34" s="319"/>
      <c r="V34" s="319"/>
      <c r="W34" s="319"/>
    </row>
    <row r="35" spans="1:23">
      <c r="B35" s="9"/>
      <c r="C35" s="23"/>
      <c r="D35" s="9" t="s">
        <v>570</v>
      </c>
      <c r="E35" s="9"/>
      <c r="F35" s="21">
        <f ca="1">VLOOKUP($B$30,Drivers!$T$58:$V$76,3,FALSE)*VLOOKUP($D35,Calibration!$A$220:$U$224,21,0)</f>
        <v>0.57046019969678641</v>
      </c>
      <c r="G35" s="21">
        <f ca="1">VLOOKUP($B$30,Driver2!$T$58:$V$76,3,FALSE)*VLOOKUP($D35,Calibrati2!$A$220:$U$224,21,0)</f>
        <v>0.61207616117530339</v>
      </c>
      <c r="H35" s="62">
        <f t="shared" si="3"/>
        <v>7.8142174433045781</v>
      </c>
      <c r="I35" s="62">
        <f t="shared" si="3"/>
        <v>8.3842767958732036</v>
      </c>
      <c r="J35" s="542"/>
      <c r="K35" s="9"/>
      <c r="L35" s="542"/>
      <c r="M35" s="542"/>
      <c r="N35" s="9"/>
      <c r="O35" s="9"/>
      <c r="P35" s="9"/>
      <c r="Q35" s="31"/>
      <c r="R35" s="31"/>
      <c r="S35" s="31"/>
      <c r="T35" s="31"/>
      <c r="U35" s="31"/>
      <c r="V35" s="31"/>
      <c r="W35" s="31"/>
    </row>
    <row r="36" spans="1:23">
      <c r="B36" s="9"/>
      <c r="C36" s="23"/>
      <c r="D36" s="9" t="s">
        <v>572</v>
      </c>
      <c r="E36" s="9"/>
      <c r="F36" s="21">
        <f ca="1">VLOOKUP($B$30,Drivers!$T$58:$V$76,2,FALSE)*VLOOKUP($D36,Calibration!$A$211:$U$215,21,0)</f>
        <v>0.24283890063095709</v>
      </c>
      <c r="G36" s="21">
        <f ca="1">VLOOKUP($B$30,Driver2!$T$58:$V$76,2,FALSE)*VLOOKUP($D36,Calibrati2!$A$211:$U$215,21,0)</f>
        <v>0.32864276464014192</v>
      </c>
      <c r="H36" s="62">
        <f t="shared" si="3"/>
        <v>3.3264300896573515</v>
      </c>
      <c r="I36" s="62">
        <f t="shared" si="3"/>
        <v>4.5017794851101591</v>
      </c>
      <c r="J36" s="542"/>
      <c r="K36" s="9"/>
      <c r="L36" s="542"/>
      <c r="M36" s="542"/>
      <c r="N36" s="9"/>
      <c r="O36" s="9"/>
      <c r="P36" s="9"/>
      <c r="Q36" s="31"/>
      <c r="R36" s="31"/>
      <c r="S36" s="31"/>
      <c r="T36" s="31"/>
      <c r="U36" s="31"/>
      <c r="V36" s="31"/>
      <c r="W36" s="31"/>
    </row>
    <row r="37" spans="1:23" ht="13.5" thickBot="1">
      <c r="A37" s="6"/>
      <c r="B37" s="22"/>
      <c r="C37" s="24"/>
      <c r="D37" s="22"/>
      <c r="E37" s="22" t="s">
        <v>357</v>
      </c>
      <c r="F37" s="28"/>
      <c r="G37" s="28"/>
      <c r="H37" s="541"/>
      <c r="I37" s="9"/>
      <c r="J37" s="545"/>
      <c r="K37" s="9"/>
      <c r="L37" s="545"/>
      <c r="M37" s="545"/>
      <c r="N37" s="22"/>
      <c r="O37" s="22"/>
      <c r="P37" s="9"/>
      <c r="Q37" s="29"/>
      <c r="R37" s="29"/>
      <c r="S37" s="29"/>
      <c r="T37" s="29"/>
      <c r="U37" s="29"/>
      <c r="V37" s="29"/>
      <c r="W37" s="29"/>
    </row>
    <row r="38" spans="1:23">
      <c r="B38" s="516" t="s">
        <v>1380</v>
      </c>
      <c r="C38" s="517" t="str">
        <f>E37</f>
        <v>ICHAMM</v>
      </c>
      <c r="D38" s="517"/>
      <c r="E38" s="517"/>
      <c r="F38" s="580">
        <f ca="1">SUM(F30:F36)</f>
        <v>3.0523961057964613</v>
      </c>
      <c r="G38" s="580">
        <f ca="1">SUM(G30:G36)</f>
        <v>3.2561660028627921</v>
      </c>
      <c r="H38" s="580">
        <f ca="1">VLOOKUP($E37&amp;"000",Drivers!$E$58:$H$79,4,FALSE)</f>
        <v>7.3002857142857133E-2</v>
      </c>
      <c r="I38" s="580">
        <f ca="1">VLOOKUP($E37&amp;"000",Driver2!$E$58:$H$79,4,FALSE)</f>
        <v>9.4903714285714286E-2</v>
      </c>
      <c r="J38" s="580">
        <f ca="1">F38/(H38+Tiny)</f>
        <v>41.812008234298411</v>
      </c>
      <c r="K38" s="580">
        <f ca="1">G38/(I38+Tiny)</f>
        <v>34.310205802374291</v>
      </c>
      <c r="L38" s="518"/>
      <c r="M38" s="518"/>
      <c r="N38" s="517"/>
      <c r="O38" s="517" t="s">
        <v>784</v>
      </c>
      <c r="P38" s="517"/>
      <c r="Q38" s="517"/>
      <c r="R38" s="517"/>
      <c r="S38" s="517"/>
      <c r="T38" s="517"/>
      <c r="U38" s="517"/>
      <c r="V38" s="517"/>
      <c r="W38" s="517"/>
    </row>
    <row r="39" spans="1:23">
      <c r="B39" s="35" t="s">
        <v>356</v>
      </c>
      <c r="C39" s="23" t="s">
        <v>355</v>
      </c>
      <c r="D39" s="9" t="s">
        <v>84</v>
      </c>
      <c r="E39" s="9"/>
      <c r="F39" s="21">
        <f ca="1">VLOOKUP($B39,Calibration!$B$172:$T$206,2,FALSE)</f>
        <v>0</v>
      </c>
      <c r="G39" s="21">
        <f ca="1">VLOOKUP($B39,Calibrati2!$B$172:$T$206,2,FALSE)</f>
        <v>0</v>
      </c>
      <c r="H39" s="62">
        <f t="shared" ref="H39:I44" si="4">IF($H$46=0,0,F39/$H$46)</f>
        <v>0</v>
      </c>
      <c r="I39" s="62">
        <f t="shared" si="4"/>
        <v>0</v>
      </c>
      <c r="J39" s="542">
        <f>H46</f>
        <v>0</v>
      </c>
      <c r="K39" s="542">
        <f>I46</f>
        <v>0</v>
      </c>
      <c r="L39" s="542">
        <v>0</v>
      </c>
      <c r="M39" s="17">
        <v>1</v>
      </c>
      <c r="N39" s="12">
        <v>1</v>
      </c>
      <c r="O39" s="12">
        <v>30</v>
      </c>
      <c r="P39" s="9"/>
      <c r="Q39" s="31"/>
      <c r="R39" s="31"/>
      <c r="S39" s="31"/>
      <c r="T39" s="31"/>
      <c r="U39" s="31"/>
      <c r="V39" s="31"/>
      <c r="W39" s="31"/>
    </row>
    <row r="40" spans="1:23">
      <c r="B40" s="9"/>
      <c r="C40" s="23"/>
      <c r="D40" s="9" t="s">
        <v>906</v>
      </c>
      <c r="E40" s="9"/>
      <c r="F40" s="21">
        <f ca="1">VLOOKUP($B$39,Calibration!$B$172:$T$206,HLOOKUP($D40,Calibration!$C$3:$T$4,2,FALSE),FALSE)</f>
        <v>0</v>
      </c>
      <c r="G40" s="21">
        <f ca="1">VLOOKUP($B$39,Calibrati2!$B$172:$T$206,HLOOKUP($D40,Calibrati2!$C$3:$T$4,2,FALSE),FALSE)</f>
        <v>0</v>
      </c>
      <c r="H40" s="62">
        <f t="shared" si="4"/>
        <v>0</v>
      </c>
      <c r="I40" s="62">
        <f t="shared" si="4"/>
        <v>0</v>
      </c>
      <c r="J40" s="542"/>
      <c r="K40" s="9"/>
      <c r="L40" s="542"/>
      <c r="M40" s="542"/>
      <c r="N40" s="9"/>
      <c r="O40" s="9"/>
      <c r="P40" s="9"/>
      <c r="Q40" s="31"/>
      <c r="R40" s="31"/>
      <c r="S40" s="31"/>
      <c r="T40" s="31"/>
      <c r="U40" s="31"/>
      <c r="V40" s="31"/>
      <c r="W40" s="31"/>
    </row>
    <row r="41" spans="1:23">
      <c r="B41" s="9"/>
      <c r="C41" s="23"/>
      <c r="D41" s="9" t="s">
        <v>909</v>
      </c>
      <c r="E41" s="9"/>
      <c r="F41" s="21">
        <f ca="1">VLOOKUP($B$39,Calibration!$B$172:$T$206,HLOOKUP($D41,Calibration!$C$3:$T$4,2,FALSE),FALSE)</f>
        <v>0</v>
      </c>
      <c r="G41" s="21">
        <f ca="1">VLOOKUP($B$39,Calibrati2!$B$172:$T$206,HLOOKUP($D41,Calibrati2!$C$3:$T$4,2,FALSE),FALSE)</f>
        <v>0</v>
      </c>
      <c r="H41" s="62">
        <f t="shared" si="4"/>
        <v>0</v>
      </c>
      <c r="I41" s="62">
        <f t="shared" si="4"/>
        <v>0</v>
      </c>
      <c r="J41" s="542"/>
      <c r="K41" s="9"/>
      <c r="L41" s="542"/>
      <c r="M41" s="542"/>
      <c r="N41" s="9"/>
      <c r="O41" s="9"/>
      <c r="P41" s="9"/>
      <c r="Q41" s="31"/>
      <c r="R41" s="31"/>
      <c r="S41" s="31"/>
      <c r="T41" s="427">
        <v>3</v>
      </c>
      <c r="U41" s="31"/>
      <c r="V41" s="31"/>
      <c r="W41" s="31"/>
    </row>
    <row r="42" spans="1:23">
      <c r="B42" s="9"/>
      <c r="C42" s="50"/>
      <c r="D42" s="23" t="s">
        <v>960</v>
      </c>
      <c r="E42" s="9"/>
      <c r="F42" s="21">
        <f ca="1">INDEX(Calibration!$AL$251:$AL$255,MATCH($B39,Calibration!$B$251:$B$255,0))</f>
        <v>0</v>
      </c>
      <c r="G42" s="21">
        <f ca="1">INDEX(Calibrati2!$AL$251:$AL$255,MATCH($B39,Calibrati2!$B$251:$B$255,0))</f>
        <v>0</v>
      </c>
      <c r="H42" s="62">
        <f t="shared" si="4"/>
        <v>0</v>
      </c>
      <c r="I42" s="62">
        <f t="shared" si="4"/>
        <v>0</v>
      </c>
      <c r="J42" s="542"/>
      <c r="K42" s="9"/>
      <c r="L42" s="542"/>
      <c r="M42" s="542"/>
      <c r="N42" s="9"/>
      <c r="O42" s="9"/>
      <c r="P42" s="9"/>
      <c r="Q42" s="31"/>
      <c r="R42" s="31"/>
      <c r="S42" s="31"/>
      <c r="T42" s="319"/>
      <c r="U42" s="319"/>
      <c r="V42" s="319"/>
      <c r="W42" s="319"/>
    </row>
    <row r="43" spans="1:23">
      <c r="B43" s="9"/>
      <c r="C43" s="23"/>
      <c r="D43" s="9" t="s">
        <v>570</v>
      </c>
      <c r="E43" s="9"/>
      <c r="F43" s="21">
        <f ca="1">VLOOKUP($B$39,Drivers!$T$58:$V$76,3,FALSE)*VLOOKUP($D43,Calibration!$A$220:$U$224,21,0)</f>
        <v>0</v>
      </c>
      <c r="G43" s="21">
        <f ca="1">VLOOKUP($B$39,Driver2!$T$58:$V$76,3,FALSE)*VLOOKUP($D43,Calibrati2!$A$220:$U$224,21,0)</f>
        <v>0</v>
      </c>
      <c r="H43" s="62">
        <f t="shared" si="4"/>
        <v>0</v>
      </c>
      <c r="I43" s="62">
        <f t="shared" si="4"/>
        <v>0</v>
      </c>
      <c r="J43" s="542"/>
      <c r="K43" s="9"/>
      <c r="L43" s="542"/>
      <c r="M43" s="542"/>
      <c r="N43" s="9"/>
      <c r="O43" s="9"/>
      <c r="P43" s="9"/>
      <c r="Q43" s="31"/>
      <c r="R43" s="31"/>
      <c r="S43" s="31"/>
      <c r="T43" s="31"/>
      <c r="U43" s="31"/>
      <c r="V43" s="31"/>
      <c r="W43" s="31"/>
    </row>
    <row r="44" spans="1:23">
      <c r="B44" s="9"/>
      <c r="C44" s="23"/>
      <c r="D44" s="9" t="s">
        <v>572</v>
      </c>
      <c r="E44" s="9"/>
      <c r="F44" s="21">
        <f ca="1">VLOOKUP($B$39,Drivers!$T$58:$V$76,2,FALSE)*VLOOKUP($D44,Calibration!$A$211:$U$215,21,0)</f>
        <v>0</v>
      </c>
      <c r="G44" s="21">
        <f ca="1">VLOOKUP($B$39,Driver2!$T$58:$V$76,2,FALSE)*VLOOKUP($D44,Calibrati2!$A$211:$U$215,21,0)</f>
        <v>0</v>
      </c>
      <c r="H44" s="62">
        <f t="shared" si="4"/>
        <v>0</v>
      </c>
      <c r="I44" s="62">
        <f t="shared" si="4"/>
        <v>0</v>
      </c>
      <c r="J44" s="542"/>
      <c r="K44" s="9"/>
      <c r="L44" s="542"/>
      <c r="M44" s="542"/>
      <c r="N44" s="9"/>
      <c r="O44" s="9"/>
      <c r="P44" s="9"/>
      <c r="Q44" s="31"/>
      <c r="R44" s="31"/>
      <c r="S44" s="31"/>
      <c r="T44" s="31"/>
      <c r="U44" s="31"/>
      <c r="V44" s="31"/>
      <c r="W44" s="31"/>
    </row>
    <row r="45" spans="1:23" ht="13.5" thickBot="1">
      <c r="A45" s="6"/>
      <c r="B45" s="22"/>
      <c r="C45" s="24"/>
      <c r="D45" s="22"/>
      <c r="E45" s="22" t="s">
        <v>354</v>
      </c>
      <c r="F45" s="28"/>
      <c r="G45" s="28"/>
      <c r="H45" s="541"/>
      <c r="I45" s="9"/>
      <c r="J45" s="545"/>
      <c r="K45" s="9"/>
      <c r="L45" s="545"/>
      <c r="M45" s="545"/>
      <c r="N45" s="22"/>
      <c r="O45" s="22"/>
      <c r="P45" s="9"/>
      <c r="Q45" s="29"/>
      <c r="R45" s="29"/>
      <c r="S45" s="29"/>
      <c r="T45" s="29"/>
      <c r="U45" s="29"/>
      <c r="V45" s="29"/>
      <c r="W45" s="29"/>
    </row>
    <row r="46" spans="1:23">
      <c r="A46" s="6"/>
      <c r="B46" s="516" t="s">
        <v>1380</v>
      </c>
      <c r="C46" s="517" t="str">
        <f>E45</f>
        <v>ICHMTH</v>
      </c>
      <c r="D46" s="517"/>
      <c r="E46" s="517"/>
      <c r="F46" s="581">
        <f ca="1">SUM(F39:F44)</f>
        <v>0</v>
      </c>
      <c r="G46" s="581">
        <f ca="1">SUM(G39:G44)</f>
        <v>0</v>
      </c>
      <c r="H46" s="581">
        <f ca="1">VLOOKUP($E45&amp;"000",Drivers!$E$58:$H$79,4,FALSE)</f>
        <v>0</v>
      </c>
      <c r="I46" s="581">
        <f ca="1">VLOOKUP($E45&amp;"000",Driver2!$E$58:$H$79,4,FALSE)</f>
        <v>0</v>
      </c>
      <c r="J46" s="581">
        <f ca="1">F46/(H46+Tiny)</f>
        <v>0</v>
      </c>
      <c r="K46" s="581">
        <f ca="1">G46/(I46+Tiny)</f>
        <v>0</v>
      </c>
      <c r="L46" s="518"/>
      <c r="M46" s="518"/>
      <c r="N46" s="517"/>
      <c r="O46" s="517"/>
      <c r="P46" s="517"/>
      <c r="Q46" s="517"/>
      <c r="R46" s="517"/>
      <c r="S46" s="517"/>
      <c r="T46" s="517"/>
      <c r="U46" s="517"/>
      <c r="V46" s="517"/>
      <c r="W46" s="517"/>
    </row>
    <row r="47" spans="1:23">
      <c r="A47" s="6"/>
      <c r="B47" s="35" t="s">
        <v>541</v>
      </c>
      <c r="C47" s="23" t="s">
        <v>437</v>
      </c>
      <c r="D47" s="9" t="s">
        <v>84</v>
      </c>
      <c r="E47" s="52"/>
      <c r="F47" s="21">
        <f ca="1">VLOOKUP($B47,Calibration!$B$172:$T$206,2,FALSE)</f>
        <v>0.81155840942978485</v>
      </c>
      <c r="G47" s="21">
        <f ca="1">VLOOKUP($B47,Calibrati2!$B$172:$T$206,2,FALSE)</f>
        <v>0.9249024418938786</v>
      </c>
      <c r="H47" s="62">
        <f t="shared" ref="H47:I49" si="5">IF(H$52=0,0,F47/H$52)</f>
        <v>9.0173156603309437</v>
      </c>
      <c r="I47" s="62">
        <f t="shared" si="5"/>
        <v>10.276693798820874</v>
      </c>
      <c r="J47" s="542">
        <f>H52</f>
        <v>0.09</v>
      </c>
      <c r="K47" s="542">
        <f>I52</f>
        <v>0.09</v>
      </c>
      <c r="L47" s="543">
        <v>0</v>
      </c>
      <c r="M47" s="17">
        <v>1</v>
      </c>
      <c r="N47" s="12">
        <v>1</v>
      </c>
      <c r="O47" s="12">
        <v>30</v>
      </c>
      <c r="P47" s="9"/>
      <c r="Q47" s="55"/>
      <c r="R47" s="55"/>
      <c r="S47" s="55"/>
      <c r="T47" s="55"/>
      <c r="U47" s="55"/>
      <c r="V47" s="55"/>
      <c r="W47" s="55"/>
    </row>
    <row r="48" spans="1:23">
      <c r="A48" s="6"/>
      <c r="B48" s="35"/>
      <c r="C48" s="23"/>
      <c r="D48" s="9" t="s">
        <v>570</v>
      </c>
      <c r="E48" s="52"/>
      <c r="F48" s="21">
        <f ca="1">VLOOKUP($B$47,Drivers!$T$58:$V$76,3,FALSE)*VLOOKUP($D48,Calibration!$A$220:$U$224,21,0)</f>
        <v>0.11634317381123686</v>
      </c>
      <c r="G48" s="21">
        <f ca="1">VLOOKUP($B$47,Driver2!$T$58:$V$76,3,FALSE)*VLOOKUP($D48,Calibrati2!$A$220:$U$224,21,0)</f>
        <v>9.6023530642026123E-2</v>
      </c>
      <c r="H48" s="62">
        <f t="shared" si="5"/>
        <v>1.2927019312359651</v>
      </c>
      <c r="I48" s="62">
        <f t="shared" si="5"/>
        <v>1.0669281182447348</v>
      </c>
      <c r="J48" s="543"/>
      <c r="K48" s="9"/>
      <c r="L48" s="543"/>
      <c r="M48" s="543"/>
      <c r="N48" s="52"/>
      <c r="O48" s="52"/>
      <c r="P48" s="9"/>
      <c r="Q48" s="55"/>
      <c r="R48" s="55"/>
      <c r="S48" s="55"/>
      <c r="T48" s="55"/>
      <c r="U48" s="55"/>
      <c r="V48" s="55"/>
      <c r="W48" s="55"/>
    </row>
    <row r="49" spans="1:23">
      <c r="A49" s="6"/>
      <c r="B49" s="52"/>
      <c r="C49" s="50"/>
      <c r="D49" s="9" t="s">
        <v>572</v>
      </c>
      <c r="E49" s="52"/>
      <c r="F49" s="21">
        <f ca="1">VLOOKUP($B$47,Drivers!$T$58:$V$76,2,FALSE)*VLOOKUP($D49,Calibration!$A$211:$U$215,21,0)</f>
        <v>6.8299325034789624E-2</v>
      </c>
      <c r="G49" s="21">
        <f ca="1">VLOOKUP($B$47,Driver2!$T$58:$V$76,2,FALSE)*VLOOKUP($D49,Calibrati2!$A$211:$U$215,21,0)</f>
        <v>7.1101518629993601E-2</v>
      </c>
      <c r="H49" s="62">
        <f t="shared" si="5"/>
        <v>0.75888138927544024</v>
      </c>
      <c r="I49" s="62">
        <f t="shared" si="5"/>
        <v>0.79001687366659556</v>
      </c>
      <c r="J49" s="543"/>
      <c r="K49" s="9"/>
      <c r="L49" s="543"/>
      <c r="M49" s="543"/>
      <c r="N49" s="52"/>
      <c r="O49" s="52"/>
      <c r="P49" s="9"/>
      <c r="Q49" s="55"/>
      <c r="R49" s="55"/>
      <c r="S49" s="55"/>
      <c r="T49" s="55"/>
      <c r="U49" s="55"/>
      <c r="V49" s="55"/>
      <c r="W49" s="55"/>
    </row>
    <row r="50" spans="1:23">
      <c r="A50" s="6"/>
      <c r="B50" s="52"/>
      <c r="C50" s="50"/>
      <c r="D50" s="23" t="s">
        <v>395</v>
      </c>
      <c r="E50" s="52"/>
      <c r="F50" s="21"/>
      <c r="G50" s="21"/>
      <c r="H50" s="62">
        <f ca="1">Tiny</f>
        <v>1.0000000000000001E-9</v>
      </c>
      <c r="I50" s="62">
        <f ca="1">Tiny</f>
        <v>1.0000000000000001E-9</v>
      </c>
      <c r="J50" s="543"/>
      <c r="K50" s="9"/>
      <c r="L50" s="543"/>
      <c r="M50" s="543"/>
      <c r="N50" s="52"/>
      <c r="O50" s="52"/>
      <c r="P50" s="9"/>
      <c r="Q50" s="55"/>
      <c r="R50" s="55"/>
      <c r="S50" s="55"/>
      <c r="T50" s="55"/>
      <c r="U50" s="55"/>
      <c r="V50" s="55"/>
      <c r="W50" s="55"/>
    </row>
    <row r="51" spans="1:23" ht="13.5" thickBot="1">
      <c r="A51" s="6"/>
      <c r="B51" s="52"/>
      <c r="C51" s="50"/>
      <c r="D51" s="52"/>
      <c r="E51" s="22" t="s">
        <v>540</v>
      </c>
      <c r="F51" s="53"/>
      <c r="G51" s="53"/>
      <c r="H51" s="544"/>
      <c r="I51" s="9"/>
      <c r="J51" s="543"/>
      <c r="K51" s="9"/>
      <c r="L51" s="543"/>
      <c r="M51" s="543"/>
      <c r="N51" s="52"/>
      <c r="O51" s="52"/>
      <c r="P51" s="9"/>
      <c r="Q51" s="55"/>
      <c r="R51" s="55"/>
      <c r="S51" s="55"/>
      <c r="T51" s="55"/>
      <c r="U51" s="55"/>
      <c r="V51" s="55"/>
      <c r="W51" s="55"/>
    </row>
    <row r="52" spans="1:23">
      <c r="A52" s="6"/>
      <c r="B52" s="516" t="s">
        <v>1380</v>
      </c>
      <c r="C52" s="517" t="str">
        <f>E51</f>
        <v>ICHCHL</v>
      </c>
      <c r="D52" s="517"/>
      <c r="E52" s="517"/>
      <c r="F52" s="580">
        <f ca="1">SUM(F47:F49)</f>
        <v>0.99620090827581131</v>
      </c>
      <c r="G52" s="580">
        <f ca="1">SUM(G47:G49)</f>
        <v>1.0920274911658985</v>
      </c>
      <c r="H52" s="580">
        <f ca="1">VLOOKUP($E51&amp;"000",Drivers!$E$58:$H$79,4,FALSE)</f>
        <v>0.09</v>
      </c>
      <c r="I52" s="580">
        <f ca="1">VLOOKUP($E51&amp;"000",Driver2!$E$58:$H$79,4,FALSE)</f>
        <v>0.09</v>
      </c>
      <c r="J52" s="517"/>
      <c r="K52" s="517"/>
      <c r="L52" s="518"/>
      <c r="M52" s="518"/>
      <c r="N52" s="517"/>
      <c r="O52" s="517"/>
      <c r="P52" s="517"/>
      <c r="Q52" s="517"/>
      <c r="R52" s="517"/>
      <c r="S52" s="517"/>
      <c r="T52" s="517"/>
      <c r="U52" s="517"/>
      <c r="V52" s="517"/>
      <c r="W52" s="517"/>
    </row>
    <row r="53" spans="1:23">
      <c r="A53" s="6"/>
      <c r="B53" s="35" t="s">
        <v>536</v>
      </c>
      <c r="C53" s="50" t="s">
        <v>537</v>
      </c>
      <c r="D53" s="9" t="s">
        <v>84</v>
      </c>
      <c r="E53" s="52"/>
      <c r="F53" s="21">
        <f ca="1">VLOOKUP($B53,Calibration!$B$172:$T$206,2,FALSE)*Drivers!$S$4</f>
        <v>2.5486560315268134</v>
      </c>
      <c r="G53" s="21">
        <f ca="1">VLOOKUP($B53,Calibrati2!$B$172:$T$206,2,FALSE)*Driver2!$S$4</f>
        <v>3.1172790734226123</v>
      </c>
      <c r="H53" s="62">
        <f t="shared" ref="H53:I57" si="6">F53/H$59</f>
        <v>3.3242660179006553</v>
      </c>
      <c r="I53" s="62">
        <f t="shared" si="6"/>
        <v>4.1111573736116105</v>
      </c>
      <c r="J53" s="55"/>
      <c r="K53" s="55"/>
      <c r="L53" s="55"/>
      <c r="M53" s="55"/>
      <c r="N53" s="55"/>
      <c r="O53" s="55"/>
      <c r="P53" s="9"/>
      <c r="Q53" s="55"/>
      <c r="R53" s="55"/>
      <c r="S53" s="55"/>
      <c r="T53" s="363">
        <v>2017</v>
      </c>
      <c r="U53" s="363"/>
      <c r="V53" s="363"/>
      <c r="W53" s="363"/>
    </row>
    <row r="54" spans="1:23">
      <c r="A54" s="6"/>
      <c r="B54" s="35"/>
      <c r="C54" s="50"/>
      <c r="D54" s="23" t="s">
        <v>960</v>
      </c>
      <c r="E54" s="52"/>
      <c r="F54" s="21">
        <f ca="1">INDEX(Calibration!$AL$251:$AL$255,MATCH($B53,Calibration!$B$251:$B$255,0))</f>
        <v>1.9686451392006572</v>
      </c>
      <c r="G54" s="21">
        <f ca="1">INDEX(Calibrati2!$AL$251:$AL$255,MATCH($B53,Calibrati2!$B$251:$B$255,0))</f>
        <v>18.328829866688384</v>
      </c>
      <c r="H54" s="62">
        <f t="shared" si="6"/>
        <v>2.5677455319969487</v>
      </c>
      <c r="I54" s="62">
        <f t="shared" si="6"/>
        <v>24.172588427694176</v>
      </c>
      <c r="J54" s="55"/>
      <c r="K54" s="55"/>
      <c r="L54" s="55"/>
      <c r="M54" s="55"/>
      <c r="N54" s="55"/>
      <c r="O54" s="55"/>
      <c r="P54" s="9"/>
      <c r="Q54" s="55"/>
      <c r="R54" s="55"/>
      <c r="S54" s="55"/>
      <c r="T54" s="363">
        <v>2017</v>
      </c>
      <c r="U54" s="363"/>
      <c r="V54" s="363"/>
      <c r="W54" s="363"/>
    </row>
    <row r="55" spans="1:23">
      <c r="A55" s="6"/>
      <c r="B55" s="52"/>
      <c r="C55" s="50"/>
      <c r="D55" s="9" t="s">
        <v>570</v>
      </c>
      <c r="E55" s="52"/>
      <c r="F55" s="21">
        <f ca="1">VLOOKUP($B$53,Drivers!$T$58:$V$77,3,FALSE)*VLOOKUP($D55,Calibration!$A$220:$U$224,21,0)</f>
        <v>10.666672172412056</v>
      </c>
      <c r="G55" s="21">
        <f ca="1">VLOOKUP($B$53,Driver2!$T$58:$V$77,3,FALSE)*VLOOKUP($D55,Calibrati2!$A$220:$U$224,21,0)</f>
        <v>10.449686084085021</v>
      </c>
      <c r="H55" s="62">
        <f t="shared" si="6"/>
        <v>13.912766331827743</v>
      </c>
      <c r="I55" s="62">
        <f t="shared" si="6"/>
        <v>13.781346804264325</v>
      </c>
      <c r="J55" s="55"/>
      <c r="K55" s="55"/>
      <c r="L55" s="55"/>
      <c r="M55" s="55"/>
      <c r="N55" s="55"/>
      <c r="O55" s="55"/>
      <c r="P55" s="9"/>
      <c r="Q55" s="55"/>
      <c r="R55" s="55"/>
      <c r="S55" s="55"/>
      <c r="T55" s="363">
        <v>2017</v>
      </c>
      <c r="U55" s="363"/>
      <c r="V55" s="363"/>
      <c r="W55" s="363"/>
    </row>
    <row r="56" spans="1:23">
      <c r="A56" s="6"/>
      <c r="B56" s="52"/>
      <c r="C56" s="50"/>
      <c r="D56" s="9" t="s">
        <v>572</v>
      </c>
      <c r="E56" s="52"/>
      <c r="F56" s="21">
        <f ca="1">VLOOKUP($B$53,Drivers!$T$58:$V$77,2,FALSE)*VLOOKUP($D56,Calibration!$A$211:$U$215,21,0)</f>
        <v>8.9211191017454539</v>
      </c>
      <c r="G56" s="21">
        <f ca="1">VLOOKUP($B$53,Driver2!$T$58:$V$77,2,FALSE)*VLOOKUP($D56,Calibrati2!$A$211:$U$215,21,0)</f>
        <v>8.8333111517907792</v>
      </c>
      <c r="H56" s="62">
        <f t="shared" si="6"/>
        <v>11.636004507760438</v>
      </c>
      <c r="I56" s="62">
        <f t="shared" si="6"/>
        <v>11.649625015837348</v>
      </c>
      <c r="J56" s="55"/>
      <c r="K56" s="55"/>
      <c r="L56" s="55"/>
      <c r="M56" s="55"/>
      <c r="N56" s="55"/>
      <c r="O56" s="55"/>
      <c r="P56" s="9"/>
      <c r="Q56" s="55"/>
      <c r="R56" s="55"/>
      <c r="S56" s="55"/>
      <c r="T56" s="363">
        <v>2017</v>
      </c>
      <c r="U56" s="363"/>
      <c r="V56" s="363"/>
      <c r="W56" s="363"/>
    </row>
    <row r="57" spans="1:23">
      <c r="A57" s="6"/>
      <c r="B57" s="52"/>
      <c r="C57" s="50"/>
      <c r="D57" s="9" t="s">
        <v>576</v>
      </c>
      <c r="E57" s="52"/>
      <c r="F57" s="21">
        <f ca="1">IOCH!J$16</f>
        <v>6.1032015463681963</v>
      </c>
      <c r="G57" s="21">
        <f ca="1">IOCH!K$16</f>
        <v>7.1253390022184799</v>
      </c>
      <c r="H57" s="62">
        <f t="shared" si="6"/>
        <v>7.9605349839367197</v>
      </c>
      <c r="I57" s="62">
        <f t="shared" si="6"/>
        <v>9.397102180617491</v>
      </c>
      <c r="J57" s="55"/>
      <c r="K57" s="55"/>
      <c r="L57" s="55"/>
      <c r="M57" s="55"/>
      <c r="N57" s="55"/>
      <c r="O57" s="55"/>
      <c r="P57" s="9"/>
      <c r="Q57" s="55"/>
      <c r="R57" s="55"/>
      <c r="S57" s="55"/>
      <c r="T57" s="363">
        <v>2017</v>
      </c>
      <c r="U57" s="363"/>
      <c r="V57" s="363"/>
      <c r="W57" s="363"/>
    </row>
    <row r="58" spans="1:23" ht="13.5" thickBot="1">
      <c r="A58" s="6"/>
      <c r="B58" s="52"/>
      <c r="C58" s="50"/>
      <c r="D58" s="52"/>
      <c r="E58" s="52" t="s">
        <v>535</v>
      </c>
      <c r="F58" s="53"/>
      <c r="G58" s="53"/>
      <c r="H58" s="544"/>
      <c r="I58" s="9"/>
      <c r="J58" s="55"/>
      <c r="K58" s="55"/>
      <c r="L58" s="55"/>
      <c r="M58" s="55"/>
      <c r="N58" s="55"/>
      <c r="O58" s="55"/>
      <c r="P58" s="9"/>
      <c r="Q58" s="55"/>
      <c r="R58" s="55"/>
      <c r="S58" s="55"/>
      <c r="T58" s="363"/>
      <c r="U58" s="363"/>
      <c r="V58" s="363"/>
      <c r="W58" s="363"/>
    </row>
    <row r="59" spans="1:23" ht="13.5" thickBot="1">
      <c r="B59" s="516" t="s">
        <v>902</v>
      </c>
      <c r="C59" s="517" t="str">
        <f>E58</f>
        <v>ICHOTH</v>
      </c>
      <c r="D59" s="517"/>
      <c r="E59" s="517"/>
      <c r="F59" s="580">
        <f>SUM(F53:F57)</f>
        <v>30.208293991253178</v>
      </c>
      <c r="G59" s="580">
        <f>SUM(G53:G57)</f>
        <v>47.854445178205282</v>
      </c>
      <c r="H59" s="580">
        <f>MAX(0.1,J59)</f>
        <v>0.76668233462746282</v>
      </c>
      <c r="I59" s="580">
        <f>MAX(0.1,K59)</f>
        <v>0.75824853931196357</v>
      </c>
      <c r="J59" s="580">
        <f>SUMIF($B$6:$B$52,"~*",H$6:H$52)</f>
        <v>0.76668233462746282</v>
      </c>
      <c r="K59" s="580">
        <f>SUMIF($B$6:$B$52,"~*",I$6:I$52)</f>
        <v>0.75824853931196357</v>
      </c>
      <c r="L59" s="518"/>
      <c r="M59" s="518"/>
      <c r="N59" s="517"/>
      <c r="O59" s="517" t="s">
        <v>784</v>
      </c>
      <c r="P59" s="517"/>
      <c r="Q59" s="517"/>
      <c r="R59" s="517"/>
      <c r="S59" s="517"/>
      <c r="T59" s="517"/>
      <c r="U59" s="517"/>
      <c r="V59" s="517"/>
      <c r="W59" s="517"/>
    </row>
    <row r="60" spans="1:23" ht="38.25">
      <c r="B60" s="266" t="s">
        <v>385</v>
      </c>
      <c r="C60" s="58" t="s">
        <v>386</v>
      </c>
      <c r="D60" s="51" t="s">
        <v>1248</v>
      </c>
      <c r="E60" s="51"/>
      <c r="F60" s="53">
        <f>SUMIF($D$5:$D$58,"IECH",F$5:F$58)</f>
        <v>4.1318601201577261</v>
      </c>
      <c r="G60" s="53">
        <f>SUMIF($D$5:$D$58,"IECH",G$5:G$58)</f>
        <v>4.3436408155489783</v>
      </c>
      <c r="H60" s="485">
        <v>1</v>
      </c>
      <c r="I60" s="485">
        <v>1</v>
      </c>
      <c r="J60" s="490"/>
      <c r="K60" s="490"/>
      <c r="L60" s="490"/>
      <c r="M60" s="490">
        <v>1</v>
      </c>
      <c r="N60" s="490">
        <v>1</v>
      </c>
      <c r="O60" s="491">
        <v>30</v>
      </c>
      <c r="P60" s="491">
        <v>100</v>
      </c>
      <c r="Q60" s="31"/>
      <c r="R60" s="31"/>
      <c r="S60" s="31"/>
      <c r="T60" s="31"/>
      <c r="U60" s="31"/>
      <c r="V60" s="31"/>
      <c r="W60" s="31"/>
    </row>
    <row r="61" spans="1:23" ht="13.5" thickBot="1">
      <c r="B61" s="22"/>
      <c r="C61" s="24"/>
      <c r="D61" s="22"/>
      <c r="E61" s="22" t="s">
        <v>84</v>
      </c>
      <c r="F61" s="28"/>
      <c r="G61" s="28"/>
      <c r="H61" s="28"/>
      <c r="I61" s="28"/>
      <c r="J61" s="489"/>
      <c r="K61" s="489"/>
      <c r="L61" s="489"/>
      <c r="M61" s="489"/>
      <c r="N61" s="489"/>
      <c r="O61" s="489"/>
      <c r="P61" s="489"/>
      <c r="Q61" s="29"/>
      <c r="R61" s="29"/>
      <c r="S61" s="29"/>
      <c r="T61" s="29"/>
      <c r="U61" s="29"/>
      <c r="V61" s="29"/>
      <c r="W61" s="29"/>
    </row>
    <row r="63" spans="1:23" ht="18">
      <c r="A63" s="8"/>
      <c r="E63" s="216"/>
    </row>
    <row r="64" spans="1:23" ht="18">
      <c r="A64" s="8"/>
      <c r="B64" s="10"/>
      <c r="C64" s="11"/>
      <c r="E64" s="216"/>
    </row>
    <row r="65" spans="1:25" ht="18">
      <c r="B65" s="86" t="s">
        <v>90</v>
      </c>
      <c r="C65" s="88"/>
      <c r="D65" s="88"/>
      <c r="E65" s="225" t="str">
        <f>"~FI_T: "&amp;Region</f>
        <v>~FI_T: FIN</v>
      </c>
      <c r="F65" s="34"/>
      <c r="G65" s="34" t="s">
        <v>784</v>
      </c>
      <c r="H65" s="34" t="s">
        <v>784</v>
      </c>
      <c r="I65" s="34" t="s">
        <v>784</v>
      </c>
      <c r="J65" s="34"/>
      <c r="V65" s="1"/>
      <c r="W65" s="1"/>
      <c r="X65" s="1"/>
      <c r="Y65" s="1"/>
    </row>
    <row r="66" spans="1:25" ht="26.25" thickBot="1">
      <c r="B66" s="45" t="s">
        <v>649</v>
      </c>
      <c r="C66" s="45" t="s">
        <v>650</v>
      </c>
      <c r="D66" s="45" t="s">
        <v>648</v>
      </c>
      <c r="E66" s="45" t="s">
        <v>651</v>
      </c>
      <c r="F66" s="45" t="s">
        <v>1288</v>
      </c>
      <c r="G66" s="45" t="s">
        <v>848</v>
      </c>
      <c r="H66" s="45" t="s">
        <v>556</v>
      </c>
      <c r="I66" s="45" t="s">
        <v>564</v>
      </c>
      <c r="J66" s="45" t="str">
        <f ca="1">"Input~"&amp;BaseYear</f>
        <v>Input~2010</v>
      </c>
      <c r="K66" s="45" t="str">
        <f ca="1">"Input~"&amp;AuxYear</f>
        <v>Input~2017</v>
      </c>
      <c r="L66" s="45" t="str">
        <f ca="1">"Input~"&amp;BaseYear+20</f>
        <v>Input~2030</v>
      </c>
      <c r="M66" s="45" t="str">
        <f ca="1">"Input~"&amp;BaseYear+30</f>
        <v>Input~2040</v>
      </c>
      <c r="N66" s="45" t="str">
        <f>"Input~"&amp;2050</f>
        <v>Input~2050</v>
      </c>
      <c r="O66" s="45" t="str">
        <f>"Input~"&amp;2100</f>
        <v>Input~2100</v>
      </c>
    </row>
    <row r="67" spans="1:25">
      <c r="B67" s="35" t="s">
        <v>788</v>
      </c>
      <c r="C67" s="23" t="s">
        <v>822</v>
      </c>
      <c r="D67" s="52" t="s">
        <v>359</v>
      </c>
      <c r="E67" s="9"/>
      <c r="F67" s="62">
        <v>1</v>
      </c>
      <c r="G67" s="62">
        <v>1</v>
      </c>
      <c r="H67" s="62">
        <v>5</v>
      </c>
      <c r="I67" s="319">
        <v>2017</v>
      </c>
      <c r="J67" s="31">
        <f>SUMIF($C$5:$C$60,$D67,H$5:H$60)/H$59</f>
        <v>0.59563364871500968</v>
      </c>
      <c r="K67" s="31">
        <f>SUMIF($C$5:$C$60,$D67,I$5:I$60)/I$59</f>
        <v>0.56729044859612665</v>
      </c>
      <c r="L67" s="31"/>
      <c r="M67" s="31"/>
      <c r="N67" s="31"/>
      <c r="O67" s="31"/>
    </row>
    <row r="68" spans="1:25">
      <c r="B68" s="9"/>
      <c r="C68" s="23"/>
      <c r="D68" s="52" t="s">
        <v>253</v>
      </c>
      <c r="E68" s="9"/>
      <c r="F68" s="62"/>
      <c r="G68" s="62"/>
      <c r="H68" s="62"/>
      <c r="I68" s="319">
        <v>2017</v>
      </c>
      <c r="J68" s="31">
        <f>SUMIF($C$5:$C$60,D68,H$5:H$60)/H$59</f>
        <v>0.19175827388346595</v>
      </c>
      <c r="K68" s="31">
        <f>SUMIF($C$5:$C$60,$D68,I$5:I$60)/I$59</f>
        <v>0.18885321050871473</v>
      </c>
      <c r="L68" s="31"/>
      <c r="M68" s="31"/>
      <c r="N68" s="31"/>
      <c r="O68" s="31"/>
    </row>
    <row r="69" spans="1:25">
      <c r="B69" s="9"/>
      <c r="C69" s="23"/>
      <c r="D69" s="52" t="s">
        <v>357</v>
      </c>
      <c r="E69" s="9"/>
      <c r="F69" s="62"/>
      <c r="G69" s="62"/>
      <c r="H69" s="62"/>
      <c r="I69" s="319">
        <v>2017</v>
      </c>
      <c r="J69" s="31">
        <f>SUMIF($C$5:$C$60,D69,H$5:H$60)/H$59</f>
        <v>9.5219172068611455E-2</v>
      </c>
      <c r="K69" s="31">
        <f>SUMIF($C$5:$C$60,$D69,I$5:I$60)/I$59</f>
        <v>0.12516175022484069</v>
      </c>
      <c r="L69" s="31"/>
      <c r="M69" s="31"/>
      <c r="N69" s="31"/>
      <c r="O69" s="31"/>
    </row>
    <row r="70" spans="1:25">
      <c r="B70" s="9"/>
      <c r="C70" s="23"/>
      <c r="D70" s="52" t="s">
        <v>354</v>
      </c>
      <c r="E70" s="9"/>
      <c r="F70" s="62"/>
      <c r="G70" s="62"/>
      <c r="H70" s="62"/>
      <c r="I70" s="319">
        <v>2017</v>
      </c>
      <c r="J70" s="31">
        <f>SUMIF($C$5:$C$60,D70,H$5:H$60)/H$59</f>
        <v>0</v>
      </c>
      <c r="K70" s="31">
        <f>SUMIF($C$5:$C$60,$D70,I$5:I$60)/I$59</f>
        <v>0</v>
      </c>
      <c r="L70" s="31"/>
      <c r="M70" s="31"/>
      <c r="N70" s="31"/>
      <c r="O70" s="31"/>
    </row>
    <row r="71" spans="1:25">
      <c r="B71" s="9"/>
      <c r="C71" s="23"/>
      <c r="D71" s="52" t="s">
        <v>540</v>
      </c>
      <c r="E71" s="9"/>
      <c r="F71" s="62"/>
      <c r="G71" s="62"/>
      <c r="H71" s="62"/>
      <c r="I71" s="319">
        <v>2017</v>
      </c>
      <c r="J71" s="31">
        <f>SUMIF($C$5:$C$60,D71,H$5:H$60)/H$59</f>
        <v>0.11738890533291305</v>
      </c>
      <c r="K71" s="31">
        <f>SUMIF($C$5:$C$60,$D71,I$5:I$60)/I$59</f>
        <v>0.11869459067031794</v>
      </c>
      <c r="L71" s="31"/>
      <c r="M71" s="31"/>
      <c r="N71" s="31"/>
      <c r="O71" s="31"/>
    </row>
    <row r="72" spans="1:25">
      <c r="B72" s="9"/>
      <c r="C72" s="23"/>
      <c r="D72" s="52" t="s">
        <v>535</v>
      </c>
      <c r="E72" s="9"/>
      <c r="F72" s="62"/>
      <c r="G72" s="62"/>
      <c r="H72" s="62"/>
      <c r="I72" s="319">
        <v>2017</v>
      </c>
      <c r="J72" s="31">
        <f>SUMIF($C$5:$C$60,D72,H$5:H$60)/H$59</f>
        <v>1</v>
      </c>
      <c r="K72" s="31">
        <f>SUMIF($C$5:$C$60,$D72,I$5:I$60)/I$59</f>
        <v>1</v>
      </c>
      <c r="L72" s="31"/>
      <c r="M72" s="31"/>
      <c r="N72" s="31"/>
      <c r="O72" s="31"/>
    </row>
    <row r="73" spans="1:25" ht="13.5" thickBot="1">
      <c r="A73" s="6"/>
      <c r="B73" s="22"/>
      <c r="C73" s="24"/>
      <c r="D73" s="22"/>
      <c r="E73" s="22" t="s">
        <v>787</v>
      </c>
      <c r="F73" s="541"/>
      <c r="G73" s="541"/>
      <c r="H73" s="541"/>
      <c r="I73" s="29"/>
      <c r="J73" s="29"/>
      <c r="K73" s="29"/>
      <c r="L73" s="29"/>
      <c r="M73" s="29"/>
      <c r="N73" s="29"/>
      <c r="O73" s="29"/>
    </row>
    <row r="74" spans="1:25">
      <c r="B74" s="192" t="s">
        <v>902</v>
      </c>
      <c r="C74" s="198"/>
      <c r="D74" s="198"/>
      <c r="E74" s="198"/>
      <c r="F74" s="198"/>
      <c r="G74" s="198"/>
      <c r="H74" s="198"/>
      <c r="I74" s="198"/>
      <c r="J74" s="199">
        <f>SUM(J67:J71)</f>
        <v>1</v>
      </c>
      <c r="K74" s="199">
        <f>SUM(K67:K71)</f>
        <v>1</v>
      </c>
      <c r="L74" s="198"/>
      <c r="M74" s="198"/>
      <c r="N74" s="198"/>
      <c r="O74" s="198"/>
    </row>
    <row r="78" spans="1:25">
      <c r="D78" s="216"/>
    </row>
    <row r="79" spans="1:25" ht="18">
      <c r="B79" s="124" t="s">
        <v>89</v>
      </c>
      <c r="C79" s="125"/>
      <c r="D79" s="225"/>
      <c r="I79" s="2"/>
      <c r="N79" s="2"/>
      <c r="O79" s="2"/>
      <c r="P79" s="2"/>
      <c r="Q79" s="2"/>
      <c r="R79" s="2"/>
      <c r="S79" s="2"/>
      <c r="T79" s="2"/>
    </row>
    <row r="80" spans="1:25" ht="26.25" thickBot="1">
      <c r="B80" s="25" t="s">
        <v>772</v>
      </c>
      <c r="C80" s="25" t="s">
        <v>773</v>
      </c>
      <c r="D80" s="25" t="s">
        <v>778</v>
      </c>
      <c r="E80" s="25" t="s">
        <v>1083</v>
      </c>
      <c r="F80" s="25" t="str">
        <f ca="1">"DEMAND~"&amp;AuxYear</f>
        <v>DEMAND~2017</v>
      </c>
      <c r="G80" s="25"/>
      <c r="H80" s="25"/>
      <c r="I80" s="2"/>
      <c r="N80" s="2"/>
      <c r="O80" s="2"/>
      <c r="P80" s="2"/>
      <c r="Q80" s="2"/>
      <c r="R80" s="2"/>
      <c r="S80" s="2"/>
      <c r="T80" s="2"/>
    </row>
    <row r="81" spans="2:31">
      <c r="B81" s="27" t="s">
        <v>787</v>
      </c>
      <c r="C81" s="27" t="s">
        <v>786</v>
      </c>
      <c r="D81" s="483" t="s">
        <v>783</v>
      </c>
      <c r="E81" s="30">
        <f>H$59</f>
        <v>0.76668233462746282</v>
      </c>
      <c r="F81" s="30">
        <f>I$59</f>
        <v>0.75824853931196357</v>
      </c>
      <c r="G81" s="12"/>
      <c r="H81" s="12"/>
      <c r="I81" s="2"/>
      <c r="N81" s="2"/>
      <c r="O81" s="2"/>
      <c r="P81" s="2"/>
      <c r="Q81" s="2"/>
      <c r="R81" s="2"/>
      <c r="S81" s="2"/>
      <c r="T81" s="2"/>
    </row>
    <row r="92" spans="2:31"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</row>
    <row r="93" spans="2:31"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</row>
    <row r="94" spans="2:31"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45"/>
  <sheetViews>
    <sheetView topLeftCell="B1" zoomScale="75" workbookViewId="0">
      <selection activeCell="B21" sqref="B21"/>
    </sheetView>
  </sheetViews>
  <sheetFormatPr defaultColWidth="8.85546875" defaultRowHeight="12.75"/>
  <cols>
    <col min="1" max="1" width="8.85546875" customWidth="1"/>
    <col min="2" max="2" width="15.42578125" customWidth="1"/>
    <col min="3" max="3" width="24.28515625" customWidth="1"/>
    <col min="4" max="5" width="10.7109375" customWidth="1"/>
  </cols>
  <sheetData>
    <row r="1" spans="1:25">
      <c r="E1" s="216"/>
    </row>
    <row r="2" spans="1:25">
      <c r="E2" s="216"/>
    </row>
    <row r="3" spans="1:25">
      <c r="E3" s="216"/>
    </row>
    <row r="4" spans="1:25" ht="18">
      <c r="A4" s="8"/>
      <c r="B4" s="10"/>
      <c r="C4" s="11"/>
      <c r="E4" s="216"/>
      <c r="H4" t="s">
        <v>784</v>
      </c>
      <c r="Q4" s="12">
        <v>1</v>
      </c>
      <c r="R4" t="s">
        <v>146</v>
      </c>
    </row>
    <row r="5" spans="1:25" ht="18">
      <c r="B5" s="86" t="s">
        <v>11</v>
      </c>
      <c r="C5" s="88"/>
      <c r="D5" s="123"/>
      <c r="E5" s="225" t="str">
        <f>"~FI_T: "&amp;Region</f>
        <v>~FI_T: FIN</v>
      </c>
      <c r="F5" s="1"/>
      <c r="H5" s="1" t="s">
        <v>784</v>
      </c>
      <c r="I5" s="1" t="s">
        <v>784</v>
      </c>
      <c r="J5" s="1" t="s">
        <v>784</v>
      </c>
      <c r="L5" s="1" t="s">
        <v>784</v>
      </c>
      <c r="M5" s="1" t="s">
        <v>784</v>
      </c>
      <c r="P5" s="1"/>
      <c r="Q5" s="1"/>
    </row>
    <row r="6" spans="1:25" ht="39" thickBot="1">
      <c r="B6" s="45" t="s">
        <v>649</v>
      </c>
      <c r="C6" s="45" t="s">
        <v>650</v>
      </c>
      <c r="D6" s="45" t="s">
        <v>648</v>
      </c>
      <c r="E6" s="45" t="s">
        <v>651</v>
      </c>
      <c r="F6" s="64" t="str">
        <f ca="1">CONCATENATE("\I:",IEAData!$D$2," final energy")</f>
        <v>\I:2010 final energy</v>
      </c>
      <c r="G6" s="64" t="str">
        <f ca="1">CONCATENATE("\I:",AuxData!$D$2," final energy")</f>
        <v>\I:2017 final energy</v>
      </c>
      <c r="H6" s="64" t="str">
        <f ca="1">CONCATENATE("\I:",IEAData!$D$2," EFF")</f>
        <v>\I:2010 EFF</v>
      </c>
      <c r="I6" s="64" t="s">
        <v>390</v>
      </c>
      <c r="J6" s="45" t="s">
        <v>388</v>
      </c>
      <c r="K6" s="45" t="str">
        <f ca="1">"INPUT~"&amp;AuxYear</f>
        <v>INPUT~2017</v>
      </c>
      <c r="L6" s="64" t="str">
        <f ca="1">CONCATENATE("\I:",AuxData!$D$2," Service Demand")</f>
        <v>\I:2017 Service Demand</v>
      </c>
      <c r="M6" s="45" t="s">
        <v>1322</v>
      </c>
      <c r="N6" s="45" t="s">
        <v>848</v>
      </c>
      <c r="O6" s="45" t="s">
        <v>872</v>
      </c>
      <c r="P6" s="45" t="s">
        <v>556</v>
      </c>
      <c r="Q6" s="45" t="str">
        <f ca="1">"RESID~"&amp;BaseYear</f>
        <v>RESID~2010</v>
      </c>
      <c r="R6" s="45" t="str">
        <f ca="1">"RESID~"&amp;AuxYear</f>
        <v>RESID~2017</v>
      </c>
      <c r="S6" s="45" t="str">
        <f ca="1">"RESID~"&amp;BaseYear+20</f>
        <v>RESID~2030</v>
      </c>
      <c r="T6" s="45" t="str">
        <f ca="1">"RESID~"&amp;CEILING(AuxYear+24,5)</f>
        <v>RESID~2045</v>
      </c>
      <c r="U6" s="45" t="s">
        <v>52</v>
      </c>
      <c r="V6" s="45" t="s">
        <v>51</v>
      </c>
      <c r="W6" s="45" t="s">
        <v>552</v>
      </c>
      <c r="X6" s="45" t="s">
        <v>499</v>
      </c>
      <c r="Y6" s="126" t="s">
        <v>959</v>
      </c>
    </row>
    <row r="7" spans="1:25" ht="15" customHeight="1">
      <c r="B7" s="264" t="s">
        <v>419</v>
      </c>
      <c r="C7" s="520" t="s">
        <v>420</v>
      </c>
      <c r="D7" s="52" t="str">
        <f ca="1">IEAData!K$38</f>
        <v>INDHFO</v>
      </c>
      <c r="E7" s="52" t="s">
        <v>576</v>
      </c>
      <c r="F7" s="53">
        <f ca="1">HLOOKUP($D7,Calibration!$C$171:$S$206,27,0)</f>
        <v>0.75904542374012618</v>
      </c>
      <c r="G7" s="53">
        <f ca="1">HLOOKUP($D7,Calibrati2!$C$171:$S$206,27,0)</f>
        <v>1.5650586459835898</v>
      </c>
      <c r="H7" s="55">
        <v>0.82</v>
      </c>
      <c r="I7" s="55">
        <v>1</v>
      </c>
      <c r="J7" s="542">
        <f t="shared" ref="J7:J15" si="0">1/H7/I7</f>
        <v>1.2195121951219512</v>
      </c>
      <c r="K7" s="542">
        <f t="shared" ref="K7:K15" si="1">J7/I7</f>
        <v>1.2195121951219512</v>
      </c>
      <c r="L7" s="544">
        <f t="shared" ref="L7:L15" si="2">G7*H7*I7</f>
        <v>1.2833480897065435</v>
      </c>
      <c r="M7" s="542"/>
      <c r="N7" s="57">
        <v>1</v>
      </c>
      <c r="O7" s="49">
        <v>1</v>
      </c>
      <c r="P7" s="12">
        <v>30</v>
      </c>
      <c r="Q7" s="544">
        <f t="shared" ref="Q7:Q15" si="3">F7*H7</f>
        <v>0.62241724746690341</v>
      </c>
      <c r="R7" s="544">
        <f t="shared" ref="R7:R15" si="4">G7*H7*I7</f>
        <v>1.2833480897065435</v>
      </c>
      <c r="S7" s="49"/>
      <c r="T7" s="52">
        <v>0</v>
      </c>
      <c r="U7" s="12"/>
      <c r="V7" s="12"/>
      <c r="W7" s="12"/>
      <c r="X7" s="54"/>
      <c r="Y7" s="127">
        <f t="shared" ref="Y7:Y15" ca="1" si="5">F7/($F$16+Tiny)</f>
        <v>0.10623205299971566</v>
      </c>
    </row>
    <row r="8" spans="1:25" ht="15" customHeight="1">
      <c r="B8" s="264" t="s">
        <v>421</v>
      </c>
      <c r="C8" s="520" t="s">
        <v>422</v>
      </c>
      <c r="D8" s="52" t="str">
        <f ca="1">IEAData!L$38</f>
        <v>INDOIL</v>
      </c>
      <c r="E8" s="52" t="s">
        <v>576</v>
      </c>
      <c r="F8" s="53">
        <f ca="1">HLOOKUP($D8,Calibration!$C$171:$S$206,27,0)</f>
        <v>6.1566376472899344E-2</v>
      </c>
      <c r="G8" s="53">
        <f ca="1">HLOOKUP($D8,Calibrati2!$C$171:$S$206,27,0)</f>
        <v>8.11151327066892E-2</v>
      </c>
      <c r="H8" s="55">
        <v>0.83</v>
      </c>
      <c r="I8" s="55">
        <v>1</v>
      </c>
      <c r="J8" s="542">
        <f t="shared" si="0"/>
        <v>1.2048192771084338</v>
      </c>
      <c r="K8" s="542">
        <f t="shared" si="1"/>
        <v>1.2048192771084338</v>
      </c>
      <c r="L8" s="544">
        <f t="shared" si="2"/>
        <v>6.7325560146552027E-2</v>
      </c>
      <c r="M8" s="542"/>
      <c r="N8" s="57">
        <v>1</v>
      </c>
      <c r="O8" s="49">
        <v>1</v>
      </c>
      <c r="P8" s="12">
        <v>30</v>
      </c>
      <c r="Q8" s="544">
        <f t="shared" si="3"/>
        <v>5.110009247250645E-2</v>
      </c>
      <c r="R8" s="544">
        <f t="shared" si="4"/>
        <v>6.7325560146552027E-2</v>
      </c>
      <c r="S8" s="49"/>
      <c r="T8" s="52">
        <v>0</v>
      </c>
      <c r="U8" s="12"/>
      <c r="V8" s="12"/>
      <c r="W8" s="12"/>
      <c r="X8" s="55"/>
      <c r="Y8" s="127">
        <f t="shared" ca="1" si="5"/>
        <v>8.6165101111375583E-3</v>
      </c>
    </row>
    <row r="9" spans="1:25" ht="15" customHeight="1">
      <c r="B9" s="264" t="s">
        <v>423</v>
      </c>
      <c r="C9" s="520" t="s">
        <v>424</v>
      </c>
      <c r="D9" s="52" t="str">
        <f ca="1">IEAData!C$38</f>
        <v>INDNGA</v>
      </c>
      <c r="E9" s="52" t="s">
        <v>576</v>
      </c>
      <c r="F9" s="53">
        <f ca="1">HLOOKUP($D9,Calibration!$C$171:$S$206,27,0)</f>
        <v>9.5004602375802522E-2</v>
      </c>
      <c r="G9" s="53">
        <f ca="1">HLOOKUP($D9,Calibrati2!$C$171:$S$206,27,0)</f>
        <v>0.32971029502774529</v>
      </c>
      <c r="H9" s="55">
        <v>0.85</v>
      </c>
      <c r="I9" s="55">
        <v>1</v>
      </c>
      <c r="J9" s="542">
        <f t="shared" si="0"/>
        <v>1.1764705882352942</v>
      </c>
      <c r="K9" s="542">
        <f t="shared" si="1"/>
        <v>1.1764705882352942</v>
      </c>
      <c r="L9" s="544">
        <f t="shared" si="2"/>
        <v>0.2802537507735835</v>
      </c>
      <c r="M9" s="543"/>
      <c r="N9" s="57">
        <v>1</v>
      </c>
      <c r="O9" s="49">
        <v>1</v>
      </c>
      <c r="P9" s="12">
        <v>30</v>
      </c>
      <c r="Q9" s="544">
        <f t="shared" si="3"/>
        <v>8.0753912019432147E-2</v>
      </c>
      <c r="R9" s="544">
        <f t="shared" si="4"/>
        <v>0.2802537507735835</v>
      </c>
      <c r="S9" s="49"/>
      <c r="T9" s="52">
        <v>0</v>
      </c>
      <c r="U9" s="12"/>
      <c r="V9" s="12"/>
      <c r="W9" s="12"/>
      <c r="X9" s="55"/>
      <c r="Y9" s="127">
        <f t="shared" ca="1" si="5"/>
        <v>1.3296350441154282E-2</v>
      </c>
    </row>
    <row r="10" spans="1:25" ht="15" customHeight="1">
      <c r="B10" s="264" t="s">
        <v>425</v>
      </c>
      <c r="C10" s="520" t="s">
        <v>426</v>
      </c>
      <c r="D10" s="52" t="str">
        <f ca="1">IEAData!F$38</f>
        <v>INDCOA</v>
      </c>
      <c r="E10" s="52" t="s">
        <v>576</v>
      </c>
      <c r="F10" s="53">
        <f ca="1">HLOOKUP($D10,Calibration!$C$171:$S$206,27,0)</f>
        <v>0</v>
      </c>
      <c r="G10" s="53">
        <f ca="1">HLOOKUP($D10,Calibrati2!$C$171:$S$206,27,0)</f>
        <v>0</v>
      </c>
      <c r="H10" s="55">
        <f ca="1">H$7</f>
        <v>0.82</v>
      </c>
      <c r="I10" s="55">
        <v>1</v>
      </c>
      <c r="J10" s="542">
        <f t="shared" si="0"/>
        <v>1.2195121951219512</v>
      </c>
      <c r="K10" s="542">
        <f t="shared" si="1"/>
        <v>1.2195121951219512</v>
      </c>
      <c r="L10" s="544">
        <f t="shared" si="2"/>
        <v>0</v>
      </c>
      <c r="M10" s="543"/>
      <c r="N10" s="57">
        <v>1</v>
      </c>
      <c r="O10" s="49">
        <v>1</v>
      </c>
      <c r="P10" s="12">
        <v>30</v>
      </c>
      <c r="Q10" s="544">
        <f t="shared" si="3"/>
        <v>0</v>
      </c>
      <c r="R10" s="544">
        <f t="shared" si="4"/>
        <v>0</v>
      </c>
      <c r="S10" s="49"/>
      <c r="T10" s="52">
        <v>0</v>
      </c>
      <c r="U10" s="12"/>
      <c r="V10" s="12"/>
      <c r="W10" s="12"/>
      <c r="X10" s="55"/>
      <c r="Y10" s="127">
        <f t="shared" ca="1" si="5"/>
        <v>0</v>
      </c>
    </row>
    <row r="11" spans="1:25" ht="15" customHeight="1">
      <c r="B11" s="264" t="s">
        <v>427</v>
      </c>
      <c r="C11" s="520" t="s">
        <v>428</v>
      </c>
      <c r="D11" s="52" t="str">
        <f ca="1">IEAData!G$38</f>
        <v>INDCOK</v>
      </c>
      <c r="E11" s="52" t="s">
        <v>576</v>
      </c>
      <c r="F11" s="53">
        <f ca="1">HLOOKUP($D11,Calibration!$C$171:$S$206,27,0)</f>
        <v>0</v>
      </c>
      <c r="G11" s="53">
        <f ca="1">HLOOKUP($D11,Calibrati2!$C$171:$S$206,27,0)</f>
        <v>0</v>
      </c>
      <c r="H11" s="55">
        <f ca="1">H$7</f>
        <v>0.82</v>
      </c>
      <c r="I11" s="55">
        <v>1</v>
      </c>
      <c r="J11" s="542">
        <f t="shared" si="0"/>
        <v>1.2195121951219512</v>
      </c>
      <c r="K11" s="542">
        <f t="shared" si="1"/>
        <v>1.2195121951219512</v>
      </c>
      <c r="L11" s="544">
        <f t="shared" si="2"/>
        <v>0</v>
      </c>
      <c r="M11" s="543"/>
      <c r="N11" s="57">
        <v>1</v>
      </c>
      <c r="O11" s="49">
        <v>1</v>
      </c>
      <c r="P11" s="12">
        <v>30</v>
      </c>
      <c r="Q11" s="544">
        <f t="shared" si="3"/>
        <v>0</v>
      </c>
      <c r="R11" s="544">
        <f t="shared" si="4"/>
        <v>0</v>
      </c>
      <c r="S11" s="49"/>
      <c r="T11" s="52">
        <v>0</v>
      </c>
      <c r="U11" s="12"/>
      <c r="V11" s="12"/>
      <c r="W11" s="12"/>
      <c r="X11" s="55"/>
      <c r="Y11" s="127">
        <f t="shared" ca="1" si="5"/>
        <v>0</v>
      </c>
    </row>
    <row r="12" spans="1:25" ht="15" customHeight="1">
      <c r="B12" s="264" t="s">
        <v>429</v>
      </c>
      <c r="C12" s="520" t="s">
        <v>430</v>
      </c>
      <c r="D12" s="52" t="str">
        <f ca="1">IEAData!M$38</f>
        <v>INDETH</v>
      </c>
      <c r="E12" s="52" t="s">
        <v>576</v>
      </c>
      <c r="F12" s="53">
        <f ca="1">HLOOKUP($D12,Calibration!$C$171:$S$206,27,0)</f>
        <v>4.8571941886433194</v>
      </c>
      <c r="G12" s="53">
        <f ca="1">HLOOKUP($D12,Calibrati2!$C$171:$S$206,27,0)</f>
        <v>2.7869542106597603E-2</v>
      </c>
      <c r="H12" s="55">
        <v>0.83</v>
      </c>
      <c r="I12" s="55">
        <v>1</v>
      </c>
      <c r="J12" s="542">
        <f t="shared" si="0"/>
        <v>1.2048192771084338</v>
      </c>
      <c r="K12" s="542">
        <f t="shared" si="1"/>
        <v>1.2048192771084338</v>
      </c>
      <c r="L12" s="544">
        <f t="shared" si="2"/>
        <v>2.3131719948476008E-2</v>
      </c>
      <c r="M12" s="543"/>
      <c r="N12" s="57">
        <v>1</v>
      </c>
      <c r="O12" s="49">
        <v>1</v>
      </c>
      <c r="P12" s="12">
        <v>30</v>
      </c>
      <c r="Q12" s="544">
        <f t="shared" si="3"/>
        <v>4.0314711765739553</v>
      </c>
      <c r="R12" s="544">
        <f t="shared" si="4"/>
        <v>2.3131719948476008E-2</v>
      </c>
      <c r="S12" s="49"/>
      <c r="T12" s="52">
        <v>0</v>
      </c>
      <c r="U12" s="12"/>
      <c r="V12" s="12"/>
      <c r="W12" s="12"/>
      <c r="X12" s="55"/>
      <c r="Y12" s="127">
        <f t="shared" ca="1" si="5"/>
        <v>0.67978765741762381</v>
      </c>
    </row>
    <row r="13" spans="1:25" ht="15" customHeight="1">
      <c r="B13" s="264" t="s">
        <v>431</v>
      </c>
      <c r="C13" s="520" t="s">
        <v>432</v>
      </c>
      <c r="D13" s="52" t="str">
        <f ca="1">IEAData!N$38</f>
        <v>INDNAP</v>
      </c>
      <c r="E13" s="52" t="s">
        <v>576</v>
      </c>
      <c r="F13" s="53">
        <f ca="1">HLOOKUP($D13,Calibration!$C$171:$S$206,27,0)</f>
        <v>0</v>
      </c>
      <c r="G13" s="53">
        <f ca="1">HLOOKUP($D13,Calibrati2!$C$171:$S$206,27,0)</f>
        <v>0.33661127823939468</v>
      </c>
      <c r="H13" s="55">
        <v>0.83</v>
      </c>
      <c r="I13" s="55">
        <v>1</v>
      </c>
      <c r="J13" s="542">
        <f t="shared" si="0"/>
        <v>1.2048192771084338</v>
      </c>
      <c r="K13" s="542">
        <f t="shared" si="1"/>
        <v>1.2048192771084338</v>
      </c>
      <c r="L13" s="544">
        <f t="shared" si="2"/>
        <v>0.27938736093869759</v>
      </c>
      <c r="M13" s="543"/>
      <c r="N13" s="57">
        <v>1</v>
      </c>
      <c r="O13" s="49">
        <v>1</v>
      </c>
      <c r="P13" s="12">
        <v>30</v>
      </c>
      <c r="Q13" s="544">
        <f t="shared" si="3"/>
        <v>0</v>
      </c>
      <c r="R13" s="544">
        <f t="shared" si="4"/>
        <v>0.27938736093869759</v>
      </c>
      <c r="S13" s="49"/>
      <c r="T13" s="52">
        <v>0</v>
      </c>
      <c r="U13" s="12"/>
      <c r="V13" s="12"/>
      <c r="W13" s="12"/>
      <c r="X13" s="55"/>
      <c r="Y13" s="127">
        <f t="shared" ca="1" si="5"/>
        <v>0</v>
      </c>
    </row>
    <row r="14" spans="1:25" ht="15" customHeight="1">
      <c r="B14" s="264" t="s">
        <v>433</v>
      </c>
      <c r="C14" s="520" t="s">
        <v>434</v>
      </c>
      <c r="D14" s="52" t="str">
        <f ca="1">ICH000!$D$60</f>
        <v>ICHELC</v>
      </c>
      <c r="E14" s="52" t="s">
        <v>576</v>
      </c>
      <c r="F14" s="53">
        <f ca="1">HLOOKUP("IND"&amp;RIGHT($D14,3),Calibration!$C$171:$S$206,27,0)-ICH000!F$53</f>
        <v>1.372353247745207</v>
      </c>
      <c r="G14" s="53">
        <f ca="1">HLOOKUP("IND"&amp;RIGHT($D14,3),Calibrati2!$C$171:$S$206,27,0)-ICH000!G$53</f>
        <v>1.6785348856890985</v>
      </c>
      <c r="H14" s="55">
        <v>0.96</v>
      </c>
      <c r="I14" s="55">
        <v>1</v>
      </c>
      <c r="J14" s="542">
        <f t="shared" si="0"/>
        <v>1.0416666666666667</v>
      </c>
      <c r="K14" s="542">
        <f t="shared" si="1"/>
        <v>1.0416666666666667</v>
      </c>
      <c r="L14" s="544">
        <f t="shared" si="2"/>
        <v>1.6113934902615346</v>
      </c>
      <c r="M14" s="544">
        <v>0.95</v>
      </c>
      <c r="N14" s="57">
        <v>1</v>
      </c>
      <c r="O14" s="49">
        <v>1</v>
      </c>
      <c r="P14" s="49">
        <v>30</v>
      </c>
      <c r="Q14" s="544">
        <f t="shared" si="3"/>
        <v>1.3174591178353987</v>
      </c>
      <c r="R14" s="544">
        <f t="shared" si="4"/>
        <v>1.6113934902615346</v>
      </c>
      <c r="S14" s="49"/>
      <c r="T14" s="52">
        <v>0.1</v>
      </c>
      <c r="U14" s="49"/>
      <c r="V14" s="49"/>
      <c r="W14" s="49"/>
      <c r="X14" s="55"/>
      <c r="Y14" s="127">
        <f t="shared" ca="1" si="5"/>
        <v>0.19206742889041387</v>
      </c>
    </row>
    <row r="15" spans="1:25" ht="15" customHeight="1">
      <c r="B15" s="264" t="s">
        <v>435</v>
      </c>
      <c r="C15" s="520" t="s">
        <v>436</v>
      </c>
      <c r="D15" s="52" t="str">
        <f ca="1">IEAData!D$38</f>
        <v>INDLPG</v>
      </c>
      <c r="E15" s="52" t="s">
        <v>576</v>
      </c>
      <c r="F15" s="53">
        <f ca="1">HLOOKUP($D15,Calibration!$C$171:$S$206,27,0)</f>
        <v>0</v>
      </c>
      <c r="G15" s="53">
        <f ca="1">HLOOKUP($D15,Calibrati2!$C$171:$S$206,27,0)</f>
        <v>4.2123518005212857</v>
      </c>
      <c r="H15" s="55">
        <v>0.85</v>
      </c>
      <c r="I15" s="55">
        <v>1</v>
      </c>
      <c r="J15" s="542">
        <f t="shared" si="0"/>
        <v>1.1764705882352942</v>
      </c>
      <c r="K15" s="542">
        <f t="shared" si="1"/>
        <v>1.1764705882352942</v>
      </c>
      <c r="L15" s="544">
        <f t="shared" si="2"/>
        <v>3.5804990304430926</v>
      </c>
      <c r="M15" s="543"/>
      <c r="N15" s="57">
        <v>1</v>
      </c>
      <c r="O15" s="49">
        <v>1</v>
      </c>
      <c r="P15" s="49">
        <v>30</v>
      </c>
      <c r="Q15" s="544">
        <f t="shared" si="3"/>
        <v>0</v>
      </c>
      <c r="R15" s="544">
        <f t="shared" si="4"/>
        <v>3.5804990304430926</v>
      </c>
      <c r="S15" s="49"/>
      <c r="T15" s="52">
        <v>0</v>
      </c>
      <c r="U15" s="49"/>
      <c r="V15" s="49"/>
      <c r="W15" s="49"/>
      <c r="X15" s="55"/>
      <c r="Y15" s="127">
        <f t="shared" ca="1" si="5"/>
        <v>0</v>
      </c>
    </row>
    <row r="16" spans="1:25">
      <c r="B16" s="192" t="s">
        <v>902</v>
      </c>
      <c r="C16" s="198" t="s">
        <v>576</v>
      </c>
      <c r="D16" s="198"/>
      <c r="E16" s="198"/>
      <c r="F16" s="199">
        <f>SUM(F7:F15)</f>
        <v>7.1451638389773544</v>
      </c>
      <c r="G16" s="199">
        <f>SUM(G7:G15)</f>
        <v>8.2312515802743995</v>
      </c>
      <c r="H16" s="199"/>
      <c r="I16" s="198"/>
      <c r="J16" s="199">
        <f>SUMPRODUCT(F7:F15,H7:H15)</f>
        <v>6.1032015463681963</v>
      </c>
      <c r="K16" s="199">
        <f>SUMPRODUCT(G7:G15,H7:H15,I7:I15)</f>
        <v>7.1253390022184799</v>
      </c>
      <c r="L16" s="199">
        <f>SUM(L7:L15)</f>
        <v>7.1253390022184799</v>
      </c>
      <c r="M16" s="200"/>
      <c r="N16" s="200"/>
      <c r="O16" s="201"/>
      <c r="P16" s="198"/>
      <c r="Q16" s="199">
        <f>SUM(Q7:Q15)</f>
        <v>6.1032015463681963</v>
      </c>
      <c r="R16" s="199">
        <f>SUM(R7:R15)</f>
        <v>7.1253390022184799</v>
      </c>
      <c r="S16" s="198"/>
      <c r="T16" s="198"/>
      <c r="U16" s="198"/>
      <c r="V16" s="198"/>
      <c r="W16" s="198"/>
      <c r="X16" s="198"/>
      <c r="Y16" s="198"/>
    </row>
    <row r="20" spans="2:23">
      <c r="E20" s="216"/>
      <c r="P20" s="9" t="s">
        <v>505</v>
      </c>
      <c r="Q20" s="9"/>
      <c r="U20" s="588">
        <v>0</v>
      </c>
      <c r="V20" s="492">
        <v>1</v>
      </c>
      <c r="W20" s="492">
        <v>1</v>
      </c>
    </row>
    <row r="21" spans="2:23" ht="15.75">
      <c r="B21" s="495" t="s">
        <v>1381</v>
      </c>
      <c r="C21" s="495"/>
      <c r="D21" s="495"/>
      <c r="E21" s="496"/>
      <c r="F21" s="495"/>
      <c r="G21" s="495"/>
      <c r="H21" s="495"/>
      <c r="I21" s="495"/>
      <c r="J21" s="497"/>
      <c r="K21" s="497"/>
      <c r="L21" s="822"/>
      <c r="M21" s="497"/>
      <c r="N21" s="822"/>
      <c r="O21" s="822"/>
      <c r="P21" s="492">
        <v>0.995</v>
      </c>
      <c r="Q21" s="492">
        <v>0.95</v>
      </c>
      <c r="R21" s="492">
        <v>0.85</v>
      </c>
      <c r="S21" s="492">
        <v>0.75</v>
      </c>
      <c r="T21" s="492">
        <v>0.5</v>
      </c>
      <c r="U21" s="320" t="s">
        <v>319</v>
      </c>
      <c r="V21" s="320" t="s">
        <v>320</v>
      </c>
      <c r="W21" s="320" t="s">
        <v>321</v>
      </c>
    </row>
    <row r="22" spans="2:23">
      <c r="E22" s="216"/>
    </row>
    <row r="23" spans="2:23">
      <c r="B23" s="10"/>
      <c r="C23" s="11"/>
      <c r="E23" s="216"/>
    </row>
    <row r="24" spans="2:23" ht="18">
      <c r="B24" s="86" t="s">
        <v>11</v>
      </c>
      <c r="C24" s="88"/>
      <c r="D24" s="123"/>
      <c r="E24" s="225" t="str">
        <f>"~FI_T: "&amp;Region</f>
        <v>~FI_T: FIN</v>
      </c>
      <c r="F24" s="1"/>
      <c r="G24" s="1"/>
      <c r="H24" s="1"/>
      <c r="I24" s="1"/>
      <c r="J24" s="1"/>
      <c r="K24" s="1"/>
    </row>
    <row r="25" spans="2:23" ht="39" thickBot="1">
      <c r="B25" s="45" t="s">
        <v>649</v>
      </c>
      <c r="C25" s="45" t="s">
        <v>650</v>
      </c>
      <c r="D25" s="45" t="s">
        <v>648</v>
      </c>
      <c r="E25" s="45" t="s">
        <v>651</v>
      </c>
      <c r="F25" s="64" t="str">
        <f ca="1">CONCATENATE("\I:",IEAData!$D$2," final energy")</f>
        <v>\I:2010 final energy</v>
      </c>
      <c r="G25" s="64" t="str">
        <f ca="1">CONCATENATE("\I:",AuxData!$D$2," final energy")</f>
        <v>\I:2017 final energy</v>
      </c>
      <c r="H25" s="45" t="s">
        <v>556</v>
      </c>
      <c r="I25" s="45" t="s">
        <v>388</v>
      </c>
      <c r="J25" s="45" t="s">
        <v>848</v>
      </c>
      <c r="K25" s="45" t="s">
        <v>872</v>
      </c>
      <c r="L25" s="45" t="s">
        <v>52</v>
      </c>
      <c r="M25" s="791" t="s">
        <v>51</v>
      </c>
      <c r="N25" s="791" t="s">
        <v>499</v>
      </c>
      <c r="O25" s="791" t="s">
        <v>371</v>
      </c>
      <c r="P25" s="791" t="str">
        <f ca="1">"FLO_MARK~LO~"&amp;BaseYear</f>
        <v>FLO_MARK~LO~2010</v>
      </c>
      <c r="Q25" s="791" t="str">
        <f ca="1">"FLO_MARK~LO~"&amp;CEILING(AuxYear+0,1)</f>
        <v>FLO_MARK~LO~2017</v>
      </c>
      <c r="R25" s="791" t="str">
        <f ca="1">"FLO_MARK~LO~"&amp;BaseYear+20</f>
        <v>FLO_MARK~LO~2030</v>
      </c>
      <c r="S25" s="791" t="s">
        <v>506</v>
      </c>
      <c r="T25" s="791" t="s">
        <v>507</v>
      </c>
      <c r="U25" s="791" t="str">
        <f>"ENV_ACT~"&amp;U$21</f>
        <v>ENV_ACT~INDCO2N</v>
      </c>
      <c r="V25" s="791" t="str">
        <f>"ENV_ACT~"&amp;V$21</f>
        <v>ENV_ACT~INDCH4N</v>
      </c>
      <c r="W25" s="791" t="str">
        <f>"ENV_ACT~"&amp;W$21</f>
        <v>ENV_ACT~INDN2ON</v>
      </c>
    </row>
    <row r="26" spans="2:23">
      <c r="B26" s="264" t="s">
        <v>508</v>
      </c>
      <c r="C26" s="144" t="s">
        <v>509</v>
      </c>
      <c r="D26" s="52" t="str">
        <f ca="1">IEAData!C24</f>
        <v>GASNGA</v>
      </c>
      <c r="E26" s="52" t="s">
        <v>960</v>
      </c>
      <c r="F26" s="53">
        <f ca="1">IEAData!C21</f>
        <v>1.3792993920000003</v>
      </c>
      <c r="G26" s="53">
        <f ca="1">AuxData!C21</f>
        <v>4.0056073770566876</v>
      </c>
      <c r="H26" s="12">
        <v>30</v>
      </c>
      <c r="I26" s="17">
        <v>1</v>
      </c>
      <c r="J26" s="57">
        <v>1</v>
      </c>
      <c r="K26" s="49">
        <v>1</v>
      </c>
      <c r="L26" s="12"/>
      <c r="M26" s="9"/>
      <c r="N26" s="9"/>
      <c r="O26" s="9"/>
      <c r="P26" s="543">
        <f t="shared" ref="P26:P34" si="6">ROUND($F26/$F$35*P$21,3)</f>
        <v>4.3999999999999997E-2</v>
      </c>
      <c r="Q26" s="543">
        <f t="shared" ref="Q26:T34" si="7">ROUND($G26/$G$35*Q$21,3)</f>
        <v>8.6999999999999994E-2</v>
      </c>
      <c r="R26" s="543">
        <f t="shared" si="7"/>
        <v>7.6999999999999999E-2</v>
      </c>
      <c r="S26" s="543">
        <f t="shared" si="7"/>
        <v>6.8000000000000005E-2</v>
      </c>
      <c r="T26" s="543">
        <f t="shared" si="7"/>
        <v>4.5999999999999999E-2</v>
      </c>
      <c r="U26" s="462">
        <f ca="1">INDEX(Calibration!$D$257:$AK$257,MATCH($D26,Calibration!$D$230:$AK$230,0))*U$20</f>
        <v>0</v>
      </c>
      <c r="V26" s="462">
        <f ca="1">IND_Emi!C35*0.67</f>
        <v>1.0050000000000001</v>
      </c>
      <c r="W26" s="462">
        <f ca="1">IND_Emi!F35*0.67</f>
        <v>0.75320967741935496</v>
      </c>
    </row>
    <row r="27" spans="2:23">
      <c r="B27" s="264" t="s">
        <v>510</v>
      </c>
      <c r="C27" s="493" t="s">
        <v>511</v>
      </c>
      <c r="D27" s="52" t="str">
        <f ca="1">IEAData!D24</f>
        <v>OILLPG</v>
      </c>
      <c r="E27" s="52" t="s">
        <v>960</v>
      </c>
      <c r="F27" s="53">
        <f ca="1">IEAData!D21</f>
        <v>5.5200027240000002</v>
      </c>
      <c r="G27" s="53">
        <f ca="1">AuxData!D21</f>
        <v>24.375823737595688</v>
      </c>
      <c r="H27" s="49">
        <v>30</v>
      </c>
      <c r="I27" s="17">
        <v>1</v>
      </c>
      <c r="J27" s="57">
        <v>1</v>
      </c>
      <c r="K27" s="49">
        <v>1</v>
      </c>
      <c r="L27" s="49"/>
      <c r="M27" s="52"/>
      <c r="N27" s="52"/>
      <c r="O27" s="52"/>
      <c r="P27" s="543">
        <f t="shared" si="6"/>
        <v>0.17799999999999999</v>
      </c>
      <c r="Q27" s="543">
        <f t="shared" si="7"/>
        <v>0.52700000000000002</v>
      </c>
      <c r="R27" s="543">
        <f t="shared" si="7"/>
        <v>0.47099999999999997</v>
      </c>
      <c r="S27" s="543">
        <f t="shared" si="7"/>
        <v>0.41599999999999998</v>
      </c>
      <c r="T27" s="543">
        <f t="shared" si="7"/>
        <v>0.27700000000000002</v>
      </c>
      <c r="U27" s="462">
        <f ca="1">INDEX(Calibration!$D$257:$AK$257,MATCH($D27,Calibration!$D$230:$AK$230,0))*U$20</f>
        <v>0</v>
      </c>
      <c r="V27" s="462">
        <f ca="1">IND_Emi!C38*0.2</f>
        <v>0.23599999999999999</v>
      </c>
      <c r="W27" s="462">
        <f ca="1">IND_Emi!F38*0.2</f>
        <v>0.2496774193548387</v>
      </c>
    </row>
    <row r="28" spans="2:23">
      <c r="B28" s="264" t="s">
        <v>512</v>
      </c>
      <c r="C28" s="493" t="s">
        <v>513</v>
      </c>
      <c r="D28" s="52" t="str">
        <f ca="1">IEAData!E$24</f>
        <v>OILNGL</v>
      </c>
      <c r="E28" s="52" t="s">
        <v>960</v>
      </c>
      <c r="F28" s="53">
        <f ca="1">IEAData!E21</f>
        <v>0</v>
      </c>
      <c r="G28" s="53">
        <f ca="1">AuxData!E21</f>
        <v>0</v>
      </c>
      <c r="H28" s="49">
        <v>30</v>
      </c>
      <c r="I28" s="17">
        <v>1</v>
      </c>
      <c r="J28" s="57">
        <v>1</v>
      </c>
      <c r="K28" s="49">
        <v>1</v>
      </c>
      <c r="L28" s="49"/>
      <c r="M28" s="52"/>
      <c r="N28" s="52"/>
      <c r="O28" s="52"/>
      <c r="P28" s="543">
        <f t="shared" si="6"/>
        <v>0</v>
      </c>
      <c r="Q28" s="543">
        <f t="shared" si="7"/>
        <v>0</v>
      </c>
      <c r="R28" s="543">
        <f t="shared" si="7"/>
        <v>0</v>
      </c>
      <c r="S28" s="543">
        <f t="shared" si="7"/>
        <v>0</v>
      </c>
      <c r="T28" s="543">
        <f t="shared" si="7"/>
        <v>0</v>
      </c>
      <c r="U28" s="462">
        <f ca="1">INDEX(Calibration!$D$257:$AK$257,MATCH($D28,Calibration!$D$230:$AK$230,0))*U$20</f>
        <v>0</v>
      </c>
      <c r="V28" s="462">
        <f ca="1">IND_Emi!C15*0.2</f>
        <v>0.26822049574546802</v>
      </c>
      <c r="W28" s="462">
        <f ca="1">IND_Emi!F15*0.2</f>
        <v>0.19851612903225807</v>
      </c>
    </row>
    <row r="29" spans="2:23">
      <c r="B29" s="264" t="s">
        <v>514</v>
      </c>
      <c r="C29" s="493" t="s">
        <v>515</v>
      </c>
      <c r="D29" s="52" t="str">
        <f ca="1">IEAData!F$24</f>
        <v>COAHCO</v>
      </c>
      <c r="E29" s="52" t="s">
        <v>960</v>
      </c>
      <c r="F29" s="53">
        <f ca="1">IEAData!F21</f>
        <v>0</v>
      </c>
      <c r="G29" s="53">
        <f ca="1">AuxData!F21</f>
        <v>0</v>
      </c>
      <c r="H29" s="49">
        <v>30</v>
      </c>
      <c r="I29" s="17">
        <v>1</v>
      </c>
      <c r="J29" s="57">
        <v>1</v>
      </c>
      <c r="K29" s="49">
        <v>1</v>
      </c>
      <c r="L29" s="49"/>
      <c r="M29" s="52"/>
      <c r="N29" s="52"/>
      <c r="O29" s="52"/>
      <c r="P29" s="543">
        <f t="shared" si="6"/>
        <v>0</v>
      </c>
      <c r="Q29" s="543">
        <f t="shared" si="7"/>
        <v>0</v>
      </c>
      <c r="R29" s="543">
        <f t="shared" si="7"/>
        <v>0</v>
      </c>
      <c r="S29" s="543">
        <f t="shared" si="7"/>
        <v>0</v>
      </c>
      <c r="T29" s="543">
        <f t="shared" si="7"/>
        <v>0</v>
      </c>
      <c r="U29" s="462">
        <f ca="1">INDEX(Calibration!$D$257:$AK$257,MATCH($D29,Calibration!$D$230:$AK$230,0))*U$20</f>
        <v>0</v>
      </c>
      <c r="V29" s="462">
        <f ca="1">IND_Emi!C5*0.25</f>
        <v>0.25</v>
      </c>
      <c r="W29" s="462">
        <f ca="1">IND_Emi!F5*0.25</f>
        <v>0.83072580645161287</v>
      </c>
    </row>
    <row r="30" spans="2:23">
      <c r="B30" s="264" t="s">
        <v>516</v>
      </c>
      <c r="C30" s="493" t="s">
        <v>517</v>
      </c>
      <c r="D30" s="52" t="str">
        <f ca="1">IEAData!P24</f>
        <v>OILHFO</v>
      </c>
      <c r="E30" s="52" t="s">
        <v>960</v>
      </c>
      <c r="F30" s="53">
        <f ca="1">IEAData!K37</f>
        <v>7.1999980920000004</v>
      </c>
      <c r="G30" s="53">
        <f ca="1">AuxData!K37</f>
        <v>5.261509862713301</v>
      </c>
      <c r="H30" s="49">
        <v>30</v>
      </c>
      <c r="I30" s="17">
        <v>1</v>
      </c>
      <c r="J30" s="57">
        <v>1</v>
      </c>
      <c r="K30" s="49">
        <v>1</v>
      </c>
      <c r="L30" s="49"/>
      <c r="M30" s="52"/>
      <c r="N30" s="52"/>
      <c r="O30" s="52"/>
      <c r="P30" s="543">
        <f t="shared" si="6"/>
        <v>0.23200000000000001</v>
      </c>
      <c r="Q30" s="543">
        <f t="shared" si="7"/>
        <v>0.114</v>
      </c>
      <c r="R30" s="543">
        <f t="shared" si="7"/>
        <v>0.10199999999999999</v>
      </c>
      <c r="S30" s="543">
        <f t="shared" si="7"/>
        <v>0.09</v>
      </c>
      <c r="T30" s="543">
        <f t="shared" si="7"/>
        <v>0.06</v>
      </c>
      <c r="U30" s="462">
        <f ca="1">INDEX(Calibration!$D$257:$AK$257,MATCH($D30,Calibration!$D$230:$AK$230,0))*U$20</f>
        <v>0</v>
      </c>
      <c r="V30" s="462">
        <f ca="1">IND_Emi!C26*0.5</f>
        <v>1.3</v>
      </c>
      <c r="W30" s="462">
        <f ca="1">IND_Emi!F26*0.5</f>
        <v>1.1862903225806452</v>
      </c>
    </row>
    <row r="31" spans="2:23">
      <c r="B31" s="823" t="s">
        <v>518</v>
      </c>
      <c r="C31" s="824" t="s">
        <v>519</v>
      </c>
      <c r="D31" s="446" t="str">
        <f ca="1">IEAData!Q24</f>
        <v>OILDST</v>
      </c>
      <c r="E31" s="52" t="s">
        <v>960</v>
      </c>
      <c r="F31" s="825">
        <f ca="1">IEAData!L37</f>
        <v>0</v>
      </c>
      <c r="G31" s="825">
        <f ca="1">AuxData!L37</f>
        <v>0</v>
      </c>
      <c r="H31" s="49">
        <v>30</v>
      </c>
      <c r="I31" s="17">
        <v>1</v>
      </c>
      <c r="J31" s="57">
        <v>1</v>
      </c>
      <c r="K31" s="49">
        <v>1</v>
      </c>
      <c r="L31" s="49"/>
      <c r="M31" s="52"/>
      <c r="N31" s="52"/>
      <c r="O31" s="52"/>
      <c r="P31" s="543">
        <f t="shared" si="6"/>
        <v>0</v>
      </c>
      <c r="Q31" s="543">
        <f t="shared" si="7"/>
        <v>0</v>
      </c>
      <c r="R31" s="543">
        <f t="shared" si="7"/>
        <v>0</v>
      </c>
      <c r="S31" s="543">
        <f t="shared" si="7"/>
        <v>0</v>
      </c>
      <c r="T31" s="543">
        <f t="shared" si="7"/>
        <v>0</v>
      </c>
      <c r="U31" s="462">
        <f ca="1">INDEX(Calibration!$D$257:$AK$257,MATCH($D31,Calibration!$D$230:$AK$230,0))*U$20</f>
        <v>0</v>
      </c>
      <c r="V31" s="462">
        <f ca="1">IND_Emi!C25*0.5</f>
        <v>1.3</v>
      </c>
      <c r="W31" s="462">
        <f ca="1">IND_Emi!F25*0.5</f>
        <v>0.9862903225806452</v>
      </c>
    </row>
    <row r="32" spans="2:23">
      <c r="B32" s="473" t="s">
        <v>520</v>
      </c>
      <c r="C32" s="824" t="s">
        <v>521</v>
      </c>
      <c r="D32" s="446" t="str">
        <f ca="1">IEAData!U24</f>
        <v>GASETH</v>
      </c>
      <c r="E32" s="446" t="s">
        <v>960</v>
      </c>
      <c r="F32" s="825">
        <f ca="1">IEAData!M37</f>
        <v>2.9699903160000001</v>
      </c>
      <c r="G32" s="825">
        <f ca="1">AuxData!M37</f>
        <v>0.74412801135194773</v>
      </c>
      <c r="H32" s="788">
        <v>30</v>
      </c>
      <c r="I32" s="17">
        <v>1</v>
      </c>
      <c r="J32" s="57">
        <v>1</v>
      </c>
      <c r="K32" s="49">
        <v>1</v>
      </c>
      <c r="L32" s="49"/>
      <c r="M32" s="52"/>
      <c r="N32" s="52"/>
      <c r="O32" s="52"/>
      <c r="P32" s="543">
        <f t="shared" si="6"/>
        <v>9.6000000000000002E-2</v>
      </c>
      <c r="Q32" s="543">
        <f t="shared" si="7"/>
        <v>1.6E-2</v>
      </c>
      <c r="R32" s="543">
        <f t="shared" si="7"/>
        <v>1.4E-2</v>
      </c>
      <c r="S32" s="543">
        <f t="shared" si="7"/>
        <v>1.2999999999999999E-2</v>
      </c>
      <c r="T32" s="543">
        <f t="shared" si="7"/>
        <v>8.0000000000000002E-3</v>
      </c>
      <c r="U32" s="462">
        <f ca="1">INDEX(Calibration!$D$257:$AK$257,MATCH($D32,Calibration!$D$230:$AK$230,0))*U$20</f>
        <v>0</v>
      </c>
      <c r="V32" s="462">
        <f ca="1">IND_Emi!C34*0.2</f>
        <v>0.2</v>
      </c>
      <c r="W32" s="462">
        <f ca="1">IND_Emi!F34*0.2</f>
        <v>0.22483870967741937</v>
      </c>
    </row>
    <row r="33" spans="2:38">
      <c r="B33" s="473" t="s">
        <v>522</v>
      </c>
      <c r="C33" s="824" t="s">
        <v>523</v>
      </c>
      <c r="D33" s="787" t="str">
        <f ca="1">IEAData!AA24</f>
        <v>BIOGAS</v>
      </c>
      <c r="E33" s="446" t="s">
        <v>960</v>
      </c>
      <c r="F33" s="825">
        <f ca="1">IEAData!P37</f>
        <v>0</v>
      </c>
      <c r="G33" s="825">
        <f ca="1">AuxData!P37</f>
        <v>0</v>
      </c>
      <c r="H33" s="788">
        <v>30</v>
      </c>
      <c r="I33" s="17">
        <v>1</v>
      </c>
      <c r="J33" s="57">
        <v>1</v>
      </c>
      <c r="K33" s="49">
        <v>1</v>
      </c>
      <c r="L33" s="49"/>
      <c r="M33" s="52"/>
      <c r="N33" s="52"/>
      <c r="O33" s="52"/>
      <c r="P33" s="543">
        <f t="shared" si="6"/>
        <v>0</v>
      </c>
      <c r="Q33" s="543">
        <f t="shared" si="7"/>
        <v>0</v>
      </c>
      <c r="R33" s="543">
        <f t="shared" si="7"/>
        <v>0</v>
      </c>
      <c r="S33" s="543">
        <f t="shared" si="7"/>
        <v>0</v>
      </c>
      <c r="T33" s="543">
        <f t="shared" si="7"/>
        <v>0</v>
      </c>
      <c r="U33" s="462">
        <f ca="1">INDEX(Calibration!$D$257:$AK$257,MATCH($D33,Calibration!$D$230:$AK$230,0))*U$20</f>
        <v>0</v>
      </c>
      <c r="V33" s="543"/>
      <c r="W33" s="543">
        <f ca="1">IND_Emi!$F$45</f>
        <v>1.0241935483870968</v>
      </c>
    </row>
    <row r="34" spans="2:38">
      <c r="B34" s="473" t="s">
        <v>524</v>
      </c>
      <c r="C34" s="824" t="s">
        <v>525</v>
      </c>
      <c r="D34" s="446" t="str">
        <f ca="1">IEAData!V$24</f>
        <v>OILNAP</v>
      </c>
      <c r="E34" s="446" t="s">
        <v>960</v>
      </c>
      <c r="F34" s="825">
        <f ca="1">IEAData!N37</f>
        <v>13.774999060000003</v>
      </c>
      <c r="G34" s="825">
        <f ca="1">AuxData!N37</f>
        <v>9.5909812112823811</v>
      </c>
      <c r="H34" s="788">
        <v>30</v>
      </c>
      <c r="I34" s="17">
        <v>1</v>
      </c>
      <c r="J34" s="57">
        <v>1</v>
      </c>
      <c r="K34" s="49">
        <v>1</v>
      </c>
      <c r="L34" s="49"/>
      <c r="M34" s="52"/>
      <c r="N34" s="52"/>
      <c r="O34" s="52"/>
      <c r="P34" s="543">
        <f t="shared" si="6"/>
        <v>0.44400000000000001</v>
      </c>
      <c r="Q34" s="543">
        <f t="shared" si="7"/>
        <v>0.20699999999999999</v>
      </c>
      <c r="R34" s="543">
        <f t="shared" si="7"/>
        <v>0.185</v>
      </c>
      <c r="S34" s="543">
        <f t="shared" si="7"/>
        <v>0.16400000000000001</v>
      </c>
      <c r="T34" s="543">
        <f t="shared" si="7"/>
        <v>0.109</v>
      </c>
      <c r="U34" s="462">
        <f ca="1">INDEX(Calibration!$D$257:$AK$257,MATCH($D34,Calibration!$D$230:$AK$230,0))*U$20</f>
        <v>0</v>
      </c>
      <c r="V34" s="810"/>
      <c r="W34" s="810">
        <f ca="1">IND_Emi!F27*0.2</f>
        <v>0.74651612903225806</v>
      </c>
    </row>
    <row r="35" spans="2:38">
      <c r="B35" s="192" t="s">
        <v>902</v>
      </c>
      <c r="C35" s="198"/>
      <c r="D35" s="198"/>
      <c r="E35" s="198"/>
      <c r="F35" s="199">
        <f>MAX(0.001,SUM(F26:F34))</f>
        <v>30.844289584000002</v>
      </c>
      <c r="G35" s="199">
        <f>MAX(0.001,SUM(G26:G34))</f>
        <v>43.978050200000006</v>
      </c>
      <c r="H35" s="199"/>
      <c r="I35" s="199"/>
      <c r="J35" s="199"/>
      <c r="K35" s="199"/>
      <c r="L35" s="198"/>
      <c r="M35" s="198"/>
      <c r="N35" s="198"/>
      <c r="O35" s="198"/>
      <c r="P35" s="199">
        <f>SUM(P26:P34)</f>
        <v>0.99399999999999999</v>
      </c>
      <c r="Q35" s="199">
        <f>SUM(Q26:Q34)</f>
        <v>0.95099999999999996</v>
      </c>
      <c r="R35" s="199">
        <f>SUM(R26:R34)</f>
        <v>0.84899999999999998</v>
      </c>
      <c r="S35" s="199">
        <f>SUM(S26:S34)</f>
        <v>0.751</v>
      </c>
      <c r="T35" s="199">
        <f>SUM(T26:T34)</f>
        <v>0.5</v>
      </c>
      <c r="U35" s="309">
        <f>SUMPRODUCT(F26:F34,U26:U34)</f>
        <v>0</v>
      </c>
      <c r="V35" s="199"/>
      <c r="W35" s="199"/>
      <c r="X35" s="15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</row>
    <row r="36" spans="2:38">
      <c r="B36" s="77"/>
      <c r="C36" s="77"/>
      <c r="D36" s="77"/>
      <c r="E36" s="77"/>
      <c r="F36" s="15"/>
      <c r="G36" s="15"/>
      <c r="H36" s="77"/>
      <c r="I36" s="77"/>
      <c r="J36" s="77"/>
      <c r="K36" s="77"/>
      <c r="L36" s="77"/>
      <c r="M36" s="77"/>
      <c r="N36" s="77"/>
      <c r="O36" s="357"/>
      <c r="P36" s="77"/>
      <c r="Q36" s="77"/>
      <c r="R36" s="77"/>
      <c r="S36" s="77"/>
      <c r="T36" s="77"/>
      <c r="U36" s="77"/>
      <c r="V36" s="77"/>
      <c r="W36" s="77"/>
      <c r="X36" s="15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</row>
    <row r="37" spans="2:38">
      <c r="B37" s="77"/>
      <c r="C37" s="77"/>
      <c r="D37" s="77"/>
      <c r="E37" s="77"/>
      <c r="F37" s="15"/>
      <c r="G37" s="15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5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</row>
    <row r="38" spans="2:38"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81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</row>
    <row r="39" spans="2:38"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81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</row>
    <row r="40" spans="2:38"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81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</row>
    <row r="41" spans="2:38"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81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</row>
    <row r="42" spans="2:38"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81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</row>
    <row r="43" spans="2:38"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81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</row>
    <row r="44" spans="2:38"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81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</row>
    <row r="45" spans="2:38"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81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99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6" customWidth="1"/>
    <col min="3" max="3" width="27.5703125" customWidth="1"/>
    <col min="4" max="4" width="11" customWidth="1"/>
  </cols>
  <sheetData>
    <row r="1" spans="1:25" ht="18">
      <c r="A1" s="5" t="s">
        <v>324</v>
      </c>
    </row>
    <row r="2" spans="1:25" ht="18">
      <c r="A2" s="8"/>
      <c r="E2" s="216"/>
    </row>
    <row r="3" spans="1:25" ht="18">
      <c r="A3" s="8"/>
      <c r="B3" s="10"/>
      <c r="C3" s="11"/>
      <c r="E3" s="216"/>
    </row>
    <row r="4" spans="1:25" ht="18">
      <c r="B4" s="86" t="s">
        <v>90</v>
      </c>
      <c r="C4" s="88"/>
      <c r="D4" s="88"/>
      <c r="F4" s="225" t="str">
        <f>"~FI_T: "&amp;Region</f>
        <v>~FI_T: FIN</v>
      </c>
      <c r="G4" s="34"/>
      <c r="V4" s="1"/>
    </row>
    <row r="5" spans="1:25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45" t="s">
        <v>139</v>
      </c>
      <c r="G5" s="64" t="str">
        <f ca="1">CONCATENATE("\I:",BaseYear," service demand")</f>
        <v>\I:2010 service demand</v>
      </c>
      <c r="H5" s="64" t="str">
        <f ca="1">CONCATENATE("\I:",AuxData!$D$2," service demand")</f>
        <v>\I:2017 service demand</v>
      </c>
      <c r="I5" s="45" t="s">
        <v>388</v>
      </c>
      <c r="J5" s="45" t="str">
        <f ca="1">"INPUT~"&amp;AuxYear</f>
        <v>INPUT~2017</v>
      </c>
      <c r="K5" s="45" t="str">
        <f ca="1">"RESID~"&amp;BaseYear</f>
        <v>RESID~2010</v>
      </c>
      <c r="L5" s="45" t="str">
        <f ca="1">"RESID~"&amp;AuxYear</f>
        <v>RESID~2017</v>
      </c>
      <c r="M5" s="45" t="str">
        <f ca="1">"RESID~"&amp;CEILING(AuxYear+25,5)</f>
        <v>RESID~2045</v>
      </c>
      <c r="N5" s="45" t="s">
        <v>848</v>
      </c>
      <c r="O5" s="64" t="s">
        <v>872</v>
      </c>
      <c r="P5" s="64" t="s">
        <v>556</v>
      </c>
      <c r="Q5" s="45" t="s">
        <v>1507</v>
      </c>
      <c r="R5" s="45" t="s">
        <v>371</v>
      </c>
      <c r="S5" s="45" t="s">
        <v>1528</v>
      </c>
      <c r="T5" s="45" t="str">
        <f ca="1">"Share~UP~"&amp;AuxYear</f>
        <v>Share~UP~2017</v>
      </c>
      <c r="U5" s="45" t="s">
        <v>289</v>
      </c>
      <c r="V5" s="45" t="s">
        <v>108</v>
      </c>
      <c r="W5" s="45" t="s">
        <v>8</v>
      </c>
      <c r="X5" s="45" t="s">
        <v>9</v>
      </c>
      <c r="Y5" s="45" t="s">
        <v>1498</v>
      </c>
    </row>
    <row r="6" spans="1:25">
      <c r="B6" s="35" t="s">
        <v>964</v>
      </c>
      <c r="C6" s="23" t="s">
        <v>817</v>
      </c>
      <c r="D6" s="9" t="s">
        <v>654</v>
      </c>
      <c r="E6" s="9"/>
      <c r="F6" s="9"/>
      <c r="G6" s="21">
        <f ca="1">VLOOKUP($B6,Calibration!$B$172:$T$206,2,FALSE)</f>
        <v>0</v>
      </c>
      <c r="H6" s="21">
        <f ca="1">VLOOKUP($B6,Calibrati2!$B$172:$T$206,2,FALSE)</f>
        <v>0</v>
      </c>
      <c r="I6" s="62">
        <f t="shared" ref="I6:J12" si="0">IF($I$16=0,0,G6/$I$16)</f>
        <v>0</v>
      </c>
      <c r="J6" s="62">
        <f t="shared" si="0"/>
        <v>0</v>
      </c>
      <c r="K6" s="542">
        <f>I16</f>
        <v>0</v>
      </c>
      <c r="L6" s="542">
        <f>J16</f>
        <v>0</v>
      </c>
      <c r="M6" s="542">
        <v>0</v>
      </c>
      <c r="N6" s="17">
        <v>1</v>
      </c>
      <c r="O6" s="12">
        <v>1</v>
      </c>
      <c r="P6" s="12">
        <v>30</v>
      </c>
      <c r="R6" s="31"/>
      <c r="S6" s="31"/>
      <c r="T6" s="31"/>
      <c r="U6" s="31"/>
      <c r="V6" s="31"/>
      <c r="W6" s="319"/>
      <c r="X6" s="12"/>
      <c r="Y6" s="12"/>
    </row>
    <row r="7" spans="1:25">
      <c r="B7" s="9"/>
      <c r="C7" s="23"/>
      <c r="D7" s="9" t="s">
        <v>906</v>
      </c>
      <c r="E7" s="9"/>
      <c r="F7" s="9"/>
      <c r="G7" s="21">
        <f ca="1">VLOOKUP($B$6,Calibration!$B$172:$T$206,HLOOKUP($D7,Calibration!$C$3:$T$4,2,FALSE),FALSE)</f>
        <v>0</v>
      </c>
      <c r="H7" s="21">
        <f ca="1">VLOOKUP($B$6,Calibrati2!$B$172:$T$206,HLOOKUP($D7,Calibrati2!$C$3:$T$4,2,FALSE),FALSE)</f>
        <v>0</v>
      </c>
      <c r="I7" s="62">
        <f t="shared" si="0"/>
        <v>0</v>
      </c>
      <c r="J7" s="62">
        <f t="shared" si="0"/>
        <v>0</v>
      </c>
      <c r="K7" s="542"/>
      <c r="L7" s="9"/>
      <c r="M7" s="542"/>
      <c r="N7" s="542"/>
      <c r="O7" s="9"/>
      <c r="P7" s="9"/>
      <c r="Q7" s="9"/>
      <c r="R7" s="31"/>
      <c r="S7" s="31"/>
      <c r="T7" s="31"/>
      <c r="U7" s="31"/>
      <c r="V7" s="31"/>
      <c r="W7" s="31"/>
      <c r="X7" s="12"/>
      <c r="Y7" s="12"/>
    </row>
    <row r="8" spans="1:25">
      <c r="B8" s="9"/>
      <c r="C8" s="23"/>
      <c r="D8" s="9" t="s">
        <v>909</v>
      </c>
      <c r="E8" s="9"/>
      <c r="F8" s="9"/>
      <c r="G8" s="21">
        <f ca="1">VLOOKUP($B$6,Calibration!$B$172:$T$206,HLOOKUP($D8,Calibration!$C$3:$T$4,2,FALSE),FALSE)</f>
        <v>0</v>
      </c>
      <c r="H8" s="21">
        <f ca="1">VLOOKUP($B$6,Calibrati2!$B$172:$T$206,HLOOKUP($D8,Calibrati2!$C$3:$T$4,2,FALSE),FALSE)</f>
        <v>0</v>
      </c>
      <c r="I8" s="62">
        <f t="shared" si="0"/>
        <v>0</v>
      </c>
      <c r="J8" s="62">
        <f t="shared" si="0"/>
        <v>0</v>
      </c>
      <c r="K8" s="542"/>
      <c r="L8" s="9"/>
      <c r="M8" s="542"/>
      <c r="N8" s="542"/>
      <c r="O8" s="9"/>
      <c r="P8" s="9"/>
      <c r="Q8" s="9"/>
      <c r="R8" s="31"/>
      <c r="S8" s="31"/>
      <c r="T8" s="31"/>
      <c r="U8" s="31"/>
      <c r="V8" s="31"/>
      <c r="W8" s="31"/>
      <c r="X8" s="12"/>
      <c r="Y8" s="12"/>
    </row>
    <row r="9" spans="1:25">
      <c r="B9" s="9"/>
      <c r="C9" s="23"/>
      <c r="D9" s="9" t="s">
        <v>913</v>
      </c>
      <c r="E9" s="9"/>
      <c r="F9" s="9"/>
      <c r="G9" s="21">
        <f ca="1">VLOOKUP($B$6,Calibration!$B$172:$T$206,HLOOKUP($D9,Calibration!$C$3:$T$4,2,FALSE),FALSE)</f>
        <v>0</v>
      </c>
      <c r="H9" s="21">
        <f ca="1">VLOOKUP($B$6,Calibrati2!$B$172:$T$206,HLOOKUP($D9,Calibrati2!$C$3:$T$4,2,FALSE),FALSE)</f>
        <v>0</v>
      </c>
      <c r="I9" s="62">
        <f t="shared" si="0"/>
        <v>0</v>
      </c>
      <c r="J9" s="62">
        <f t="shared" si="0"/>
        <v>0</v>
      </c>
      <c r="K9" s="542"/>
      <c r="L9" s="9"/>
      <c r="M9" s="542"/>
      <c r="N9" s="542"/>
      <c r="O9" s="9"/>
      <c r="P9" s="9"/>
      <c r="Q9" s="9"/>
      <c r="R9" s="31"/>
      <c r="S9" s="31"/>
      <c r="T9" s="31"/>
      <c r="U9" s="31"/>
      <c r="V9" s="427">
        <v>3</v>
      </c>
      <c r="W9" s="31"/>
      <c r="X9" s="12"/>
      <c r="Y9" s="12"/>
    </row>
    <row r="10" spans="1:25">
      <c r="A10" s="6"/>
      <c r="B10" s="52"/>
      <c r="C10" s="50"/>
      <c r="D10" s="52" t="s">
        <v>916</v>
      </c>
      <c r="E10" s="52"/>
      <c r="F10" s="52"/>
      <c r="G10" s="21">
        <f ca="1">VLOOKUP($B$6,Calibration!$B$172:$T$206,HLOOKUP($D10,Calibration!$C$3:$T$4,2,FALSE),FALSE)</f>
        <v>0</v>
      </c>
      <c r="H10" s="21">
        <f ca="1">VLOOKUP($B$6,Calibrati2!$B$172:$T$206,HLOOKUP($D10,Calibrati2!$C$3:$T$4,2,FALSE),FALSE)</f>
        <v>0</v>
      </c>
      <c r="I10" s="62">
        <f t="shared" si="0"/>
        <v>0</v>
      </c>
      <c r="J10" s="62">
        <f t="shared" si="0"/>
        <v>0</v>
      </c>
      <c r="K10" s="543"/>
      <c r="L10" s="9"/>
      <c r="M10" s="543"/>
      <c r="N10" s="543"/>
      <c r="O10" s="52"/>
      <c r="P10" s="52"/>
      <c r="Q10" s="9"/>
      <c r="R10" s="31"/>
      <c r="S10" s="31"/>
      <c r="T10" s="31"/>
      <c r="U10" s="31"/>
      <c r="V10" s="427">
        <v>3</v>
      </c>
      <c r="W10" s="31"/>
      <c r="X10" s="49"/>
      <c r="Y10" s="49"/>
    </row>
    <row r="11" spans="1:25">
      <c r="B11" s="9"/>
      <c r="C11" s="23"/>
      <c r="D11" s="9" t="s">
        <v>92</v>
      </c>
      <c r="E11" s="9"/>
      <c r="F11" s="9"/>
      <c r="G11" s="21">
        <f ca="1">VLOOKUP($B$6,Drivers!$T$58:$V$76,3,FALSE)*VLOOKUP($D11,Calibration!$A$220:$U$224,21,0)</f>
        <v>0</v>
      </c>
      <c r="H11" s="21">
        <f ca="1">VLOOKUP($B$6,Driver2!$T$58:$V$76,3,FALSE)*VLOOKUP($D11,Calibrati2!$A$220:$U$224,21,0)</f>
        <v>0</v>
      </c>
      <c r="I11" s="62">
        <f t="shared" si="0"/>
        <v>0</v>
      </c>
      <c r="J11" s="62">
        <f t="shared" si="0"/>
        <v>0</v>
      </c>
      <c r="K11" s="542"/>
      <c r="L11" s="9"/>
      <c r="M11" s="542"/>
      <c r="N11" s="542"/>
      <c r="O11" s="9"/>
      <c r="P11" s="9"/>
      <c r="Q11" s="9"/>
      <c r="R11" s="31"/>
      <c r="S11" s="31"/>
      <c r="T11" s="31"/>
      <c r="U11" s="31"/>
      <c r="V11" s="31"/>
      <c r="W11" s="31"/>
      <c r="X11" s="12"/>
      <c r="Y11" s="12"/>
    </row>
    <row r="12" spans="1:25">
      <c r="B12" s="9"/>
      <c r="C12" s="23"/>
      <c r="D12" s="9" t="s">
        <v>653</v>
      </c>
      <c r="E12" s="9" t="s">
        <v>1519</v>
      </c>
      <c r="F12" s="304" t="s">
        <v>1526</v>
      </c>
      <c r="G12" s="21">
        <f ca="1">VLOOKUP($B$6,Drivers!$T$58:$V$76,2,FALSE)*VLOOKUP($D12,Calibration!$A$211:$U$215,21,0)</f>
        <v>0</v>
      </c>
      <c r="H12" s="21">
        <f ca="1">VLOOKUP($B$6,Driver2!$T$58:$V$76,2,FALSE)*VLOOKUP($D12,Calibrati2!$A$211:$U$215,21,0)</f>
        <v>0</v>
      </c>
      <c r="I12" s="62">
        <f t="shared" si="0"/>
        <v>0</v>
      </c>
      <c r="J12" s="62">
        <f t="shared" si="0"/>
        <v>0</v>
      </c>
      <c r="K12" s="542"/>
      <c r="L12" s="9"/>
      <c r="M12" s="542"/>
      <c r="N12" s="542"/>
      <c r="O12" s="9"/>
      <c r="P12" s="9"/>
      <c r="Q12" s="9"/>
      <c r="R12" s="31"/>
      <c r="S12" s="31">
        <f>S$24</f>
        <v>0.78517936887871098</v>
      </c>
      <c r="T12" s="31"/>
      <c r="U12" s="31"/>
      <c r="V12" s="31"/>
      <c r="W12" s="31"/>
      <c r="X12" s="12"/>
      <c r="Y12" s="12"/>
    </row>
    <row r="13" spans="1:25">
      <c r="B13" s="9"/>
      <c r="C13" s="23"/>
      <c r="D13" s="23" t="s">
        <v>1517</v>
      </c>
      <c r="E13" s="9" t="s">
        <v>1519</v>
      </c>
      <c r="F13" s="304" t="s">
        <v>1527</v>
      </c>
      <c r="G13" s="21"/>
      <c r="H13" s="21"/>
      <c r="I13" s="62">
        <f>S12*100/56+(1-S12)</f>
        <v>1.6169266469761301</v>
      </c>
      <c r="J13" s="62">
        <f>I13</f>
        <v>1.6169266469761301</v>
      </c>
      <c r="K13" s="542"/>
      <c r="L13" s="9"/>
      <c r="M13" s="542"/>
      <c r="N13" s="542"/>
      <c r="O13" s="9"/>
      <c r="P13" s="9"/>
      <c r="Q13" s="9"/>
      <c r="R13" s="31"/>
      <c r="S13" s="31">
        <f>S$24</f>
        <v>0.78517936887871098</v>
      </c>
      <c r="T13" s="31"/>
      <c r="U13" s="31"/>
      <c r="V13" s="31"/>
      <c r="W13" s="31"/>
      <c r="X13" s="12"/>
      <c r="Y13" s="12"/>
    </row>
    <row r="14" spans="1:25">
      <c r="B14" s="9"/>
      <c r="C14" s="23"/>
      <c r="D14" s="9"/>
      <c r="E14" s="9" t="s">
        <v>372</v>
      </c>
      <c r="F14" s="9"/>
      <c r="G14" s="21"/>
      <c r="H14" s="21"/>
      <c r="I14" s="62"/>
      <c r="J14" s="9"/>
      <c r="K14" s="542"/>
      <c r="L14" s="9"/>
      <c r="M14" s="542"/>
      <c r="N14" s="542"/>
      <c r="O14" s="9"/>
      <c r="P14" s="9"/>
      <c r="Q14" s="9"/>
      <c r="R14" s="319">
        <f>0.51*0.9*1000</f>
        <v>459</v>
      </c>
      <c r="S14" s="31"/>
      <c r="T14" s="31"/>
      <c r="U14" s="31"/>
      <c r="V14" s="31"/>
      <c r="W14" s="31"/>
      <c r="X14" s="12"/>
      <c r="Y14" s="12"/>
    </row>
    <row r="15" spans="1:25" ht="13.5" thickBot="1">
      <c r="A15" s="6"/>
      <c r="B15" s="22"/>
      <c r="C15" s="24"/>
      <c r="D15" s="22"/>
      <c r="E15" s="22" t="s">
        <v>696</v>
      </c>
      <c r="F15" s="22"/>
      <c r="G15" s="28"/>
      <c r="H15" s="28"/>
      <c r="I15" s="541"/>
      <c r="J15" s="541"/>
      <c r="K15" s="545"/>
      <c r="L15" s="545"/>
      <c r="M15" s="545"/>
      <c r="N15" s="545"/>
      <c r="O15" s="22"/>
      <c r="P15" s="22"/>
      <c r="Q15" s="9"/>
      <c r="R15" s="29"/>
      <c r="S15" s="29"/>
      <c r="T15" s="29"/>
      <c r="U15" s="29"/>
      <c r="V15" s="29"/>
      <c r="W15" s="29"/>
      <c r="X15" s="13"/>
      <c r="Y15" s="13"/>
    </row>
    <row r="16" spans="1:25">
      <c r="B16" s="516" t="s">
        <v>1380</v>
      </c>
      <c r="C16" s="517" t="str">
        <f>E15</f>
        <v>INMCMT</v>
      </c>
      <c r="D16" s="517"/>
      <c r="E16" s="517"/>
      <c r="F16" s="517"/>
      <c r="G16" s="581">
        <f>SUM(G6:G15)</f>
        <v>0</v>
      </c>
      <c r="H16" s="581">
        <f>SUM(H6:H15)</f>
        <v>0</v>
      </c>
      <c r="I16" s="581">
        <f ca="1">VLOOKUP($B6,Drivers!$E$58:$H$77,4,FALSE)</f>
        <v>0</v>
      </c>
      <c r="J16" s="581">
        <f ca="1">VLOOKUP($B6,Driver2!$E$58:$H$77,4,FALSE)</f>
        <v>0</v>
      </c>
      <c r="K16" s="581">
        <f ca="1">G16/(I16+Tiny)</f>
        <v>0</v>
      </c>
      <c r="L16" s="581">
        <f ca="1">H16/(J16+Tiny)</f>
        <v>0</v>
      </c>
      <c r="M16" s="518"/>
      <c r="N16" s="518"/>
      <c r="O16" s="517"/>
      <c r="P16" s="517" t="s">
        <v>784</v>
      </c>
      <c r="Q16" s="517"/>
      <c r="R16" s="517"/>
      <c r="S16" s="517"/>
      <c r="T16" s="517"/>
      <c r="U16" s="517"/>
      <c r="V16" s="517"/>
      <c r="W16" s="517"/>
      <c r="X16" s="517"/>
      <c r="Y16" s="517"/>
    </row>
    <row r="17" spans="2:25">
      <c r="B17" s="35" t="s">
        <v>965</v>
      </c>
      <c r="C17" s="23" t="s">
        <v>818</v>
      </c>
      <c r="D17" s="9" t="s">
        <v>654</v>
      </c>
      <c r="E17" s="9"/>
      <c r="F17" s="9"/>
      <c r="G17" s="21">
        <f ca="1">VLOOKUP($B17,Calibration!$B$172:$T$206,2,FALSE)</f>
        <v>0</v>
      </c>
      <c r="H17" s="21">
        <f ca="1">VLOOKUP($B17,Calibrati2!$B$172:$T$206,2,FALSE)</f>
        <v>0</v>
      </c>
      <c r="I17" s="62">
        <f t="shared" ref="I17:J24" si="1">IF($I$28=0,0,G17/$I$28)</f>
        <v>0</v>
      </c>
      <c r="J17" s="62">
        <f t="shared" si="1"/>
        <v>0</v>
      </c>
      <c r="K17" s="542">
        <f>I28</f>
        <v>1.357</v>
      </c>
      <c r="L17" s="542">
        <f>J28</f>
        <v>1.510974</v>
      </c>
      <c r="M17" s="542">
        <v>0</v>
      </c>
      <c r="N17" s="17">
        <v>1</v>
      </c>
      <c r="O17" s="12">
        <v>1</v>
      </c>
      <c r="P17" s="12">
        <v>1</v>
      </c>
      <c r="Q17">
        <v>100</v>
      </c>
      <c r="R17" s="31"/>
      <c r="S17" s="31"/>
      <c r="T17" s="31"/>
      <c r="U17" s="31"/>
      <c r="V17" s="31"/>
      <c r="W17" s="319"/>
      <c r="X17" s="12"/>
      <c r="Y17" s="55">
        <f>K17*0.02</f>
        <v>2.7140000000000001E-2</v>
      </c>
    </row>
    <row r="18" spans="2:25">
      <c r="B18" s="9"/>
      <c r="C18" s="23"/>
      <c r="D18" s="9" t="s">
        <v>906</v>
      </c>
      <c r="E18" s="9"/>
      <c r="F18" s="9"/>
      <c r="G18" s="21">
        <f ca="1">VLOOKUP($B$17,Calibration!$B$172:$T$206,HLOOKUP($D18,Calibration!$C$3:$T$4,2,FALSE),FALSE)</f>
        <v>0.36211398649639631</v>
      </c>
      <c r="H18" s="21">
        <f ca="1">VLOOKUP($B$17,Calibrati2!$B$172:$T$206,HLOOKUP($D18,Calibrati2!$C$3:$T$4,2,FALSE),FALSE)</f>
        <v>0.15240061404863264</v>
      </c>
      <c r="I18" s="62">
        <f t="shared" si="1"/>
        <v>0.26684892151539891</v>
      </c>
      <c r="J18" s="62">
        <f t="shared" si="1"/>
        <v>0.11230701108963349</v>
      </c>
      <c r="K18" s="542"/>
      <c r="L18" s="9"/>
      <c r="M18" s="542"/>
      <c r="N18" s="542"/>
      <c r="O18" s="9"/>
      <c r="P18" s="9"/>
      <c r="Q18" s="9"/>
      <c r="R18" s="31"/>
      <c r="S18" s="31"/>
      <c r="T18" s="31"/>
      <c r="U18" s="31"/>
      <c r="V18" s="31"/>
      <c r="W18" s="31"/>
      <c r="X18" s="12"/>
      <c r="Y18" s="12"/>
    </row>
    <row r="19" spans="2:25">
      <c r="B19" s="9"/>
      <c r="C19" s="23"/>
      <c r="D19" s="9" t="s">
        <v>909</v>
      </c>
      <c r="E19" s="9"/>
      <c r="F19" s="9"/>
      <c r="G19" s="21">
        <f ca="1">VLOOKUP($B$17,Calibration!$B$172:$T$206,HLOOKUP($D19,Calibration!$C$3:$T$4,2,FALSE),FALSE)</f>
        <v>1.4161834926002375</v>
      </c>
      <c r="H19" s="21">
        <f ca="1">VLOOKUP($B$17,Calibrati2!$B$172:$T$206,HLOOKUP($D19,Calibrati2!$C$3:$T$4,2,FALSE),FALSE)</f>
        <v>0.49694475053724085</v>
      </c>
      <c r="I19" s="62">
        <f t="shared" si="1"/>
        <v>1.0436134801770358</v>
      </c>
      <c r="J19" s="62">
        <f t="shared" si="1"/>
        <v>0.36620836443422317</v>
      </c>
      <c r="K19" s="542"/>
      <c r="L19" s="9"/>
      <c r="M19" s="542"/>
      <c r="N19" s="542"/>
      <c r="O19" s="9"/>
      <c r="P19" s="9"/>
      <c r="Q19" s="9"/>
      <c r="R19" s="31"/>
      <c r="S19" s="31"/>
      <c r="T19" s="31"/>
      <c r="U19" s="31"/>
      <c r="V19" s="31"/>
      <c r="W19" s="31"/>
      <c r="X19" s="12"/>
      <c r="Y19" s="12"/>
    </row>
    <row r="20" spans="2:25">
      <c r="B20" s="9"/>
      <c r="C20" s="23"/>
      <c r="D20" s="9" t="s">
        <v>913</v>
      </c>
      <c r="E20" s="9"/>
      <c r="F20" s="9"/>
      <c r="G20" s="21">
        <f ca="1">VLOOKUP($B$17,Calibration!$B$172:$T$206,HLOOKUP($D20,Calibration!$C$3:$T$4,2,FALSE),FALSE)</f>
        <v>0.29443248387783139</v>
      </c>
      <c r="H20" s="21">
        <f ca="1">VLOOKUP($B$17,Calibrati2!$B$172:$T$206,HLOOKUP($D20,Calibrati2!$C$3:$T$4,2,FALSE),FALSE)</f>
        <v>0.1495112615600897</v>
      </c>
      <c r="I20" s="62">
        <f t="shared" si="1"/>
        <v>0.21697309055109165</v>
      </c>
      <c r="J20" s="62">
        <f t="shared" si="1"/>
        <v>0.11017779039063354</v>
      </c>
      <c r="K20" s="542"/>
      <c r="L20" s="9"/>
      <c r="M20" s="542"/>
      <c r="N20" s="542"/>
      <c r="O20" s="9"/>
      <c r="P20" s="9"/>
      <c r="Q20" s="9"/>
      <c r="R20" s="31"/>
      <c r="S20" s="31"/>
      <c r="T20" s="31"/>
      <c r="U20" s="31"/>
      <c r="V20" s="427">
        <v>3</v>
      </c>
      <c r="W20" s="31"/>
      <c r="X20" s="12"/>
      <c r="Y20" s="12"/>
    </row>
    <row r="21" spans="2:25">
      <c r="B21" s="52"/>
      <c r="C21" s="50"/>
      <c r="D21" s="52" t="s">
        <v>916</v>
      </c>
      <c r="E21" s="52"/>
      <c r="F21" s="52"/>
      <c r="G21" s="21">
        <f ca="1">VLOOKUP($B$17,Calibration!$B$172:$T$206,HLOOKUP($D21,Calibration!$C$3:$T$4,2,FALSE),FALSE)</f>
        <v>0.93740197427171446</v>
      </c>
      <c r="H21" s="21">
        <f ca="1">VLOOKUP($B$17,Calibrati2!$B$172:$T$206,HLOOKUP($D21,Calibrati2!$C$3:$T$4,2,FALSE),FALSE)</f>
        <v>1.7037144139067275</v>
      </c>
      <c r="I21" s="62">
        <f t="shared" si="1"/>
        <v>0.69078995893272988</v>
      </c>
      <c r="J21" s="62">
        <f t="shared" si="1"/>
        <v>1.2555006734758494</v>
      </c>
      <c r="K21" s="543"/>
      <c r="L21" s="9"/>
      <c r="M21" s="543"/>
      <c r="N21" s="543"/>
      <c r="O21" s="52"/>
      <c r="P21" s="52"/>
      <c r="Q21" s="9"/>
      <c r="R21" s="31"/>
      <c r="S21" s="31"/>
      <c r="T21" s="31"/>
      <c r="U21" s="31"/>
      <c r="V21" s="427">
        <v>3</v>
      </c>
      <c r="W21" s="31"/>
      <c r="X21" s="49"/>
      <c r="Y21" s="49"/>
    </row>
    <row r="22" spans="2:25">
      <c r="B22" s="52"/>
      <c r="C22" s="50"/>
      <c r="D22" s="52" t="s">
        <v>917</v>
      </c>
      <c r="E22" s="52"/>
      <c r="F22" s="52"/>
      <c r="G22" s="21">
        <f ca="1">VLOOKUP($B$17,Calibration!$B$172:$T$206,HLOOKUP($D22,Calibration!$C$3:$T$4,2,FALSE),FALSE)</f>
        <v>0.17830648074479521</v>
      </c>
      <c r="H22" s="21">
        <f ca="1">VLOOKUP($B$17,Calibrati2!$B$172:$T$206,HLOOKUP($D22,Calibrati2!$C$3:$T$4,2,FALSE),FALSE)</f>
        <v>1.8663138211704018</v>
      </c>
      <c r="I22" s="62">
        <f t="shared" si="1"/>
        <v>0.13139755397553074</v>
      </c>
      <c r="J22" s="62">
        <f t="shared" si="1"/>
        <v>1.3753233759546071</v>
      </c>
      <c r="K22" s="543"/>
      <c r="L22" s="9"/>
      <c r="M22" s="543"/>
      <c r="N22" s="543"/>
      <c r="O22" s="52"/>
      <c r="P22" s="52"/>
      <c r="Q22" s="9"/>
      <c r="R22" s="31"/>
      <c r="S22" s="31"/>
      <c r="T22" s="31"/>
      <c r="U22" s="31"/>
      <c r="V22" s="31"/>
      <c r="W22" s="31"/>
      <c r="X22" s="49"/>
      <c r="Y22" s="49"/>
    </row>
    <row r="23" spans="2:25">
      <c r="B23" s="9"/>
      <c r="C23" s="23"/>
      <c r="D23" s="9" t="s">
        <v>92</v>
      </c>
      <c r="E23" s="9"/>
      <c r="F23" s="9"/>
      <c r="G23" s="21">
        <f ca="1">VLOOKUP($B$17,Drivers!$T$58:$V$76,3,FALSE)*VLOOKUP($D23,Calibration!$A$220:$U$224,21,0)</f>
        <v>0.42818304964570814</v>
      </c>
      <c r="H23" s="21">
        <f ca="1">VLOOKUP($B$17,Driver2!$T$58:$V$76,3,FALSE)*VLOOKUP($D23,Calibrati2!$A$220:$U$224,21,0)</f>
        <v>0.28859557949213549</v>
      </c>
      <c r="I23" s="62">
        <f t="shared" si="1"/>
        <v>0.31553651410884903</v>
      </c>
      <c r="J23" s="62">
        <f t="shared" si="1"/>
        <v>0.21267176086376971</v>
      </c>
      <c r="K23" s="542"/>
      <c r="L23" s="9"/>
      <c r="M23" s="542"/>
      <c r="N23" s="542"/>
      <c r="O23" s="9"/>
      <c r="P23" s="9"/>
      <c r="Q23" s="9"/>
      <c r="R23" s="31"/>
      <c r="S23" s="31"/>
      <c r="T23" s="31"/>
      <c r="U23" s="31"/>
      <c r="V23" s="31"/>
      <c r="W23" s="31"/>
      <c r="X23" s="12"/>
      <c r="Y23" s="12"/>
    </row>
    <row r="24" spans="2:25">
      <c r="B24" s="9"/>
      <c r="C24" s="23"/>
      <c r="D24" s="9" t="s">
        <v>653</v>
      </c>
      <c r="E24" s="9" t="s">
        <v>1519</v>
      </c>
      <c r="F24" s="304" t="s">
        <v>1526</v>
      </c>
      <c r="G24" s="21">
        <f ca="1">VLOOKUP($B$17,Drivers!$T$58:$V$76,2,FALSE)*VLOOKUP($D24,Calibration!$A$211:$U$215,21,0)</f>
        <v>0.61059836197128892</v>
      </c>
      <c r="H24" s="21">
        <f ca="1">VLOOKUP($B$17,Driver2!$T$58:$V$76,2,FALSE)*VLOOKUP($D24,Calibrati2!$A$211:$U$215,21,0)</f>
        <v>0.57570036355388732</v>
      </c>
      <c r="I24" s="62">
        <f t="shared" si="1"/>
        <v>0.44996194692062558</v>
      </c>
      <c r="J24" s="62">
        <f t="shared" si="1"/>
        <v>0.42424492524236351</v>
      </c>
      <c r="K24" s="542"/>
      <c r="L24" s="9"/>
      <c r="M24" s="542"/>
      <c r="N24" s="542"/>
      <c r="O24" s="9"/>
      <c r="P24" s="9"/>
      <c r="Q24" s="9"/>
      <c r="R24" s="31"/>
      <c r="S24" s="31">
        <v>0.78517936887871098</v>
      </c>
      <c r="T24" s="31"/>
      <c r="U24" s="31"/>
      <c r="V24" s="31"/>
      <c r="W24" s="31"/>
      <c r="X24" s="12"/>
      <c r="Y24" s="12"/>
    </row>
    <row r="25" spans="2:25">
      <c r="B25" s="9"/>
      <c r="C25" s="23"/>
      <c r="D25" s="23" t="s">
        <v>1517</v>
      </c>
      <c r="E25" s="9" t="s">
        <v>1519</v>
      </c>
      <c r="F25" s="304" t="s">
        <v>1527</v>
      </c>
      <c r="G25" s="21"/>
      <c r="H25" s="21"/>
      <c r="I25" s="62">
        <f>S24*100/56+(1-S24)</f>
        <v>1.6169266469761301</v>
      </c>
      <c r="J25" s="62">
        <f>I25</f>
        <v>1.6169266469761301</v>
      </c>
      <c r="K25" s="542"/>
      <c r="L25" s="9"/>
      <c r="M25" s="542"/>
      <c r="N25" s="542"/>
      <c r="O25" s="9"/>
      <c r="P25" s="9"/>
      <c r="Q25" s="9"/>
      <c r="R25" s="31"/>
      <c r="S25" s="31">
        <f>S$24</f>
        <v>0.78517936887871098</v>
      </c>
      <c r="T25" s="31"/>
      <c r="U25" s="31"/>
      <c r="V25" s="31"/>
      <c r="W25" s="31"/>
      <c r="X25" s="12"/>
      <c r="Y25" s="12"/>
    </row>
    <row r="26" spans="2:25">
      <c r="B26" s="9"/>
      <c r="C26" s="23"/>
      <c r="D26" s="9"/>
      <c r="E26" s="9" t="s">
        <v>372</v>
      </c>
      <c r="F26" s="9"/>
      <c r="G26" s="21"/>
      <c r="H26" s="21"/>
      <c r="I26" s="62"/>
      <c r="J26" s="9"/>
      <c r="K26" s="542"/>
      <c r="L26" s="9"/>
      <c r="M26" s="542"/>
      <c r="N26" s="542"/>
      <c r="O26" s="9"/>
      <c r="P26" s="9"/>
      <c r="Q26" s="9"/>
      <c r="R26" s="319">
        <f>0.51*0.9*1000</f>
        <v>459</v>
      </c>
      <c r="S26" s="31"/>
      <c r="T26" s="31"/>
      <c r="U26" s="31"/>
      <c r="V26" s="31"/>
      <c r="W26" s="31"/>
      <c r="X26" s="12"/>
      <c r="Y26" s="12"/>
    </row>
    <row r="27" spans="2:25" ht="13.5" thickBot="1">
      <c r="B27" s="22"/>
      <c r="C27" s="24"/>
      <c r="D27" s="22"/>
      <c r="E27" s="22" t="s">
        <v>696</v>
      </c>
      <c r="F27" s="22"/>
      <c r="G27" s="28"/>
      <c r="H27" s="28"/>
      <c r="I27" s="541"/>
      <c r="J27" s="545"/>
      <c r="K27" s="545"/>
      <c r="L27" s="545"/>
      <c r="M27" s="545"/>
      <c r="N27" s="545"/>
      <c r="O27" s="22"/>
      <c r="P27" s="22"/>
      <c r="Q27" s="9"/>
      <c r="R27" s="29"/>
      <c r="S27" s="29"/>
      <c r="T27" s="29"/>
      <c r="U27" s="29"/>
      <c r="V27" s="29"/>
      <c r="W27" s="29"/>
      <c r="X27" s="13"/>
      <c r="Y27" s="13"/>
    </row>
    <row r="28" spans="2:25">
      <c r="B28" s="516" t="s">
        <v>1380</v>
      </c>
      <c r="C28" s="517" t="str">
        <f>E27</f>
        <v>INMCMT</v>
      </c>
      <c r="D28" s="517"/>
      <c r="E28" s="517"/>
      <c r="F28" s="517"/>
      <c r="G28" s="580">
        <f>SUM(G17:G24)</f>
        <v>4.2272198296079715</v>
      </c>
      <c r="H28" s="580">
        <f>SUM(H17:H24)</f>
        <v>5.2331808042691144</v>
      </c>
      <c r="I28" s="580">
        <f ca="1">VLOOKUP($B17,Drivers!$E$58:$H$77,4,FALSE)</f>
        <v>1.357</v>
      </c>
      <c r="J28" s="580">
        <f ca="1">VLOOKUP($B17,Driver2!$E$58:$H$77,4,FALSE)</f>
        <v>1.510974</v>
      </c>
      <c r="K28" s="580">
        <f ca="1">G28/(I28+Tiny)</f>
        <v>3.1151214638856666</v>
      </c>
      <c r="L28" s="580">
        <f ca="1">H28/(J28+Tiny)</f>
        <v>3.4634486105026725</v>
      </c>
      <c r="M28" s="518"/>
      <c r="N28" s="518"/>
      <c r="O28" s="517"/>
      <c r="P28" s="517"/>
      <c r="Q28" s="517"/>
      <c r="R28" s="517"/>
      <c r="S28" s="517"/>
      <c r="T28" s="517"/>
      <c r="U28" s="517"/>
      <c r="V28" s="517"/>
      <c r="W28" s="517"/>
      <c r="X28" s="517"/>
      <c r="Y28" s="517"/>
    </row>
    <row r="29" spans="2:25">
      <c r="B29" s="35" t="s">
        <v>412</v>
      </c>
      <c r="C29" s="23" t="s">
        <v>416</v>
      </c>
      <c r="D29" s="9" t="s">
        <v>906</v>
      </c>
      <c r="E29" s="9"/>
      <c r="F29" s="9"/>
      <c r="G29" s="21">
        <f ca="1">VLOOKUP($B$29,Calibration!$B$172:$T$206,HLOOKUP($D29,Calibration!$C$3:$T$4,2,FALSE),FALSE)</f>
        <v>0.43129085822723034</v>
      </c>
      <c r="H29" s="21">
        <f ca="1">VLOOKUP($B$29,Calibrati2!$B$172:$T$206,HLOOKUP($D29,Calibrati2!$C$3:$T$4,2,FALSE),FALSE)</f>
        <v>0.32149306098177355</v>
      </c>
      <c r="I29" s="62">
        <f t="shared" ref="I29:J33" si="2">IF($I$37=0,0,G29/$I$37)</f>
        <v>0.72437161274308093</v>
      </c>
      <c r="J29" s="62">
        <f t="shared" si="2"/>
        <v>0.53996147292874297</v>
      </c>
      <c r="K29" s="542">
        <f>I37</f>
        <v>0.59539999999999993</v>
      </c>
      <c r="L29" s="542">
        <f>J37</f>
        <v>0.49989999999999996</v>
      </c>
      <c r="M29" s="542">
        <v>0</v>
      </c>
      <c r="N29" s="17">
        <v>1</v>
      </c>
      <c r="O29" s="12">
        <v>1</v>
      </c>
      <c r="P29" s="12">
        <v>20</v>
      </c>
      <c r="Q29" s="9">
        <v>50</v>
      </c>
      <c r="R29" s="55"/>
      <c r="S29" s="55"/>
      <c r="T29" s="55"/>
      <c r="U29" s="55"/>
      <c r="V29" s="55"/>
      <c r="W29" s="55"/>
      <c r="X29" s="49"/>
      <c r="Y29" s="55">
        <f>K29*0.02</f>
        <v>1.1907999999999998E-2</v>
      </c>
    </row>
    <row r="30" spans="2:25">
      <c r="B30" s="52"/>
      <c r="C30" s="50"/>
      <c r="D30" s="9" t="s">
        <v>909</v>
      </c>
      <c r="E30" s="9"/>
      <c r="F30" s="9"/>
      <c r="G30" s="21">
        <f ca="1">VLOOKUP($B$29,Calibration!$B$172:$T$206,HLOOKUP($D30,Calibration!$C$3:$T$4,2,FALSE),FALSE)</f>
        <v>1.311897823752767</v>
      </c>
      <c r="H30" s="21">
        <f ca="1">VLOOKUP($B$29,Calibrati2!$B$172:$T$206,HLOOKUP($D30,Calibrati2!$C$3:$T$4,2,FALSE),FALSE)</f>
        <v>0.81535835294266135</v>
      </c>
      <c r="I30" s="62">
        <f t="shared" si="2"/>
        <v>2.20338902209064</v>
      </c>
      <c r="J30" s="62">
        <f t="shared" si="2"/>
        <v>1.3694295481065861</v>
      </c>
      <c r="K30" s="543"/>
      <c r="L30" s="9"/>
      <c r="M30" s="543"/>
      <c r="N30" s="543"/>
      <c r="O30" s="52"/>
      <c r="P30" s="52"/>
      <c r="Q30" s="9"/>
      <c r="R30" s="55"/>
      <c r="S30" s="55"/>
      <c r="T30" s="55"/>
      <c r="U30" s="55"/>
      <c r="V30" s="55"/>
      <c r="W30" s="55"/>
      <c r="X30" s="49"/>
      <c r="Y30" s="49"/>
    </row>
    <row r="31" spans="2:25">
      <c r="B31" s="52"/>
      <c r="C31" s="50"/>
      <c r="D31" s="9" t="s">
        <v>913</v>
      </c>
      <c r="E31" s="9"/>
      <c r="F31" s="9"/>
      <c r="G31" s="21">
        <f ca="1">VLOOKUP($B$29,Calibration!$B$172:$T$206,HLOOKUP($D31,Calibration!$C$3:$T$4,2,FALSE),FALSE)</f>
        <v>0.25976277042503965</v>
      </c>
      <c r="H31" s="21">
        <f ca="1">VLOOKUP($B$29,Calibrati2!$B$172:$T$206,HLOOKUP($D31,Calibrati2!$C$3:$T$4,2,FALSE),FALSE)</f>
        <v>0.23362807164650823</v>
      </c>
      <c r="I31" s="62">
        <f t="shared" si="2"/>
        <v>0.43628278539643883</v>
      </c>
      <c r="J31" s="62">
        <f t="shared" si="2"/>
        <v>0.39238843071297996</v>
      </c>
      <c r="K31" s="543"/>
      <c r="L31" s="9"/>
      <c r="M31" s="543"/>
      <c r="N31" s="543"/>
      <c r="O31" s="52"/>
      <c r="P31" s="52"/>
      <c r="Q31" s="9"/>
      <c r="R31" s="55"/>
      <c r="S31" s="55"/>
      <c r="T31" s="55"/>
      <c r="U31" s="55"/>
      <c r="V31" s="427">
        <v>3</v>
      </c>
      <c r="W31" s="55"/>
      <c r="X31" s="49"/>
      <c r="Y31" s="49"/>
    </row>
    <row r="32" spans="2:25">
      <c r="B32" s="52"/>
      <c r="C32" s="50"/>
      <c r="D32" s="9" t="s">
        <v>92</v>
      </c>
      <c r="E32" s="9"/>
      <c r="F32" s="9"/>
      <c r="G32" s="21">
        <f ca="1">VLOOKUP($B$29,Drivers!$T$58:$V$76,3,FALSE)*VLOOKUP($D32,Calibration!$A$220:$U$224,21,0)</f>
        <v>0.40125255056859732</v>
      </c>
      <c r="H32" s="21">
        <f ca="1">VLOOKUP($B$29,Driver2!$T$58:$V$76,3,FALSE)*VLOOKUP($D32,Calibrati2!$A$220:$U$224,21,0)</f>
        <v>0.20392720758151336</v>
      </c>
      <c r="I32" s="62">
        <f t="shared" si="2"/>
        <v>0.67392097844910548</v>
      </c>
      <c r="J32" s="62">
        <f t="shared" si="2"/>
        <v>0.34250454750002246</v>
      </c>
      <c r="K32" s="543"/>
      <c r="L32" s="9"/>
      <c r="M32" s="543"/>
      <c r="N32" s="543"/>
      <c r="O32" s="52"/>
      <c r="P32" s="52"/>
      <c r="Q32" s="9"/>
      <c r="R32" s="55"/>
      <c r="S32" s="55"/>
      <c r="T32" s="55"/>
      <c r="U32" s="55"/>
      <c r="V32" s="55"/>
      <c r="W32" s="55"/>
      <c r="X32" s="49"/>
      <c r="Y32" s="49"/>
    </row>
    <row r="33" spans="1:25">
      <c r="B33" s="52"/>
      <c r="C33" s="50"/>
      <c r="D33" s="9" t="s">
        <v>653</v>
      </c>
      <c r="E33" s="9"/>
      <c r="F33" s="9"/>
      <c r="G33" s="21">
        <f ca="1">VLOOKUP($B$29,Drivers!$T$58:$V$76,2,FALSE)*VLOOKUP($D33,Calibration!$A$211:$U$215,21,0)</f>
        <v>0.1385727637223485</v>
      </c>
      <c r="H33" s="21">
        <f ca="1">VLOOKUP($B$29,Driver2!$T$58:$V$76,2,FALSE)*VLOOKUP($D33,Calibrati2!$A$211:$U$215,21,0)</f>
        <v>9.8518073409620807E-2</v>
      </c>
      <c r="I33" s="62">
        <f t="shared" si="2"/>
        <v>0.23273893806239254</v>
      </c>
      <c r="J33" s="62">
        <f t="shared" si="2"/>
        <v>0.16546535675112667</v>
      </c>
      <c r="K33" s="543"/>
      <c r="L33" s="9"/>
      <c r="M33" s="543"/>
      <c r="N33" s="543"/>
      <c r="O33" s="52"/>
      <c r="P33" s="52"/>
      <c r="Q33" s="9"/>
      <c r="R33" s="55"/>
      <c r="S33" s="55"/>
      <c r="T33" s="55"/>
      <c r="U33" s="55"/>
      <c r="V33" s="55"/>
      <c r="W33" s="55"/>
      <c r="X33" s="49"/>
      <c r="Y33" s="49"/>
    </row>
    <row r="34" spans="1:25">
      <c r="B34" s="52"/>
      <c r="C34" s="50"/>
      <c r="D34" s="23" t="s">
        <v>1517</v>
      </c>
      <c r="E34" s="9"/>
      <c r="F34" s="9"/>
      <c r="G34" s="21"/>
      <c r="H34" s="21"/>
      <c r="I34" s="62">
        <f>100/56</f>
        <v>1.7857142857142858</v>
      </c>
      <c r="J34" s="62">
        <f>100/56</f>
        <v>1.7857142857142858</v>
      </c>
      <c r="K34" s="543"/>
      <c r="L34" s="9"/>
      <c r="M34" s="543"/>
      <c r="N34" s="543"/>
      <c r="O34" s="52"/>
      <c r="P34" s="52"/>
      <c r="Q34" s="9"/>
      <c r="R34" s="55"/>
      <c r="S34" s="55"/>
      <c r="T34" s="55"/>
      <c r="U34" s="55"/>
      <c r="V34" s="55"/>
      <c r="W34" s="55"/>
      <c r="X34" s="49"/>
      <c r="Y34" s="49"/>
    </row>
    <row r="35" spans="1:25">
      <c r="B35" s="52"/>
      <c r="C35" s="50"/>
      <c r="D35" s="9"/>
      <c r="E35" s="9" t="s">
        <v>372</v>
      </c>
      <c r="F35" s="9"/>
      <c r="G35" s="21"/>
      <c r="H35" s="21"/>
      <c r="I35" s="62"/>
      <c r="J35" s="9"/>
      <c r="K35" s="543"/>
      <c r="L35" s="9"/>
      <c r="M35" s="543"/>
      <c r="N35" s="543"/>
      <c r="O35" s="52"/>
      <c r="P35" s="52"/>
      <c r="Q35" s="9"/>
      <c r="R35" s="319">
        <f>0.785*0.8*1000</f>
        <v>628.00000000000011</v>
      </c>
      <c r="S35" s="55"/>
      <c r="T35" s="55"/>
      <c r="U35" s="55"/>
      <c r="V35" s="55"/>
      <c r="W35" s="55"/>
      <c r="X35" s="49"/>
      <c r="Y35" s="49"/>
    </row>
    <row r="36" spans="1:25" ht="13.5" thickBot="1">
      <c r="B36" s="52"/>
      <c r="C36" s="50"/>
      <c r="D36" s="52"/>
      <c r="E36" s="22" t="s">
        <v>411</v>
      </c>
      <c r="F36" s="22"/>
      <c r="G36" s="53"/>
      <c r="H36" s="53"/>
      <c r="I36" s="541"/>
      <c r="J36" s="545"/>
      <c r="K36" s="545"/>
      <c r="L36" s="545"/>
      <c r="M36" s="545"/>
      <c r="N36" s="545"/>
      <c r="O36" s="22"/>
      <c r="P36" s="22"/>
      <c r="Q36" s="9"/>
      <c r="R36" s="55"/>
      <c r="S36" s="55"/>
      <c r="T36" s="55"/>
      <c r="U36" s="55"/>
      <c r="V36" s="55"/>
      <c r="W36" s="55"/>
      <c r="X36" s="49"/>
      <c r="Y36" s="49"/>
    </row>
    <row r="37" spans="1:25">
      <c r="B37" s="516" t="s">
        <v>1380</v>
      </c>
      <c r="C37" s="517" t="str">
        <f>E36</f>
        <v>INMLIM</v>
      </c>
      <c r="D37" s="517"/>
      <c r="E37" s="517"/>
      <c r="F37" s="517"/>
      <c r="G37" s="580">
        <f>SUM(G29:G33)</f>
        <v>2.5427767666959826</v>
      </c>
      <c r="H37" s="580">
        <f>SUM(H29:H33)</f>
        <v>1.672924766562077</v>
      </c>
      <c r="I37" s="580">
        <f ca="1">VLOOKUP($B29,Drivers!$E$58:$H$77,4,FALSE)</f>
        <v>0.59539999999999993</v>
      </c>
      <c r="J37" s="580">
        <f ca="1">VLOOKUP($B29,Driver2!$E$58:$H$77,4,FALSE)</f>
        <v>0.49989999999999996</v>
      </c>
      <c r="K37" s="580">
        <f ca="1">G37/(I37+Tiny)</f>
        <v>4.2707033295688275</v>
      </c>
      <c r="L37" s="580">
        <f ca="1">H37/(J37+Tiny)</f>
        <v>3.346518830197156</v>
      </c>
      <c r="M37" s="518"/>
      <c r="N37" s="518"/>
      <c r="O37" s="517"/>
      <c r="P37" s="517" t="s">
        <v>784</v>
      </c>
      <c r="Q37" s="517"/>
      <c r="R37" s="517"/>
      <c r="S37" s="517"/>
      <c r="T37" s="517"/>
      <c r="U37" s="517"/>
      <c r="V37" s="517"/>
      <c r="W37" s="517"/>
      <c r="X37" s="517"/>
      <c r="Y37" s="517"/>
    </row>
    <row r="38" spans="1:25">
      <c r="B38" s="35" t="s">
        <v>362</v>
      </c>
      <c r="C38" s="23" t="s">
        <v>819</v>
      </c>
      <c r="D38" s="9" t="s">
        <v>654</v>
      </c>
      <c r="E38" s="9"/>
      <c r="F38" s="9"/>
      <c r="G38" s="21">
        <f ca="1">VLOOKUP($B38,Calibration!$B$172:$T$206,2,FALSE)</f>
        <v>0.36783600394942123</v>
      </c>
      <c r="H38" s="21">
        <f ca="1">VLOOKUP($B38,Calibrati2!$B$172:$T$206,2,FALSE)</f>
        <v>0.41560686524606644</v>
      </c>
      <c r="I38" s="62">
        <f t="shared" ref="I38:J43" si="3">IF($I$46=0,0,G38/$I$46)</f>
        <v>1.166611121414183</v>
      </c>
      <c r="J38" s="62">
        <f t="shared" si="3"/>
        <v>1.3181189060514469</v>
      </c>
      <c r="K38" s="542">
        <f>I46</f>
        <v>0.31530301502999997</v>
      </c>
      <c r="L38" s="542">
        <f>J46</f>
        <v>0.32485701168842396</v>
      </c>
      <c r="M38" s="542">
        <v>0</v>
      </c>
      <c r="N38" s="17">
        <v>1</v>
      </c>
      <c r="O38" s="12">
        <v>1</v>
      </c>
      <c r="P38" s="12">
        <v>30</v>
      </c>
      <c r="R38" s="31"/>
      <c r="S38" s="31"/>
      <c r="T38" s="31"/>
      <c r="U38" s="31"/>
      <c r="V38" s="31"/>
      <c r="W38" s="319"/>
      <c r="X38" s="12"/>
      <c r="Y38" s="12"/>
    </row>
    <row r="39" spans="1:25">
      <c r="B39" s="9"/>
      <c r="C39" s="23"/>
      <c r="D39" s="9" t="s">
        <v>906</v>
      </c>
      <c r="E39" s="9"/>
      <c r="F39" s="9"/>
      <c r="G39" s="21">
        <f ca="1">VLOOKUP($B$38,Calibration!$B$172:$T$206,HLOOKUP($D39,Calibration!$C$3:$T$4,2,FALSE),FALSE)</f>
        <v>0.33361185149412764</v>
      </c>
      <c r="H39" s="21">
        <f ca="1">VLOOKUP($B$38,Calibrati2!$B$172:$T$206,HLOOKUP($D39,Calibrati2!$C$3:$T$4,2,FALSE),FALSE)</f>
        <v>0.23550626414811487</v>
      </c>
      <c r="I39" s="62">
        <f t="shared" si="3"/>
        <v>1.0580674322520691</v>
      </c>
      <c r="J39" s="62">
        <f t="shared" si="3"/>
        <v>0.74692043184460921</v>
      </c>
      <c r="K39" s="542"/>
      <c r="L39" s="9"/>
      <c r="M39" s="542"/>
      <c r="N39" s="542"/>
      <c r="O39" s="9"/>
      <c r="P39" s="9"/>
      <c r="Q39" s="9"/>
      <c r="R39" s="31"/>
      <c r="S39" s="31"/>
      <c r="T39" s="31"/>
      <c r="U39" s="31"/>
      <c r="V39" s="31"/>
      <c r="W39" s="31"/>
      <c r="X39" s="12"/>
      <c r="Y39" s="12"/>
    </row>
    <row r="40" spans="1:25">
      <c r="B40" s="9"/>
      <c r="C40" s="23"/>
      <c r="D40" s="9" t="s">
        <v>913</v>
      </c>
      <c r="E40" s="9"/>
      <c r="F40" s="9"/>
      <c r="G40" s="21">
        <f ca="1">VLOOKUP($B$38,Calibration!$B$172:$T$206,HLOOKUP($D40,Calibration!$C$3:$T$4,2,FALSE),FALSE)</f>
        <v>0.13973875678366676</v>
      </c>
      <c r="H40" s="21">
        <f ca="1">VLOOKUP($B$38,Calibrati2!$B$172:$T$206,HLOOKUP($D40,Calibrati2!$C$3:$T$4,2,FALSE),FALSE)</f>
        <v>0.1190212847743609</v>
      </c>
      <c r="I40" s="62">
        <f t="shared" si="3"/>
        <v>0.44318877436161247</v>
      </c>
      <c r="J40" s="62">
        <f t="shared" si="3"/>
        <v>0.37748222852558655</v>
      </c>
      <c r="K40" s="542"/>
      <c r="L40" s="9"/>
      <c r="M40" s="542"/>
      <c r="N40" s="542"/>
      <c r="O40" s="9"/>
      <c r="P40" s="9"/>
      <c r="Q40" s="9"/>
      <c r="R40" s="31"/>
      <c r="S40" s="31"/>
      <c r="T40" s="31"/>
      <c r="U40" s="31"/>
      <c r="V40" s="427">
        <v>3</v>
      </c>
      <c r="W40" s="31"/>
      <c r="X40" s="12"/>
      <c r="Y40" s="12"/>
    </row>
    <row r="41" spans="1:25">
      <c r="B41" s="9"/>
      <c r="C41" s="23"/>
      <c r="D41" s="9" t="s">
        <v>826</v>
      </c>
      <c r="E41" s="9"/>
      <c r="F41" s="9"/>
      <c r="G41" s="21">
        <f ca="1">VLOOKUP($B$38,Calibration!$B$172:$T$206,HLOOKUP($D41,Calibration!$C$3:$T$4,2,FALSE),FALSE)</f>
        <v>0</v>
      </c>
      <c r="H41" s="21">
        <f ca="1">VLOOKUP($B$38,Calibrati2!$B$172:$T$206,HLOOKUP($D41,Calibrati2!$C$3:$T$4,2,FALSE),FALSE)</f>
        <v>0</v>
      </c>
      <c r="I41" s="62">
        <f t="shared" si="3"/>
        <v>0</v>
      </c>
      <c r="J41" s="62">
        <f t="shared" si="3"/>
        <v>0</v>
      </c>
      <c r="K41" s="542"/>
      <c r="L41" s="9"/>
      <c r="M41" s="542"/>
      <c r="N41" s="542"/>
      <c r="O41" s="9"/>
      <c r="P41" s="9"/>
      <c r="Q41" s="9"/>
      <c r="R41" s="31"/>
      <c r="S41" s="31"/>
      <c r="T41" s="31"/>
      <c r="U41" s="31"/>
      <c r="V41" s="31"/>
      <c r="W41" s="31"/>
      <c r="X41" s="12"/>
      <c r="Y41" s="12"/>
    </row>
    <row r="42" spans="1:25">
      <c r="B42" s="9"/>
      <c r="C42" s="23"/>
      <c r="D42" s="9" t="s">
        <v>92</v>
      </c>
      <c r="E42" s="9"/>
      <c r="F42" s="9"/>
      <c r="G42" s="21">
        <f ca="1">VLOOKUP($B$38,Drivers!$T$58:$V$76,3,FALSE)*VLOOKUP($D42,Calibration!$A$220:$U$224,21,0)</f>
        <v>0.69011363110218382</v>
      </c>
      <c r="H42" s="21">
        <f ca="1">VLOOKUP($B$38,Driver2!$T$58:$V$76,3,FALSE)*VLOOKUP($D42,Calibrati2!$A$220:$U$224,21,0)</f>
        <v>0.43039556443588345</v>
      </c>
      <c r="I42" s="62">
        <f t="shared" si="3"/>
        <v>2.1887314684780987</v>
      </c>
      <c r="J42" s="62">
        <f t="shared" si="3"/>
        <v>1.3650220388629422</v>
      </c>
      <c r="K42" s="542"/>
      <c r="L42" s="9"/>
      <c r="M42" s="542"/>
      <c r="N42" s="542"/>
      <c r="O42" s="9"/>
      <c r="P42" s="9"/>
      <c r="Q42" s="9"/>
      <c r="R42" s="31"/>
      <c r="S42" s="31"/>
      <c r="T42" s="31"/>
      <c r="U42" s="31"/>
      <c r="V42" s="31"/>
      <c r="W42" s="31"/>
      <c r="X42" s="12"/>
      <c r="Y42" s="12"/>
    </row>
    <row r="43" spans="1:25">
      <c r="B43" s="9"/>
      <c r="C43" s="23"/>
      <c r="D43" s="9" t="s">
        <v>653</v>
      </c>
      <c r="E43" s="9"/>
      <c r="F43" s="9"/>
      <c r="G43" s="21">
        <f ca="1">VLOOKUP($B$38,Drivers!$T$58:$V$76,2,FALSE)*VLOOKUP($D43,Calibration!$A$211:$U$215,21,0)</f>
        <v>0.10299208700164054</v>
      </c>
      <c r="H43" s="21">
        <f ca="1">VLOOKUP($B$38,Driver2!$T$58:$V$76,2,FALSE)*VLOOKUP($D43,Calibrati2!$A$211:$U$215,21,0)</f>
        <v>8.9852818618660152E-2</v>
      </c>
      <c r="I43" s="62">
        <f t="shared" si="3"/>
        <v>0.32664478959023341</v>
      </c>
      <c r="J43" s="62">
        <f t="shared" si="3"/>
        <v>0.28497291283469323</v>
      </c>
      <c r="K43" s="542"/>
      <c r="L43" s="9"/>
      <c r="M43" s="542"/>
      <c r="N43" s="542"/>
      <c r="O43" s="9"/>
      <c r="P43" s="9"/>
      <c r="Q43" s="9"/>
      <c r="R43" s="31"/>
      <c r="S43" s="31"/>
      <c r="T43" s="31"/>
      <c r="U43" s="31"/>
      <c r="V43" s="31"/>
      <c r="W43" s="31"/>
      <c r="X43" s="12"/>
      <c r="Y43" s="12"/>
    </row>
    <row r="44" spans="1:25">
      <c r="B44" s="9"/>
      <c r="C44" s="23"/>
      <c r="D44" s="23" t="s">
        <v>395</v>
      </c>
      <c r="E44" s="9"/>
      <c r="F44" s="9"/>
      <c r="G44" s="21"/>
      <c r="H44" s="21"/>
      <c r="I44" s="62">
        <f ca="1">Tiny</f>
        <v>1.0000000000000001E-9</v>
      </c>
      <c r="J44" s="62">
        <f ca="1">Tiny</f>
        <v>1.0000000000000001E-9</v>
      </c>
      <c r="K44" s="542"/>
      <c r="L44" s="9"/>
      <c r="M44" s="542"/>
      <c r="N44" s="542"/>
      <c r="O44" s="9"/>
      <c r="P44" s="9"/>
      <c r="Q44" s="9"/>
      <c r="R44" s="31"/>
      <c r="S44" s="31"/>
      <c r="T44" s="31"/>
      <c r="U44" s="31"/>
      <c r="V44" s="31"/>
      <c r="W44" s="31"/>
      <c r="X44" s="12"/>
      <c r="Y44" s="12"/>
    </row>
    <row r="45" spans="1:25" ht="13.5" thickBot="1">
      <c r="A45" s="6"/>
      <c r="B45" s="22"/>
      <c r="C45" s="24"/>
      <c r="D45" s="22"/>
      <c r="E45" s="22" t="s">
        <v>361</v>
      </c>
      <c r="F45" s="22"/>
      <c r="G45" s="28"/>
      <c r="H45" s="28"/>
      <c r="I45" s="541"/>
      <c r="J45" s="545"/>
      <c r="K45" s="545"/>
      <c r="L45" s="545"/>
      <c r="M45" s="545"/>
      <c r="N45" s="545"/>
      <c r="O45" s="22"/>
      <c r="P45" s="22"/>
      <c r="Q45" s="9"/>
      <c r="R45" s="29"/>
      <c r="S45" s="29"/>
      <c r="T45" s="29"/>
      <c r="U45" s="29"/>
      <c r="V45" s="29"/>
      <c r="W45" s="29"/>
      <c r="X45" s="13"/>
      <c r="Y45" s="13"/>
    </row>
    <row r="46" spans="1:25">
      <c r="B46" s="516" t="s">
        <v>1380</v>
      </c>
      <c r="C46" s="517" t="str">
        <f>E45</f>
        <v>INMGLS</v>
      </c>
      <c r="D46" s="517"/>
      <c r="E46" s="517"/>
      <c r="F46" s="517"/>
      <c r="G46" s="580">
        <f>SUM(G38:G45)</f>
        <v>1.6342923303310399</v>
      </c>
      <c r="H46" s="580">
        <f>SUM(H38:H45)</f>
        <v>1.2903827972230859</v>
      </c>
      <c r="I46" s="580">
        <f ca="1">VLOOKUP($B38,Drivers!$E$58:$H$77,4,FALSE)</f>
        <v>0.31530301502999997</v>
      </c>
      <c r="J46" s="580">
        <f ca="1">VLOOKUP($B38,Driver2!$E$58:$H$77,4,FALSE)</f>
        <v>0.32485701168842396</v>
      </c>
      <c r="K46" s="580">
        <f ca="1">G46/(I46+Tiny)</f>
        <v>5.1832435696572681</v>
      </c>
      <c r="L46" s="580">
        <f ca="1">H46/(J46+Tiny)</f>
        <v>3.9721562004903199</v>
      </c>
      <c r="M46" s="518"/>
      <c r="N46" s="518"/>
      <c r="O46" s="517"/>
      <c r="P46" s="517" t="s">
        <v>784</v>
      </c>
      <c r="Q46" s="517"/>
      <c r="R46" s="517"/>
      <c r="S46" s="517"/>
      <c r="T46" s="517"/>
      <c r="U46" s="517"/>
      <c r="V46" s="517"/>
      <c r="W46" s="517"/>
      <c r="X46" s="517"/>
      <c r="Y46" s="517"/>
    </row>
    <row r="47" spans="1:25">
      <c r="B47" s="35" t="s">
        <v>364</v>
      </c>
      <c r="C47" s="23" t="s">
        <v>820</v>
      </c>
      <c r="D47" s="9" t="s">
        <v>654</v>
      </c>
      <c r="E47" s="9"/>
      <c r="F47" s="9"/>
      <c r="G47" s="21">
        <f ca="1">VLOOKUP($B47,Calibration!$B$172:$T$206,2,FALSE)</f>
        <v>0.89308890759999315</v>
      </c>
      <c r="H47" s="21">
        <f ca="1">VLOOKUP($B47,Calibrati2!$B$172:$T$206,2,FALSE)</f>
        <v>1.0587813713911258</v>
      </c>
      <c r="I47" s="62">
        <f t="shared" ref="I47:J53" si="4">IF($I$57=0,0,G47/$I$57)</f>
        <v>0.81320248439837672</v>
      </c>
      <c r="J47" s="62">
        <f t="shared" si="4"/>
        <v>0.96407382772647765</v>
      </c>
      <c r="K47" s="17"/>
      <c r="L47" s="12"/>
      <c r="M47" s="17"/>
      <c r="N47" s="17"/>
      <c r="O47" s="12"/>
      <c r="P47" s="12"/>
      <c r="Q47" s="12"/>
      <c r="R47" s="319"/>
      <c r="S47" s="31"/>
      <c r="T47" s="31"/>
      <c r="U47" s="31"/>
      <c r="V47" s="363">
        <v>2017</v>
      </c>
      <c r="W47" s="319"/>
      <c r="X47" s="12"/>
      <c r="Y47" s="12"/>
    </row>
    <row r="48" spans="1:25">
      <c r="B48" s="9"/>
      <c r="C48" s="23"/>
      <c r="D48" s="9" t="s">
        <v>906</v>
      </c>
      <c r="E48" s="9"/>
      <c r="F48" s="9"/>
      <c r="G48" s="21">
        <f ca="1">VLOOKUP($B$47,Calibration!$B$172:$T$206,HLOOKUP($D48,Calibration!$C$3:$T$4,2,FALSE),FALSE)</f>
        <v>0.42414243775890448</v>
      </c>
      <c r="H48" s="21">
        <f ca="1">VLOOKUP($B$47,Calibrati2!$B$172:$T$206,HLOOKUP($D48,Calibrati2!$C$3:$T$4,2,FALSE),FALSE)</f>
        <v>0.31416358215157991</v>
      </c>
      <c r="I48" s="62">
        <f t="shared" si="4"/>
        <v>0.386203076971603</v>
      </c>
      <c r="J48" s="62">
        <f t="shared" si="4"/>
        <v>0.28606178325482567</v>
      </c>
      <c r="K48" s="17"/>
      <c r="L48" s="12"/>
      <c r="M48" s="17"/>
      <c r="N48" s="17"/>
      <c r="O48" s="12"/>
      <c r="P48" s="12"/>
      <c r="Q48" s="12"/>
      <c r="R48" s="31"/>
      <c r="S48" s="31"/>
      <c r="T48" s="31"/>
      <c r="U48" s="31"/>
      <c r="V48" s="319">
        <v>2017</v>
      </c>
      <c r="W48" s="31"/>
      <c r="X48" s="12"/>
      <c r="Y48" s="12"/>
    </row>
    <row r="49" spans="1:31">
      <c r="B49" s="9"/>
      <c r="C49" s="23"/>
      <c r="D49" s="9" t="s">
        <v>909</v>
      </c>
      <c r="E49" s="9"/>
      <c r="F49" s="9"/>
      <c r="G49" s="21">
        <f ca="1">VLOOKUP($B$47,Calibration!$B$172:$T$206,HLOOKUP($D49,Calibration!$C$3:$T$4,2,FALSE),FALSE)</f>
        <v>0.41469229390795836</v>
      </c>
      <c r="H49" s="21">
        <f ca="1">VLOOKUP($B$47,Calibrati2!$B$172:$T$206,HLOOKUP($D49,Calibrati2!$C$3:$T$4,2,FALSE),FALSE)</f>
        <v>0.25610451758150843</v>
      </c>
      <c r="I49" s="62">
        <f t="shared" si="4"/>
        <v>0.37759824447159679</v>
      </c>
      <c r="J49" s="62">
        <f t="shared" si="4"/>
        <v>0.23319607733411737</v>
      </c>
      <c r="K49" s="17"/>
      <c r="L49" s="12"/>
      <c r="M49" s="17"/>
      <c r="N49" s="17"/>
      <c r="O49" s="12"/>
      <c r="P49" s="12"/>
      <c r="Q49" s="12"/>
      <c r="R49" s="31"/>
      <c r="S49" s="31"/>
      <c r="T49" s="31"/>
      <c r="U49" s="31"/>
      <c r="V49" s="319">
        <v>2017</v>
      </c>
      <c r="W49" s="31"/>
      <c r="X49" s="12"/>
      <c r="Y49" s="12"/>
    </row>
    <row r="50" spans="1:31">
      <c r="B50" s="9"/>
      <c r="C50" s="23"/>
      <c r="D50" s="9" t="s">
        <v>913</v>
      </c>
      <c r="E50" s="9"/>
      <c r="F50" s="9"/>
      <c r="G50" s="21">
        <f ca="1">VLOOKUP($B$47,Calibration!$B$172:$T$206,HLOOKUP($D50,Calibration!$C$3:$T$4,2,FALSE),FALSE)</f>
        <v>0.35923688202099768</v>
      </c>
      <c r="H50" s="21">
        <f ca="1">VLOOKUP($B$47,Calibrati2!$B$172:$T$206,HLOOKUP($D50,Calibrati2!$C$3:$T$4,2,FALSE),FALSE)</f>
        <v>0.32104935100476545</v>
      </c>
      <c r="I50" s="62">
        <f t="shared" si="4"/>
        <v>0.32710329560810691</v>
      </c>
      <c r="J50" s="62">
        <f t="shared" si="4"/>
        <v>0.29233162301070298</v>
      </c>
      <c r="K50" s="17"/>
      <c r="L50" s="12"/>
      <c r="M50" s="17"/>
      <c r="N50" s="17"/>
      <c r="O50" s="12"/>
      <c r="P50" s="12"/>
      <c r="Q50" s="12"/>
      <c r="R50" s="31"/>
      <c r="S50" s="31"/>
      <c r="T50" s="31"/>
      <c r="U50" s="31"/>
      <c r="V50" s="319">
        <v>2017</v>
      </c>
      <c r="W50" s="31"/>
      <c r="X50" s="12"/>
      <c r="Y50" s="12"/>
    </row>
    <row r="51" spans="1:31">
      <c r="B51" s="9"/>
      <c r="C51" s="23"/>
      <c r="D51" s="9" t="s">
        <v>826</v>
      </c>
      <c r="E51" s="9"/>
      <c r="F51" s="9"/>
      <c r="G51" s="21">
        <f ca="1">VLOOKUP($B$47,Calibration!$B$172:$T$206,HLOOKUP($D51,Calibration!$C$3:$T$4,2,FALSE),FALSE)</f>
        <v>0</v>
      </c>
      <c r="H51" s="21">
        <f ca="1">VLOOKUP($B$47,Calibrati2!$B$172:$T$206,HLOOKUP($D51,Calibrati2!$C$3:$T$4,2,FALSE),FALSE)</f>
        <v>0</v>
      </c>
      <c r="I51" s="62">
        <f t="shared" si="4"/>
        <v>0</v>
      </c>
      <c r="J51" s="62">
        <f t="shared" si="4"/>
        <v>0</v>
      </c>
      <c r="K51" s="17"/>
      <c r="L51" s="12"/>
      <c r="M51" s="17"/>
      <c r="N51" s="17"/>
      <c r="O51" s="12"/>
      <c r="P51" s="12"/>
      <c r="Q51" s="12"/>
      <c r="R51" s="31"/>
      <c r="S51" s="31"/>
      <c r="T51" s="31"/>
      <c r="U51" s="31"/>
      <c r="V51" s="319">
        <v>2017</v>
      </c>
      <c r="W51" s="31"/>
      <c r="X51" s="12"/>
      <c r="Y51" s="12"/>
    </row>
    <row r="52" spans="1:31">
      <c r="B52" s="9"/>
      <c r="C52" s="23"/>
      <c r="D52" s="9" t="s">
        <v>92</v>
      </c>
      <c r="E52" s="9"/>
      <c r="F52" s="9"/>
      <c r="G52" s="21">
        <f ca="1">VLOOKUP($B$47,Drivers!$T$58:$V$76,3,FALSE)*VLOOKUP($D52,Calibration!$A$220:$U$224,21,0)</f>
        <v>0</v>
      </c>
      <c r="H52" s="21">
        <f ca="1">VLOOKUP($B$47,Driver2!$T$58:$V$76,3,FALSE)*VLOOKUP($D52,Calibrati2!$A$220:$U$224,21,0)</f>
        <v>1.7106818668748875</v>
      </c>
      <c r="I52" s="62">
        <f t="shared" si="4"/>
        <v>0</v>
      </c>
      <c r="J52" s="62">
        <f t="shared" si="4"/>
        <v>1.5576621009618308</v>
      </c>
      <c r="K52" s="17"/>
      <c r="L52" s="12"/>
      <c r="M52" s="17"/>
      <c r="N52" s="17"/>
      <c r="O52" s="12"/>
      <c r="P52" s="12"/>
      <c r="Q52" s="12"/>
      <c r="R52" s="31"/>
      <c r="S52" s="31"/>
      <c r="T52" s="31"/>
      <c r="U52" s="31"/>
      <c r="V52" s="319">
        <v>2017</v>
      </c>
      <c r="W52" s="31"/>
      <c r="X52" s="12"/>
      <c r="Y52" s="12"/>
    </row>
    <row r="53" spans="1:31">
      <c r="B53" s="9"/>
      <c r="C53" s="23"/>
      <c r="D53" s="9" t="s">
        <v>653</v>
      </c>
      <c r="E53" s="9"/>
      <c r="F53" s="9"/>
      <c r="G53" s="21">
        <f ca="1">VLOOKUP($B$47,Drivers!$T$58:$V$76,2,FALSE)*VLOOKUP($D53,Calibration!$A$211:$U$215,21,0)</f>
        <v>1.2035499280809205</v>
      </c>
      <c r="H53" s="21">
        <f ca="1">VLOOKUP($B$47,Driver2!$T$58:$V$76,2,FALSE)*VLOOKUP($D53,Calibrati2!$A$211:$U$215,21,0)</f>
        <v>0.66623963217333892</v>
      </c>
      <c r="I53" s="62">
        <f t="shared" si="4"/>
        <v>1.0958928985503165</v>
      </c>
      <c r="J53" s="62">
        <f t="shared" si="4"/>
        <v>0.60664478024250856</v>
      </c>
      <c r="K53" s="17"/>
      <c r="L53" s="12"/>
      <c r="M53" s="17"/>
      <c r="N53" s="17"/>
      <c r="O53" s="12"/>
      <c r="P53" s="12"/>
      <c r="Q53" s="12"/>
      <c r="R53" s="31"/>
      <c r="S53" s="31"/>
      <c r="T53" s="31"/>
      <c r="U53" s="31"/>
      <c r="V53" s="319">
        <v>2017</v>
      </c>
      <c r="W53" s="31"/>
      <c r="X53" s="12"/>
      <c r="Y53" s="12"/>
    </row>
    <row r="54" spans="1:31">
      <c r="B54" s="9"/>
      <c r="C54" s="23"/>
      <c r="D54" s="23" t="s">
        <v>395</v>
      </c>
      <c r="E54" s="9"/>
      <c r="F54" s="9"/>
      <c r="G54" s="21"/>
      <c r="H54" s="21"/>
      <c r="I54" s="62">
        <f ca="1">Tiny</f>
        <v>1.0000000000000001E-9</v>
      </c>
      <c r="J54" s="62">
        <f ca="1">Tiny</f>
        <v>1.0000000000000001E-9</v>
      </c>
      <c r="K54" s="17"/>
      <c r="L54" s="12"/>
      <c r="M54" s="17"/>
      <c r="N54" s="17"/>
      <c r="O54" s="12"/>
      <c r="P54" s="12"/>
      <c r="Q54" s="12"/>
      <c r="R54" s="31"/>
      <c r="S54" s="31"/>
      <c r="T54" s="31"/>
      <c r="U54" s="31"/>
      <c r="V54" s="31"/>
      <c r="W54" s="31"/>
      <c r="X54" s="12"/>
      <c r="Y54" s="12"/>
    </row>
    <row r="55" spans="1:31">
      <c r="B55" s="9"/>
      <c r="C55" s="23"/>
      <c r="D55" s="23"/>
      <c r="E55" s="9" t="s">
        <v>372</v>
      </c>
      <c r="F55" s="9"/>
      <c r="G55" s="21"/>
      <c r="H55" s="21"/>
      <c r="I55" s="62"/>
      <c r="J55" s="9"/>
      <c r="K55" s="17"/>
      <c r="L55" s="12"/>
      <c r="M55" s="17"/>
      <c r="N55" s="17"/>
      <c r="O55" s="12"/>
      <c r="P55" s="12"/>
      <c r="Q55" s="12"/>
      <c r="R55" s="319">
        <f ca="1">Drivers!L134/$I$57</f>
        <v>45.527521251143064</v>
      </c>
      <c r="S55" s="31"/>
      <c r="T55" s="31"/>
      <c r="U55" s="31"/>
      <c r="V55" s="31"/>
      <c r="W55" s="31"/>
      <c r="X55" s="12"/>
      <c r="Y55" s="12"/>
    </row>
    <row r="56" spans="1:31" ht="13.5" thickBot="1">
      <c r="A56" s="6"/>
      <c r="B56" s="22"/>
      <c r="C56" s="24"/>
      <c r="D56" s="22"/>
      <c r="E56" s="22" t="s">
        <v>363</v>
      </c>
      <c r="F56" s="22"/>
      <c r="G56" s="28"/>
      <c r="H56" s="28"/>
      <c r="I56" s="541"/>
      <c r="J56" s="9"/>
      <c r="K56" s="32"/>
      <c r="L56" s="12"/>
      <c r="M56" s="32"/>
      <c r="N56" s="32"/>
      <c r="O56" s="13"/>
      <c r="P56" s="13"/>
      <c r="Q56" s="12"/>
      <c r="R56" s="29"/>
      <c r="S56" s="29"/>
      <c r="T56" s="29"/>
      <c r="U56" s="29"/>
      <c r="V56" s="29"/>
      <c r="W56" s="29"/>
      <c r="X56" s="13"/>
      <c r="Y56" s="13"/>
    </row>
    <row r="57" spans="1:31">
      <c r="B57" s="516" t="s">
        <v>1380</v>
      </c>
      <c r="C57" s="517" t="str">
        <f>E56</f>
        <v>INMCRM</v>
      </c>
      <c r="D57" s="517"/>
      <c r="E57" s="517"/>
      <c r="F57" s="517"/>
      <c r="G57" s="580">
        <f>SUM(G47:G56)</f>
        <v>3.2947104493687744</v>
      </c>
      <c r="H57" s="580">
        <f>SUM(H47:H56)</f>
        <v>4.3270203211772058</v>
      </c>
      <c r="I57" s="580">
        <f ca="1">G57/Drivers!$L$28</f>
        <v>1.0982368164562581</v>
      </c>
      <c r="J57" s="580">
        <f ca="1">H57/Driver2!$L$28</f>
        <v>1.4423401070590687</v>
      </c>
      <c r="K57" s="518">
        <f>MAX(0.1,SUMIF($B$6:$B$60,"~*",I$6:I$60)-I57)</f>
        <v>2.0603280150300001</v>
      </c>
      <c r="L57" s="518">
        <f>MAX(0.1,SUMIF($B$6:$B$60,"~*",J$6:J$60)-J57)</f>
        <v>2.1332310116884239</v>
      </c>
      <c r="M57" s="518"/>
      <c r="N57" s="518"/>
      <c r="O57" s="517"/>
      <c r="P57" s="517" t="s">
        <v>784</v>
      </c>
      <c r="Q57" s="517"/>
      <c r="R57" s="517"/>
      <c r="S57" s="517"/>
      <c r="T57" s="517"/>
      <c r="U57" s="517"/>
      <c r="V57" s="517"/>
      <c r="W57" s="517"/>
      <c r="X57" s="517"/>
      <c r="Y57" s="517"/>
    </row>
    <row r="58" spans="1:31" ht="25.5">
      <c r="B58" s="35" t="s">
        <v>387</v>
      </c>
      <c r="C58" s="23" t="s">
        <v>399</v>
      </c>
      <c r="D58" s="9" t="s">
        <v>1247</v>
      </c>
      <c r="E58" s="9"/>
      <c r="F58" s="9"/>
      <c r="G58" s="53">
        <f>SUMIF($D$5:$D$56,"IENM",G$5:G$56)</f>
        <v>1.2609249115494143</v>
      </c>
      <c r="H58" s="53">
        <f>SUMIF($D$5:$D$56,"IENM",H$5:H$56)</f>
        <v>1.4743882366371923</v>
      </c>
      <c r="I58" s="485">
        <v>1</v>
      </c>
      <c r="J58" s="485">
        <v>1</v>
      </c>
      <c r="K58" s="490"/>
      <c r="L58" s="490"/>
      <c r="M58" s="490"/>
      <c r="N58" s="490">
        <v>1</v>
      </c>
      <c r="O58" s="490">
        <v>1</v>
      </c>
      <c r="P58" s="491">
        <v>30</v>
      </c>
      <c r="Q58" s="491">
        <v>100</v>
      </c>
      <c r="R58" s="31"/>
      <c r="S58" s="31"/>
      <c r="T58" s="31"/>
      <c r="U58" s="31"/>
      <c r="V58" s="31"/>
      <c r="W58" s="31"/>
      <c r="X58" s="31"/>
      <c r="Y58" s="31"/>
    </row>
    <row r="59" spans="1:31" ht="13.5" thickBot="1">
      <c r="B59" s="22"/>
      <c r="C59" s="24"/>
      <c r="D59" s="22"/>
      <c r="E59" s="22" t="s">
        <v>654</v>
      </c>
      <c r="F59" s="22"/>
      <c r="G59" s="28"/>
      <c r="H59" s="28"/>
      <c r="I59" s="28"/>
      <c r="J59" s="28"/>
      <c r="K59" s="489"/>
      <c r="L59" s="489"/>
      <c r="M59" s="489"/>
      <c r="N59" s="489"/>
      <c r="O59" s="489"/>
      <c r="P59" s="489"/>
      <c r="Q59" s="489"/>
      <c r="R59" s="29"/>
      <c r="S59" s="29"/>
      <c r="T59" s="29"/>
      <c r="U59" s="29"/>
      <c r="V59" s="29"/>
      <c r="W59" s="29"/>
      <c r="X59" s="29"/>
      <c r="Y59" s="29"/>
    </row>
    <row r="60" spans="1:31">
      <c r="B60" s="516" t="s">
        <v>1380</v>
      </c>
      <c r="C60" s="517" t="str">
        <f>C37</f>
        <v>INMLIM</v>
      </c>
      <c r="D60" s="517"/>
      <c r="E60" s="517"/>
      <c r="F60" s="517"/>
      <c r="G60" s="517"/>
      <c r="H60" s="517"/>
      <c r="I60" s="580">
        <f ca="1">-IIS000!Q75</f>
        <v>-0.207375</v>
      </c>
      <c r="J60" s="580">
        <f ca="1">-IIS000!R75</f>
        <v>-0.20250000000000001</v>
      </c>
      <c r="K60" s="517"/>
      <c r="L60" s="517"/>
      <c r="M60" s="517"/>
      <c r="N60" s="517"/>
      <c r="O60" s="517"/>
      <c r="P60" s="517"/>
      <c r="Q60" s="517"/>
      <c r="R60" s="517"/>
      <c r="S60" s="517"/>
      <c r="T60" s="517"/>
      <c r="U60" s="517"/>
      <c r="V60" s="517"/>
      <c r="W60" s="517"/>
      <c r="X60" s="517"/>
      <c r="Y60" s="517"/>
    </row>
    <row r="61" spans="1:31" ht="18">
      <c r="A61" s="8"/>
      <c r="E61" s="216"/>
    </row>
    <row r="62" spans="1:31" ht="18">
      <c r="A62" s="8"/>
      <c r="B62" s="10"/>
      <c r="C62" s="11"/>
      <c r="E62" s="216"/>
    </row>
    <row r="63" spans="1:31" ht="18">
      <c r="B63" s="86" t="s">
        <v>90</v>
      </c>
      <c r="C63" s="88"/>
      <c r="D63" s="88"/>
      <c r="E63" s="225" t="str">
        <f>"~FI_T: "&amp;Region</f>
        <v>~FI_T: FIN</v>
      </c>
      <c r="F63" s="34"/>
      <c r="G63" s="34" t="s">
        <v>784</v>
      </c>
      <c r="H63" s="34" t="s">
        <v>784</v>
      </c>
      <c r="I63" s="34" t="s">
        <v>784</v>
      </c>
      <c r="J63" s="34"/>
      <c r="Z63" s="1"/>
      <c r="AA63" s="1"/>
      <c r="AB63" s="1"/>
      <c r="AC63" s="1"/>
      <c r="AD63" s="1"/>
      <c r="AE63" s="1"/>
    </row>
    <row r="64" spans="1:31" ht="26.25" thickBot="1">
      <c r="B64" s="45" t="s">
        <v>649</v>
      </c>
      <c r="C64" s="45" t="s">
        <v>650</v>
      </c>
      <c r="D64" s="45" t="s">
        <v>648</v>
      </c>
      <c r="E64" s="45" t="s">
        <v>651</v>
      </c>
      <c r="F64" s="45" t="s">
        <v>1288</v>
      </c>
      <c r="G64" s="45" t="s">
        <v>848</v>
      </c>
      <c r="H64" s="45" t="s">
        <v>556</v>
      </c>
      <c r="I64" s="45" t="s">
        <v>564</v>
      </c>
      <c r="J64" s="45" t="str">
        <f ca="1">"Input~"&amp;BaseYear</f>
        <v>Input~2010</v>
      </c>
      <c r="K64" s="45" t="str">
        <f ca="1">"Input~"&amp;AuxYear</f>
        <v>Input~2017</v>
      </c>
      <c r="L64" s="45" t="str">
        <f ca="1">"Input~"&amp;BaseYear+20</f>
        <v>Input~2030</v>
      </c>
      <c r="M64" s="45" t="str">
        <f ca="1">"Input~"&amp;BaseYear+30</f>
        <v>Input~2040</v>
      </c>
      <c r="N64" s="45" t="str">
        <f>"Input~"&amp;2050</f>
        <v>Input~2050</v>
      </c>
      <c r="O64" s="45" t="str">
        <f>"Input~"&amp;2100</f>
        <v>Input~2100</v>
      </c>
    </row>
    <row r="65" spans="1:34">
      <c r="B65" s="35" t="s">
        <v>789</v>
      </c>
      <c r="C65" s="23" t="s">
        <v>821</v>
      </c>
      <c r="D65" s="52" t="s">
        <v>696</v>
      </c>
      <c r="E65" s="9"/>
      <c r="F65" s="62">
        <v>1</v>
      </c>
      <c r="G65" s="62">
        <v>1</v>
      </c>
      <c r="H65" s="62">
        <v>5</v>
      </c>
      <c r="I65" s="31">
        <v>3</v>
      </c>
      <c r="J65" s="31">
        <f>SUMIF($C$6:$C$57,$D65,I$6:I$57)/K$57</f>
        <v>0.65863298955348182</v>
      </c>
      <c r="K65" s="31">
        <f>SUMIF($C$6:$C$57,$D65,J$6:J$57)/L$57</f>
        <v>0.70830303503045566</v>
      </c>
      <c r="L65" s="31"/>
      <c r="M65" s="31"/>
      <c r="N65" s="31"/>
      <c r="O65" s="31"/>
    </row>
    <row r="66" spans="1:34">
      <c r="B66" s="35"/>
      <c r="C66" s="23"/>
      <c r="D66" s="52" t="s">
        <v>411</v>
      </c>
      <c r="E66" s="9"/>
      <c r="F66" s="62"/>
      <c r="G66" s="62"/>
      <c r="H66" s="62"/>
      <c r="I66" s="31">
        <v>3</v>
      </c>
      <c r="J66" s="31">
        <f>SUMIF($C$6:$C$60,$D66,I$6:I$60)/K$57</f>
        <v>0.18833166232239482</v>
      </c>
      <c r="K66" s="31">
        <f>SUMIF($C$6:$C$60,$D66,J$6:J$60)/L$57</f>
        <v>0.139412936700471</v>
      </c>
      <c r="L66" s="31"/>
      <c r="M66" s="31"/>
      <c r="N66" s="31"/>
      <c r="O66" s="31"/>
    </row>
    <row r="67" spans="1:34">
      <c r="B67" s="9"/>
      <c r="C67" s="23"/>
      <c r="D67" s="52" t="s">
        <v>361</v>
      </c>
      <c r="E67" s="9"/>
      <c r="F67" s="62"/>
      <c r="G67" s="62"/>
      <c r="H67" s="62"/>
      <c r="I67" s="31">
        <v>3</v>
      </c>
      <c r="J67" s="31">
        <f>SUMIF($C$6:$C$57,$D67,I$6:I$57)/K$57</f>
        <v>0.15303534812412328</v>
      </c>
      <c r="K67" s="31">
        <f>SUMIF($C$6:$C$57,$D67,J$6:J$57)/L$57</f>
        <v>0.15228402826907339</v>
      </c>
      <c r="L67" s="31"/>
      <c r="M67" s="31"/>
      <c r="N67" s="31"/>
      <c r="O67" s="31"/>
    </row>
    <row r="68" spans="1:34">
      <c r="B68" s="9"/>
      <c r="C68" s="23"/>
      <c r="D68" s="52" t="s">
        <v>363</v>
      </c>
      <c r="E68" s="9"/>
      <c r="F68" s="62"/>
      <c r="G68" s="62"/>
      <c r="H68" s="62"/>
      <c r="I68" s="31">
        <v>3</v>
      </c>
      <c r="J68" s="31">
        <f>SUMIF($C$6:$C$57,$D68,I$6:I$57)/K$57</f>
        <v>0.53303979193830786</v>
      </c>
      <c r="K68" s="31">
        <f>SUMIF($C$6:$C$57,$D68,J$6:J$57)/L$57</f>
        <v>0.6761293545594369</v>
      </c>
      <c r="L68" s="31"/>
      <c r="M68" s="31"/>
      <c r="N68" s="31"/>
      <c r="O68" s="31"/>
    </row>
    <row r="69" spans="1:34" ht="13.5" thickBot="1">
      <c r="A69" s="6"/>
      <c r="B69" s="22"/>
      <c r="C69" s="24"/>
      <c r="D69" s="22"/>
      <c r="E69" s="22" t="s">
        <v>879</v>
      </c>
      <c r="F69" s="541"/>
      <c r="G69" s="541"/>
      <c r="H69" s="541"/>
      <c r="I69" s="29"/>
      <c r="J69" s="29"/>
      <c r="K69" s="29"/>
      <c r="L69" s="29"/>
      <c r="M69" s="29"/>
      <c r="N69" s="29"/>
      <c r="O69" s="29"/>
    </row>
    <row r="70" spans="1:34">
      <c r="B70" s="192" t="s">
        <v>902</v>
      </c>
      <c r="C70" s="198"/>
      <c r="D70" s="198"/>
      <c r="E70" s="198"/>
      <c r="F70" s="198"/>
      <c r="G70" s="198"/>
      <c r="H70" s="198"/>
      <c r="I70" s="198"/>
      <c r="J70" s="199">
        <f>SUM(J65:J67)</f>
        <v>1</v>
      </c>
      <c r="K70" s="199">
        <f>SUM(K65:K67)</f>
        <v>1</v>
      </c>
      <c r="L70" s="198"/>
      <c r="M70" s="198"/>
      <c r="N70" s="198"/>
      <c r="O70" s="198"/>
    </row>
    <row r="73" spans="1:34">
      <c r="D73" s="216"/>
    </row>
    <row r="75" spans="1:34">
      <c r="D75" s="216"/>
    </row>
    <row r="76" spans="1:34" ht="18">
      <c r="B76" s="124" t="s">
        <v>89</v>
      </c>
      <c r="C76" s="125"/>
      <c r="D76" s="225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34" ht="26.25" thickBot="1">
      <c r="B77" s="25" t="s">
        <v>772</v>
      </c>
      <c r="C77" s="25" t="s">
        <v>773</v>
      </c>
      <c r="D77" s="25" t="s">
        <v>778</v>
      </c>
      <c r="E77" s="25" t="s">
        <v>1083</v>
      </c>
      <c r="F77" s="25" t="str">
        <f ca="1">"DEMAND~"&amp;AuxYear</f>
        <v>DEMAND~2017</v>
      </c>
      <c r="G77" s="26"/>
      <c r="H77" s="26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>
      <c r="B78" s="27" t="s">
        <v>879</v>
      </c>
      <c r="C78" s="27" t="s">
        <v>77</v>
      </c>
      <c r="D78" s="562" t="s">
        <v>976</v>
      </c>
      <c r="E78" s="338">
        <f>K$57</f>
        <v>2.0603280150300001</v>
      </c>
      <c r="F78" s="338">
        <f>L$57</f>
        <v>2.1332310116884239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84" spans="1:33">
      <c r="A84" s="77"/>
      <c r="N84" s="77"/>
    </row>
    <row r="87" spans="1:33"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Q87" s="77"/>
      <c r="R87" s="77"/>
      <c r="S87" s="81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</row>
    <row r="88" spans="1:33"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Q88" s="77"/>
      <c r="R88" s="77"/>
      <c r="S88" s="81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</row>
    <row r="89" spans="1:33"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Q89" s="77"/>
      <c r="R89" s="77"/>
      <c r="S89" s="81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</row>
    <row r="90" spans="1:33"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Q90" s="77"/>
      <c r="R90" s="77"/>
      <c r="S90" s="81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</row>
    <row r="91" spans="1:33"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Q91" s="77"/>
      <c r="R91" s="77"/>
      <c r="S91" s="81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</row>
    <row r="92" spans="1:33"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Q92" s="77"/>
      <c r="R92" s="77"/>
      <c r="S92" s="81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</row>
    <row r="93" spans="1:33"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Q93" s="77"/>
      <c r="R93" s="77"/>
      <c r="S93" s="81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</row>
    <row r="94" spans="1:33"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Q94" s="77"/>
      <c r="R94" s="77"/>
      <c r="S94" s="81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</row>
    <row r="95" spans="1:33"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Q95" s="77"/>
      <c r="R95" s="77"/>
      <c r="S95" s="81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</row>
    <row r="96" spans="1:33"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Q96" s="77"/>
      <c r="R96" s="77"/>
      <c r="S96" s="81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</row>
    <row r="97" spans="2:33"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Q97" s="77"/>
      <c r="R97" s="77"/>
      <c r="S97" s="81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</row>
    <row r="98" spans="2:33"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Q98" s="77"/>
      <c r="R98" s="77"/>
      <c r="S98" s="81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</row>
    <row r="99" spans="2:33"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Q99" s="77"/>
      <c r="R99" s="77"/>
      <c r="S99" s="81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81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3.85546875" customWidth="1"/>
    <col min="3" max="3" width="28.5703125" customWidth="1"/>
    <col min="4" max="4" width="10.42578125" customWidth="1"/>
    <col min="5" max="6" width="8.85546875" customWidth="1"/>
    <col min="7" max="7" width="9.140625" customWidth="1"/>
    <col min="8" max="8" width="10" customWidth="1"/>
  </cols>
  <sheetData>
    <row r="1" spans="1:28" ht="18">
      <c r="A1" s="5" t="s">
        <v>887</v>
      </c>
    </row>
    <row r="2" spans="1:28">
      <c r="R2" s="410" t="s">
        <v>1321</v>
      </c>
    </row>
    <row r="3" spans="1:28">
      <c r="R3" s="410">
        <v>1.01</v>
      </c>
      <c r="U3" s="283"/>
    </row>
    <row r="4" spans="1:28">
      <c r="E4" s="216"/>
    </row>
    <row r="5" spans="1:28" ht="18">
      <c r="B5" s="86" t="s">
        <v>11</v>
      </c>
      <c r="C5" s="88"/>
      <c r="D5" s="123"/>
      <c r="E5" s="123"/>
      <c r="F5" s="225" t="str">
        <f>"~FI_T: "&amp;Region</f>
        <v>~FI_T: FIN</v>
      </c>
    </row>
    <row r="6" spans="1:28" ht="39" thickBot="1">
      <c r="B6" s="45" t="s">
        <v>649</v>
      </c>
      <c r="C6" s="45" t="s">
        <v>650</v>
      </c>
      <c r="D6" s="45" t="s">
        <v>648</v>
      </c>
      <c r="E6" s="45" t="s">
        <v>651</v>
      </c>
      <c r="F6" s="45" t="s">
        <v>139</v>
      </c>
      <c r="G6" s="64" t="str">
        <f ca="1">CONCATENATE("\I:",BaseYear," service demand")</f>
        <v>\I:2010 service demand</v>
      </c>
      <c r="H6" s="64" t="str">
        <f ca="1">CONCATENATE("\I:",AuxData!$D$2," service demand")</f>
        <v>\I:2017 service demand</v>
      </c>
      <c r="I6" s="398" t="s">
        <v>1240</v>
      </c>
      <c r="J6" s="45" t="s">
        <v>388</v>
      </c>
      <c r="K6" s="45" t="str">
        <f ca="1">"INPUT~"&amp;AuxYear</f>
        <v>INPUT~2017</v>
      </c>
      <c r="L6" s="45" t="s">
        <v>389</v>
      </c>
      <c r="M6" s="45" t="str">
        <f ca="1">"OUTPUT~"&amp;AuxYear</f>
        <v>OUTPUT~2017</v>
      </c>
      <c r="N6" s="64" t="str">
        <f ca="1">CONCATENATE("\I:",BaseYear," Service Demand")</f>
        <v>\I:2010 Service Demand</v>
      </c>
      <c r="O6" s="64" t="str">
        <f ca="1">CONCATENATE("\I:",AuxData!$D$2," service demand")</f>
        <v>\I:2017 service demand</v>
      </c>
      <c r="P6" s="45" t="s">
        <v>872</v>
      </c>
      <c r="Q6" s="45" t="s">
        <v>556</v>
      </c>
      <c r="R6" s="45" t="str">
        <f ca="1">"RESID~"&amp;BaseYear</f>
        <v>RESID~2010</v>
      </c>
      <c r="S6" s="45" t="str">
        <f ca="1">"RESID~"&amp;AuxYear</f>
        <v>RESID~2017</v>
      </c>
      <c r="T6" s="45" t="str">
        <f ca="1">"RESID~"&amp;CEILING(AuxYear+12,5)</f>
        <v>RESID~2030</v>
      </c>
      <c r="U6" s="45" t="str">
        <f ca="1">"RESID~"&amp;CEILING(AuxYear+27,5)</f>
        <v>RESID~2045</v>
      </c>
      <c r="V6" s="45" t="s">
        <v>108</v>
      </c>
      <c r="W6" s="45" t="s">
        <v>1320</v>
      </c>
      <c r="X6" s="45" t="s">
        <v>1208</v>
      </c>
      <c r="Y6" s="45" t="str">
        <f ca="1">"ACT_BND~LO~"&amp;AuxYear</f>
        <v>ACT_BND~LO~2017</v>
      </c>
      <c r="Z6" s="45" t="s">
        <v>848</v>
      </c>
      <c r="AA6" s="45" t="s">
        <v>1507</v>
      </c>
      <c r="AB6" s="45" t="s">
        <v>1267</v>
      </c>
    </row>
    <row r="7" spans="1:28">
      <c r="B7" s="23" t="s">
        <v>343</v>
      </c>
      <c r="C7" s="23" t="s">
        <v>457</v>
      </c>
      <c r="D7" s="23" t="s">
        <v>981</v>
      </c>
      <c r="E7" s="23"/>
      <c r="F7" s="23"/>
      <c r="G7" s="21">
        <f ca="1">VLOOKUP($B7,Drivers!$T$58:$V$83,2,FALSE)*VLOOKUP($D7,Calibration!$A$211:$U$215,21,0)</f>
        <v>14.261056471687677</v>
      </c>
      <c r="H7" s="21">
        <f ca="1">VLOOKUP($B7,Driver2!$T$58:$V$83,2,FALSE)*VLOOKUP($D7,Calibrati2!$A$211:$U$215,21,0)</f>
        <v>16.150023045950004</v>
      </c>
      <c r="I7" s="404"/>
      <c r="J7" s="323">
        <f>IF(N$7&gt;0,(G7-G17-G34)/(N$7+N$17),0)</f>
        <v>1.8919448537679493</v>
      </c>
      <c r="K7" s="323">
        <f>IF(O$7&gt;0,(H7-H17-H34)/(O$7+O$17),0)</f>
        <v>1.7729374959211777</v>
      </c>
      <c r="L7" s="23"/>
      <c r="M7" s="23"/>
      <c r="N7" s="323">
        <f ca="1">VLOOKUP(B7,Drivers!$E$58:$H$82,4,0)-N17</f>
        <v>7.1648541999999997</v>
      </c>
      <c r="O7" s="323">
        <f ca="1">VLOOKUP(B7,Driver2!$E$58:$H$82,4,0)-O17</f>
        <v>8.0133769508670536</v>
      </c>
      <c r="P7" s="23">
        <v>0.9</v>
      </c>
      <c r="Q7" s="23">
        <v>30</v>
      </c>
      <c r="R7" s="323">
        <f>N7/$P7*$R$3</f>
        <v>8.0405586022222213</v>
      </c>
      <c r="S7" s="323">
        <f>O7/$P7*$R$3</f>
        <v>8.9927896893063615</v>
      </c>
      <c r="T7" s="23"/>
      <c r="U7" s="23">
        <v>0</v>
      </c>
      <c r="V7" s="426">
        <v>3</v>
      </c>
      <c r="W7" s="23"/>
      <c r="X7" s="23"/>
      <c r="Y7" s="23"/>
      <c r="Z7" s="23"/>
      <c r="AA7" s="23"/>
      <c r="AB7" s="23"/>
    </row>
    <row r="8" spans="1:28">
      <c r="B8" s="23"/>
      <c r="C8" s="23"/>
      <c r="D8" s="23" t="s">
        <v>979</v>
      </c>
      <c r="E8" s="23"/>
      <c r="F8" s="23"/>
      <c r="G8" s="92">
        <f ca="1">VLOOKUP($B7,Drivers!$T$58:$V$83,3,FALSE)*VLOOKUP($D8,Calibration!$A$220:$U$224,21,0)</f>
        <v>76.018219336163114</v>
      </c>
      <c r="H8" s="92">
        <f ca="1">VLOOKUP($B7,Driver2!$T$58:$V$83,3,FALSE)*VLOOKUP($D8,Calibrati2!$A$220:$U$224,21,0)</f>
        <v>93.245025572423046</v>
      </c>
      <c r="I8" s="404"/>
      <c r="J8" s="323">
        <f>IF(N$7&gt;0,(G8-G18-G35)/(N$7+N$17),0)</f>
        <v>9.7943353851151524</v>
      </c>
      <c r="K8" s="323">
        <f>IF(O$7&gt;0,(H8-H18-H35)/(O$7+O$17),0)</f>
        <v>9.8279343482301016</v>
      </c>
      <c r="L8" s="23"/>
      <c r="M8" s="23"/>
      <c r="N8" s="323"/>
      <c r="O8" s="323"/>
      <c r="P8" s="23"/>
      <c r="Q8" s="23"/>
      <c r="R8" s="23"/>
      <c r="S8" s="23"/>
      <c r="T8" s="23"/>
      <c r="U8" s="23"/>
      <c r="V8" s="426">
        <v>3</v>
      </c>
      <c r="W8" s="23"/>
      <c r="X8" s="23"/>
      <c r="Y8" s="23"/>
      <c r="Z8" s="23"/>
      <c r="AA8" s="23"/>
      <c r="AB8" s="23"/>
    </row>
    <row r="9" spans="1:28">
      <c r="B9" s="23"/>
      <c r="C9" s="23"/>
      <c r="D9" s="23" t="s">
        <v>980</v>
      </c>
      <c r="E9" s="23"/>
      <c r="F9" s="23"/>
      <c r="G9" s="92">
        <f ca="1">IOLP!L$15</f>
        <v>2.4102043117646033</v>
      </c>
      <c r="H9" s="92">
        <f ca="1">IOLP!M$15</f>
        <v>2.4257959026186606</v>
      </c>
      <c r="I9" s="405"/>
      <c r="J9" s="333">
        <f>IF(N7&gt;0,G9/(N7+N$17),0)</f>
        <v>0.33639265286997794</v>
      </c>
      <c r="K9" s="333">
        <f>IF(O7&gt;0,H9/(O7+O$17),0)</f>
        <v>0.28781293441901784</v>
      </c>
      <c r="L9" s="23"/>
      <c r="M9" s="23"/>
      <c r="N9" s="323"/>
      <c r="O9" s="323"/>
      <c r="P9" s="23"/>
      <c r="Q9" s="23"/>
      <c r="R9" s="23"/>
      <c r="S9" s="23"/>
      <c r="T9" s="23"/>
      <c r="U9" s="23"/>
      <c r="V9" s="426">
        <v>3</v>
      </c>
      <c r="W9" s="23"/>
      <c r="X9" s="23"/>
      <c r="Y9" s="23"/>
      <c r="Z9" s="23"/>
      <c r="AA9" s="23"/>
      <c r="AB9" s="23"/>
    </row>
    <row r="10" spans="1:28">
      <c r="B10" s="23"/>
      <c r="C10" s="23"/>
      <c r="D10" s="23" t="s">
        <v>459</v>
      </c>
      <c r="E10" s="23" t="s">
        <v>528</v>
      </c>
      <c r="F10" s="23"/>
      <c r="G10" s="92"/>
      <c r="H10" s="92"/>
      <c r="I10" s="404"/>
      <c r="J10" s="501">
        <f ca="1">Drivers!$P106</f>
        <v>5.0999999999999996</v>
      </c>
      <c r="K10" s="501">
        <f ca="1">Driver2!$P106</f>
        <v>5.056</v>
      </c>
      <c r="L10" s="23">
        <f ca="1">Drivers!$P$114</f>
        <v>1.1100000000000001</v>
      </c>
      <c r="M10" s="333">
        <f ca="1">Driver2!$P$114</f>
        <v>1.6400000000000001</v>
      </c>
      <c r="N10" s="323"/>
      <c r="O10" s="3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1" spans="1:28">
      <c r="B11" s="23"/>
      <c r="C11" s="23"/>
      <c r="D11" s="23"/>
      <c r="E11" s="23" t="s">
        <v>607</v>
      </c>
      <c r="F11" s="23"/>
      <c r="G11" s="92"/>
      <c r="H11" s="92"/>
      <c r="I11" s="406"/>
      <c r="J11" s="23"/>
      <c r="K11" s="23"/>
      <c r="L11" s="501">
        <f ca="1">Drivers!$P$117</f>
        <v>18.936882204804672</v>
      </c>
      <c r="M11" s="501">
        <f ca="1">Driver2!$P$117</f>
        <v>18.38</v>
      </c>
      <c r="N11" s="323"/>
      <c r="O11" s="3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</row>
    <row r="12" spans="1:28">
      <c r="B12" s="23"/>
      <c r="C12" s="23"/>
      <c r="D12" s="23"/>
      <c r="E12" s="23" t="s">
        <v>458</v>
      </c>
      <c r="F12" s="23"/>
      <c r="G12" s="92"/>
      <c r="H12" s="92"/>
      <c r="I12" s="406"/>
      <c r="J12" s="23"/>
      <c r="K12" s="23"/>
      <c r="L12" s="23"/>
      <c r="M12" s="23"/>
      <c r="N12" s="323"/>
      <c r="O12" s="3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>
      <c r="B13" s="23"/>
      <c r="C13" s="23"/>
      <c r="D13" s="23"/>
      <c r="E13" s="23" t="s">
        <v>1181</v>
      </c>
      <c r="F13" s="23"/>
      <c r="G13" s="92"/>
      <c r="H13" s="92"/>
      <c r="I13" s="406"/>
      <c r="J13" s="23"/>
      <c r="K13" s="23"/>
      <c r="L13" s="333">
        <f ca="1">Drivers!$U118</f>
        <v>6.0273969008329584E-2</v>
      </c>
      <c r="M13" s="333">
        <f ca="1">Driver2!$U118</f>
        <v>5.2413113831802936E-2</v>
      </c>
      <c r="N13" s="323"/>
      <c r="O13" s="323"/>
      <c r="P13" s="23"/>
      <c r="Q13" s="23"/>
      <c r="R13" s="23"/>
      <c r="S13" s="23"/>
      <c r="T13" s="23"/>
      <c r="U13" s="23"/>
      <c r="V13" s="23"/>
      <c r="W13" s="426">
        <v>3</v>
      </c>
      <c r="X13" s="23"/>
      <c r="Y13" s="23"/>
      <c r="Z13" s="23"/>
      <c r="AA13" s="23"/>
      <c r="AB13" s="23"/>
    </row>
    <row r="14" spans="1:28">
      <c r="B14" s="23"/>
      <c r="C14" s="23"/>
      <c r="D14" s="23"/>
      <c r="E14" s="23" t="s">
        <v>1178</v>
      </c>
      <c r="F14" s="23"/>
      <c r="G14" s="92"/>
      <c r="H14" s="92"/>
      <c r="I14" s="406"/>
      <c r="J14" s="23"/>
      <c r="K14" s="23"/>
      <c r="L14" s="333">
        <f ca="1">Drivers!$U119</f>
        <v>0.32156969781743783</v>
      </c>
      <c r="M14" s="333">
        <f ca="1">Driver2!$U119</f>
        <v>0.32687336748904966</v>
      </c>
      <c r="N14" s="323"/>
      <c r="O14" s="323"/>
      <c r="P14" s="23"/>
      <c r="Q14" s="23"/>
      <c r="R14" s="23"/>
      <c r="S14" s="23"/>
      <c r="T14" s="23"/>
      <c r="U14" s="23"/>
      <c r="V14" s="23"/>
      <c r="W14" s="426">
        <v>3</v>
      </c>
      <c r="X14" s="23"/>
      <c r="Y14" s="23"/>
      <c r="Z14" s="23"/>
      <c r="AA14" s="23"/>
      <c r="AB14" s="23"/>
    </row>
    <row r="15" spans="1:28">
      <c r="B15" s="23"/>
      <c r="C15" s="23"/>
      <c r="D15" s="23"/>
      <c r="E15" s="23" t="s">
        <v>1179</v>
      </c>
      <c r="F15" s="23"/>
      <c r="G15" s="92"/>
      <c r="H15" s="92"/>
      <c r="I15" s="406"/>
      <c r="J15" s="23"/>
      <c r="K15" s="23"/>
      <c r="L15" s="333">
        <f ca="1">Drivers!$U120</f>
        <v>0.55395404975582052</v>
      </c>
      <c r="M15" s="333">
        <f ca="1">Driver2!$U120</f>
        <v>0.56488441625840136</v>
      </c>
      <c r="N15" s="323"/>
      <c r="O15" s="323"/>
      <c r="P15" s="23"/>
      <c r="Q15" s="23"/>
      <c r="R15" s="23"/>
      <c r="S15" s="23"/>
      <c r="T15" s="23"/>
      <c r="U15" s="23"/>
      <c r="V15" s="23"/>
      <c r="W15" s="426">
        <v>3</v>
      </c>
      <c r="X15" s="23"/>
      <c r="Y15" s="23"/>
      <c r="Z15" s="23"/>
      <c r="AA15" s="23"/>
      <c r="AB15" s="23"/>
    </row>
    <row r="16" spans="1:28">
      <c r="B16" s="116"/>
      <c r="C16" s="116"/>
      <c r="D16" s="116"/>
      <c r="E16" s="116" t="s">
        <v>1180</v>
      </c>
      <c r="F16" s="116"/>
      <c r="G16" s="511"/>
      <c r="H16" s="511"/>
      <c r="I16" s="514"/>
      <c r="J16" s="116"/>
      <c r="K16" s="116"/>
      <c r="L16" s="330">
        <f ca="1">Drivers!$U121</f>
        <v>6.4202283418412012E-2</v>
      </c>
      <c r="M16" s="330">
        <f ca="1">Driver2!$U121</f>
        <v>5.5829102420746013E-2</v>
      </c>
      <c r="N16" s="331"/>
      <c r="O16" s="331"/>
      <c r="P16" s="116"/>
      <c r="Q16" s="116"/>
      <c r="R16" s="116"/>
      <c r="S16" s="116"/>
      <c r="T16" s="116"/>
      <c r="U16" s="116"/>
      <c r="V16" s="116"/>
      <c r="W16" s="512">
        <v>3</v>
      </c>
      <c r="X16" s="116"/>
      <c r="Y16" s="116"/>
      <c r="Z16" s="116"/>
      <c r="AA16" s="116"/>
      <c r="AB16" s="116"/>
    </row>
    <row r="17" spans="2:28">
      <c r="B17" s="23" t="s">
        <v>1393</v>
      </c>
      <c r="C17" s="300" t="s">
        <v>1394</v>
      </c>
      <c r="D17" s="23" t="s">
        <v>981</v>
      </c>
      <c r="E17" s="23"/>
      <c r="F17" s="23"/>
      <c r="G17" s="92">
        <f>J34*N$17*0.8</f>
        <v>0</v>
      </c>
      <c r="H17" s="92">
        <f>K34*O$17*0.6</f>
        <v>0.10021751999999998</v>
      </c>
      <c r="I17" s="404"/>
      <c r="J17" s="323">
        <f ca="1">J7+IF(N$17,G17/N$17,J34)</f>
        <v>2.294424853767949</v>
      </c>
      <c r="K17" s="323">
        <f ca="1">K7+IF(O$17,H17/O$17,K34)</f>
        <v>2.0144254959211776</v>
      </c>
      <c r="L17" s="333"/>
      <c r="M17" s="333"/>
      <c r="N17" s="323">
        <f ca="1">Drivers!$L$104</f>
        <v>0</v>
      </c>
      <c r="O17" s="323">
        <f ca="1">Driver2!$L$104</f>
        <v>0.41499999999999998</v>
      </c>
      <c r="P17" s="23">
        <v>0.9</v>
      </c>
      <c r="Q17" s="23">
        <v>30</v>
      </c>
      <c r="R17" s="323">
        <f>N17/$P17*$R$3</f>
        <v>0</v>
      </c>
      <c r="S17" s="323">
        <f>O17/$P17*$R$3</f>
        <v>0.4657222222222222</v>
      </c>
      <c r="T17" s="323">
        <f>S17</f>
        <v>0.4657222222222222</v>
      </c>
      <c r="U17" s="23">
        <v>0</v>
      </c>
      <c r="V17" s="426">
        <v>3</v>
      </c>
      <c r="W17" s="426"/>
      <c r="X17" s="23"/>
      <c r="Y17" s="23"/>
      <c r="Z17" s="23"/>
      <c r="AA17" s="23"/>
      <c r="AB17" s="23"/>
    </row>
    <row r="18" spans="2:28">
      <c r="B18" s="23"/>
      <c r="C18" s="300"/>
      <c r="D18" s="23" t="s">
        <v>979</v>
      </c>
      <c r="E18" s="23" t="s">
        <v>528</v>
      </c>
      <c r="F18" s="23"/>
      <c r="G18" s="92">
        <f>J35*N$17*0.8</f>
        <v>0</v>
      </c>
      <c r="H18" s="92">
        <f>K35*O$17*0.9</f>
        <v>1.2449789030195122</v>
      </c>
      <c r="I18" s="404"/>
      <c r="J18" s="323">
        <f>J8+IF(N$17,G18/N$17,J35)</f>
        <v>13.12761223389564</v>
      </c>
      <c r="K18" s="323">
        <f>K8+IF(O$17,H18/O$17,K35)</f>
        <v>12.827883512132541</v>
      </c>
      <c r="L18" s="333">
        <f>L10</f>
        <v>1.1100000000000001</v>
      </c>
      <c r="M18" s="333">
        <f>M10</f>
        <v>1.6400000000000001</v>
      </c>
      <c r="N18" s="323"/>
      <c r="O18" s="323"/>
      <c r="P18" s="23"/>
      <c r="Q18" s="23"/>
      <c r="R18" s="50"/>
      <c r="S18" s="50"/>
      <c r="T18" s="23"/>
      <c r="U18" s="23"/>
      <c r="V18" s="426">
        <v>3</v>
      </c>
      <c r="W18" s="426"/>
      <c r="X18" s="23"/>
      <c r="Y18" s="23"/>
      <c r="Z18" s="23"/>
      <c r="AA18" s="23"/>
      <c r="AB18" s="23"/>
    </row>
    <row r="19" spans="2:28">
      <c r="B19" s="23"/>
      <c r="C19" s="300"/>
      <c r="D19" s="23" t="s">
        <v>980</v>
      </c>
      <c r="E19" s="23" t="s">
        <v>607</v>
      </c>
      <c r="F19" s="23"/>
      <c r="G19" s="92"/>
      <c r="H19" s="92"/>
      <c r="I19" s="404"/>
      <c r="J19" s="323">
        <f>J9</f>
        <v>0.33639265286997794</v>
      </c>
      <c r="K19" s="323">
        <f>K9</f>
        <v>0.28781293441901784</v>
      </c>
      <c r="L19" s="501">
        <f>L11</f>
        <v>18.936882204804672</v>
      </c>
      <c r="M19" s="501">
        <f>M11</f>
        <v>18.38</v>
      </c>
      <c r="N19" s="323"/>
      <c r="O19" s="323"/>
      <c r="P19" s="23"/>
      <c r="Q19" s="23"/>
      <c r="R19" s="50"/>
      <c r="S19" s="50"/>
      <c r="T19" s="23"/>
      <c r="U19" s="23"/>
      <c r="V19" s="426">
        <v>3</v>
      </c>
      <c r="W19" s="426"/>
      <c r="X19" s="23"/>
      <c r="Y19" s="23"/>
      <c r="Z19" s="23"/>
      <c r="AA19" s="23"/>
      <c r="AB19" s="23"/>
    </row>
    <row r="20" spans="2:28">
      <c r="B20" s="23"/>
      <c r="C20" s="23"/>
      <c r="D20" s="23" t="s">
        <v>459</v>
      </c>
      <c r="E20" s="23" t="s">
        <v>1387</v>
      </c>
      <c r="F20" s="23"/>
      <c r="G20" s="92"/>
      <c r="H20" s="92"/>
      <c r="I20" s="404"/>
      <c r="J20" s="501">
        <v>5.8</v>
      </c>
      <c r="K20" s="501">
        <v>5.8</v>
      </c>
      <c r="L20" s="333"/>
      <c r="M20" s="333"/>
      <c r="N20" s="323"/>
      <c r="O20" s="323"/>
      <c r="P20" s="23"/>
      <c r="Q20" s="116"/>
      <c r="R20" s="116"/>
      <c r="S20" s="116"/>
      <c r="T20" s="116"/>
      <c r="U20" s="116"/>
      <c r="V20" s="23"/>
      <c r="W20" s="426"/>
      <c r="X20" s="23"/>
      <c r="Y20" s="23"/>
      <c r="Z20" s="23"/>
      <c r="AA20" s="23"/>
      <c r="AB20" s="23"/>
    </row>
    <row r="21" spans="2:28" ht="12.75" customHeight="1">
      <c r="B21" s="326" t="s">
        <v>342</v>
      </c>
      <c r="C21" s="326" t="s">
        <v>460</v>
      </c>
      <c r="D21" s="326" t="s">
        <v>981</v>
      </c>
      <c r="E21" s="332"/>
      <c r="F21" s="332"/>
      <c r="G21" s="344">
        <f ca="1">VLOOKUP($B21,Drivers!$T$58:$V$83,2,FALSE)*VLOOKUP($D21,Calibration!$A$211:$U$215,21,0)</f>
        <v>23.937924571044821</v>
      </c>
      <c r="H21" s="344">
        <f ca="1">VLOOKUP($B21,Driver2!$T$58:$V$83,2,FALSE)*VLOOKUP($D21,Calibrati2!$A$211:$U$215,21,0)</f>
        <v>20.112531191469262</v>
      </c>
      <c r="I21" s="407"/>
      <c r="J21" s="327">
        <f ca="1">IF(N21,G21/N21,0)</f>
        <v>7.160299311817278</v>
      </c>
      <c r="K21" s="327">
        <f ca="1">IF(O21,H21/O21,0)</f>
        <v>7.5338468470301452</v>
      </c>
      <c r="L21" s="326"/>
      <c r="M21" s="326"/>
      <c r="N21" s="327">
        <f ca="1">VLOOKUP(B21,Drivers!$E$58:$H$82,4,0)</f>
        <v>3.3431457999999998</v>
      </c>
      <c r="O21" s="327">
        <f ca="1">VLOOKUP($B21,Driver2!$E$58:$H$82,4,0)</f>
        <v>2.669623049132948</v>
      </c>
      <c r="P21" s="326">
        <v>0.9</v>
      </c>
      <c r="Q21" s="50">
        <v>25</v>
      </c>
      <c r="R21" s="323">
        <f>N21/$P21*$R$3</f>
        <v>3.7517525088888886</v>
      </c>
      <c r="S21" s="323">
        <f>O21/$P21*$R$3</f>
        <v>2.9959103106936418</v>
      </c>
      <c r="T21" s="50"/>
      <c r="U21" s="50">
        <v>0</v>
      </c>
      <c r="V21" s="326"/>
      <c r="W21" s="326"/>
      <c r="X21" s="326"/>
      <c r="Y21" s="326"/>
      <c r="Z21" s="326"/>
      <c r="AA21" s="326"/>
      <c r="AB21" s="326"/>
    </row>
    <row r="22" spans="2:28">
      <c r="B22" s="23"/>
      <c r="C22" s="23"/>
      <c r="D22" s="23" t="s">
        <v>459</v>
      </c>
      <c r="E22" s="23" t="s">
        <v>979</v>
      </c>
      <c r="F22" s="23"/>
      <c r="G22" s="92">
        <f ca="1">VLOOKUP($B21,Drivers!$T$58:$V$83,3,FALSE)*VLOOKUP($E22,Calibration!$A$220:$U$224,21,0)</f>
        <v>-6.0867683071297662</v>
      </c>
      <c r="H22" s="92">
        <f ca="1">VLOOKUP($B21,Driver2!$T$58:$V$83,3,FALSE)*VLOOKUP($E22,Calibrati2!$A$220:$U$224,21,0)</f>
        <v>-6.2818446553023648</v>
      </c>
      <c r="I22" s="404"/>
      <c r="J22" s="323">
        <f ca="1">Drivers!$P107</f>
        <v>2.8</v>
      </c>
      <c r="K22" s="323">
        <f ca="1">Driver2!$P107</f>
        <v>2.8</v>
      </c>
      <c r="L22" s="323">
        <f ca="1">IF(N21,-G22/N21,0)</f>
        <v>1.8206709103532865</v>
      </c>
      <c r="M22" s="323">
        <f ca="1">IF(O21,-H22/O21,0)</f>
        <v>2.3530830157248643</v>
      </c>
      <c r="N22" s="323"/>
      <c r="O22" s="3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3" spans="2:28">
      <c r="B23" s="23"/>
      <c r="C23" s="23"/>
      <c r="D23" s="23"/>
      <c r="E23" s="23" t="s">
        <v>528</v>
      </c>
      <c r="F23" s="23"/>
      <c r="G23" s="92"/>
      <c r="H23" s="92"/>
      <c r="I23" s="404"/>
      <c r="J23" s="323"/>
      <c r="K23" s="323"/>
      <c r="L23" s="323">
        <f ca="1">Drivers!$P113</f>
        <v>0.25</v>
      </c>
      <c r="M23" s="323">
        <f ca="1">Driver2!$P113</f>
        <v>0.35</v>
      </c>
      <c r="N23" s="323"/>
      <c r="O23" s="3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2:28">
      <c r="B24" s="23"/>
      <c r="C24" s="23"/>
      <c r="D24" s="23"/>
      <c r="E24" s="23" t="s">
        <v>458</v>
      </c>
      <c r="F24" s="23"/>
      <c r="G24" s="92"/>
      <c r="H24" s="92"/>
      <c r="I24" s="404"/>
      <c r="J24" s="323"/>
      <c r="K24" s="323"/>
      <c r="L24" s="323"/>
      <c r="M24" s="323"/>
      <c r="N24" s="323"/>
      <c r="O24" s="3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2:28">
      <c r="B25" s="23"/>
      <c r="C25" s="23"/>
      <c r="D25" s="23"/>
      <c r="E25" s="23" t="s">
        <v>1174</v>
      </c>
      <c r="F25" s="23"/>
      <c r="G25" s="92"/>
      <c r="H25" s="92"/>
      <c r="I25" s="404"/>
      <c r="J25" s="323"/>
      <c r="K25" s="323"/>
      <c r="L25" s="333">
        <f ca="1">Drivers!$L113</f>
        <v>0.32377605199607579</v>
      </c>
      <c r="M25" s="333">
        <f ca="1">Driver2!$L113</f>
        <v>0.32377605199607579</v>
      </c>
      <c r="N25" s="323"/>
      <c r="O25" s="3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6" spans="2:28">
      <c r="B26" s="23"/>
      <c r="C26" s="23"/>
      <c r="D26" s="23"/>
      <c r="E26" s="23" t="s">
        <v>1175</v>
      </c>
      <c r="F26" s="23"/>
      <c r="G26" s="92"/>
      <c r="H26" s="92"/>
      <c r="I26" s="404"/>
      <c r="J26" s="323"/>
      <c r="K26" s="323"/>
      <c r="L26" s="333">
        <f ca="1">Drivers!$L114</f>
        <v>0.18267682241939243</v>
      </c>
      <c r="M26" s="333">
        <f ca="1">Driver2!$L114</f>
        <v>0.18267682241939243</v>
      </c>
      <c r="N26" s="323"/>
      <c r="O26" s="3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2:28">
      <c r="B27" s="23"/>
      <c r="C27" s="23"/>
      <c r="D27" s="23"/>
      <c r="E27" s="23" t="s">
        <v>1177</v>
      </c>
      <c r="F27" s="23"/>
      <c r="G27" s="92"/>
      <c r="H27" s="92"/>
      <c r="I27" s="404"/>
      <c r="J27" s="323"/>
      <c r="K27" s="323"/>
      <c r="L27" s="333">
        <f ca="1">Drivers!$L112</f>
        <v>0.27284417600122318</v>
      </c>
      <c r="M27" s="333">
        <f ca="1">Driver2!$L112</f>
        <v>0.27284417600122318</v>
      </c>
      <c r="N27" s="323"/>
      <c r="O27" s="3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</row>
    <row r="28" spans="2:28">
      <c r="B28" s="116"/>
      <c r="C28" s="116"/>
      <c r="D28" s="116"/>
      <c r="E28" s="116" t="s">
        <v>1176</v>
      </c>
      <c r="F28" s="116"/>
      <c r="G28" s="511"/>
      <c r="H28" s="511"/>
      <c r="I28" s="513"/>
      <c r="J28" s="331"/>
      <c r="K28" s="331"/>
      <c r="L28" s="330">
        <f ca="1">1-SUM(L25:L27)</f>
        <v>0.22070294958330861</v>
      </c>
      <c r="M28" s="330">
        <f ca="1">1-SUM(M25:M27)</f>
        <v>0.22070294958330861</v>
      </c>
      <c r="N28" s="331"/>
      <c r="O28" s="331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</row>
    <row r="29" spans="2:28">
      <c r="B29" s="50" t="s">
        <v>344</v>
      </c>
      <c r="C29" s="50" t="s">
        <v>461</v>
      </c>
      <c r="D29" s="50" t="s">
        <v>981</v>
      </c>
      <c r="E29" s="219"/>
      <c r="F29" s="219"/>
      <c r="G29" s="397">
        <f ca="1">VLOOKUP($B29,Drivers!$T$58:$V$83,2,FALSE)*VLOOKUP($D29,Calibration!$A$211:$U$215,21,0)</f>
        <v>0.61424208342894926</v>
      </c>
      <c r="H29" s="397">
        <f ca="1">VLOOKUP($B29,Driver2!$T$58:$V$83,2,FALSE)*VLOOKUP($D29,Calibrati2!$A$211:$U$215,21,0)</f>
        <v>0.45502924102681619</v>
      </c>
      <c r="I29" s="404"/>
      <c r="J29" s="328">
        <f t="shared" ref="J29:K31" si="0">IF(N$29,G29/N$29,0)</f>
        <v>1.1554891444302917</v>
      </c>
      <c r="K29" s="328">
        <f t="shared" si="0"/>
        <v>1.1067496812445048</v>
      </c>
      <c r="L29" s="50"/>
      <c r="M29" s="50"/>
      <c r="N29" s="328">
        <f ca="1">VLOOKUP(B29,Drivers!$E$58:$H$82,4,0)</f>
        <v>0.53158619999999945</v>
      </c>
      <c r="O29" s="328">
        <f ca="1">VLOOKUP($B29,Driver2!$E$58:$H$82,4,0)</f>
        <v>0.41114016000000131</v>
      </c>
      <c r="P29" s="50">
        <v>0.9</v>
      </c>
      <c r="Q29" s="50">
        <v>25</v>
      </c>
      <c r="R29" s="323">
        <f>N29/$P29*$R$3</f>
        <v>0.59655784666666611</v>
      </c>
      <c r="S29" s="323">
        <f>O29/$P29*$R$3</f>
        <v>0.46139062400000147</v>
      </c>
      <c r="T29" s="50"/>
      <c r="U29" s="50">
        <v>0</v>
      </c>
      <c r="V29" s="50"/>
      <c r="W29" s="50"/>
      <c r="X29" s="50"/>
      <c r="Y29" s="50"/>
      <c r="Z29" s="50"/>
      <c r="AA29" s="50"/>
      <c r="AB29" s="50"/>
    </row>
    <row r="30" spans="2:28">
      <c r="B30" s="23"/>
      <c r="C30" s="23"/>
      <c r="D30" s="23" t="s">
        <v>979</v>
      </c>
      <c r="E30" s="23"/>
      <c r="F30" s="23"/>
      <c r="G30" s="92">
        <f ca="1">VLOOKUP($B29,Drivers!$T$58:$V$83,3,FALSE)*VLOOKUP($D30,Calibration!$A$220:$U$224,21,0)</f>
        <v>0.21782400623480208</v>
      </c>
      <c r="H30" s="92">
        <f ca="1">VLOOKUP($B29,Driver2!$T$58:$V$83,3,FALSE)*VLOOKUP($D30,Calibrati2!$A$220:$U$224,21,0)</f>
        <v>0.1758337338164806</v>
      </c>
      <c r="I30" s="404"/>
      <c r="J30" s="323">
        <f t="shared" si="0"/>
        <v>0.40976234190203265</v>
      </c>
      <c r="K30" s="323">
        <f t="shared" si="0"/>
        <v>0.42767345767555287</v>
      </c>
      <c r="L30" s="23"/>
      <c r="M30" s="23"/>
      <c r="N30" s="323"/>
      <c r="O30" s="3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2:28">
      <c r="B31" s="23"/>
      <c r="C31" s="23"/>
      <c r="D31" s="23" t="s">
        <v>462</v>
      </c>
      <c r="E31" s="23"/>
      <c r="F31" s="23"/>
      <c r="G31" s="92">
        <f ca="1">Calibration!$T$203*Drivers!$X$27</f>
        <v>0.2754931866076808</v>
      </c>
      <c r="H31" s="92">
        <f ca="1">Calibrati2!$T$203*Driver2!$X$27</f>
        <v>0.1992110453588444</v>
      </c>
      <c r="I31" s="404"/>
      <c r="J31" s="323">
        <f t="shared" si="0"/>
        <v>0.5182474387177114</v>
      </c>
      <c r="K31" s="323">
        <f t="shared" si="0"/>
        <v>0.48453317077768265</v>
      </c>
      <c r="L31" s="23"/>
      <c r="M31" s="23"/>
      <c r="N31" s="323"/>
      <c r="O31" s="3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2" spans="2:28">
      <c r="B32" s="23"/>
      <c r="C32" s="23"/>
      <c r="D32" s="23" t="s">
        <v>463</v>
      </c>
      <c r="E32" s="23" t="s">
        <v>458</v>
      </c>
      <c r="F32" s="23"/>
      <c r="G32" s="92"/>
      <c r="H32" s="92"/>
      <c r="I32" s="404"/>
      <c r="J32" s="323">
        <f ca="1">1/0.9</f>
        <v>1.1111111111111112</v>
      </c>
      <c r="K32" s="323">
        <f ca="1">1/0.9</f>
        <v>1.1111111111111112</v>
      </c>
      <c r="L32" s="23"/>
      <c r="M32" s="23"/>
      <c r="N32" s="323"/>
      <c r="O32" s="3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3" spans="2:28">
      <c r="B33" s="326" t="s">
        <v>1147</v>
      </c>
      <c r="C33" s="326" t="s">
        <v>1148</v>
      </c>
      <c r="D33" s="326" t="s">
        <v>458</v>
      </c>
      <c r="E33" s="332"/>
      <c r="F33" s="326" t="s">
        <v>86</v>
      </c>
      <c r="G33" s="344">
        <f ca="1">Drivers!$L103</f>
        <v>1.7529999999999999</v>
      </c>
      <c r="H33" s="344">
        <f ca="1">Driver2!$L103</f>
        <v>2.75</v>
      </c>
      <c r="I33" s="407"/>
      <c r="J33" s="327">
        <v>1</v>
      </c>
      <c r="K33" s="327">
        <v>1</v>
      </c>
      <c r="L33" s="326"/>
      <c r="M33" s="326"/>
      <c r="N33" s="327"/>
      <c r="O33" s="327"/>
      <c r="P33" s="326"/>
      <c r="Q33" s="326"/>
      <c r="R33" s="359"/>
      <c r="S33" s="326"/>
      <c r="T33" s="326"/>
      <c r="U33" s="326"/>
      <c r="V33" s="326"/>
      <c r="W33" s="326"/>
      <c r="X33" s="327">
        <f>G33</f>
        <v>1.7529999999999999</v>
      </c>
      <c r="Y33" s="327">
        <f>H33</f>
        <v>2.75</v>
      </c>
      <c r="Z33" s="327"/>
      <c r="AA33" s="327"/>
      <c r="AB33" s="327">
        <v>1</v>
      </c>
    </row>
    <row r="34" spans="2:28">
      <c r="B34" s="50"/>
      <c r="C34" s="50"/>
      <c r="D34" s="50" t="s">
        <v>981</v>
      </c>
      <c r="E34" s="219"/>
      <c r="F34" s="219"/>
      <c r="G34" s="397">
        <f ca="1">J34*G$33</f>
        <v>0.70554743999999991</v>
      </c>
      <c r="H34" s="397">
        <f ca="1">K34*H$33</f>
        <v>1.1068199999999999</v>
      </c>
      <c r="I34" s="404"/>
      <c r="J34" s="328">
        <f ca="1">Drivers!$L132</f>
        <v>0.40247999999999995</v>
      </c>
      <c r="K34" s="328">
        <f ca="1">Driver2!$L132</f>
        <v>0.40247999999999995</v>
      </c>
      <c r="L34" s="50"/>
      <c r="M34" s="50"/>
      <c r="N34" s="328"/>
      <c r="O34" s="328"/>
      <c r="P34" s="50"/>
      <c r="Q34" s="50"/>
      <c r="R34" s="328"/>
      <c r="S34" s="50"/>
      <c r="T34" s="50"/>
      <c r="U34" s="50"/>
      <c r="V34" s="50"/>
      <c r="W34" s="50"/>
      <c r="X34" s="50"/>
      <c r="Y34" s="50"/>
      <c r="Z34" s="50"/>
      <c r="AA34" s="50"/>
      <c r="AB34" s="50"/>
    </row>
    <row r="35" spans="2:28">
      <c r="B35" s="50"/>
      <c r="C35" s="50"/>
      <c r="D35" s="50" t="s">
        <v>979</v>
      </c>
      <c r="E35" s="219"/>
      <c r="F35" s="219"/>
      <c r="G35" s="397">
        <f ca="1">J35*G$33</f>
        <v>5.8432343159121949</v>
      </c>
      <c r="H35" s="397">
        <f ca="1">K35*H$33</f>
        <v>9.1665113341463407</v>
      </c>
      <c r="I35" s="404"/>
      <c r="J35" s="328">
        <f ca="1">Drivers!$L127</f>
        <v>3.3332768487804878</v>
      </c>
      <c r="K35" s="328">
        <f ca="1">Driver2!$L127</f>
        <v>3.3332768487804878</v>
      </c>
      <c r="L35" s="50"/>
      <c r="M35" s="50"/>
      <c r="N35" s="328"/>
      <c r="O35" s="328"/>
      <c r="P35" s="50"/>
      <c r="Q35" s="50"/>
      <c r="R35" s="328"/>
      <c r="S35" s="50"/>
      <c r="T35" s="50"/>
      <c r="U35" s="50"/>
      <c r="V35" s="50"/>
      <c r="W35" s="50"/>
      <c r="X35" s="50"/>
      <c r="Y35" s="50"/>
      <c r="Z35" s="50"/>
      <c r="AA35" s="50"/>
      <c r="AB35" s="50"/>
    </row>
    <row r="36" spans="2:28">
      <c r="B36" s="50"/>
      <c r="C36" s="50"/>
      <c r="D36" s="50" t="s">
        <v>1178</v>
      </c>
      <c r="E36" s="219"/>
      <c r="F36" s="50"/>
      <c r="G36" s="397"/>
      <c r="H36" s="397"/>
      <c r="I36" s="404"/>
      <c r="J36" s="328">
        <f ca="1">Drivers!$L120</f>
        <v>0.36223616657159158</v>
      </c>
      <c r="K36" s="328">
        <f ca="1">Driver2!$L120</f>
        <v>0.36223616657159158</v>
      </c>
      <c r="L36" s="50"/>
      <c r="M36" s="50"/>
      <c r="N36" s="328"/>
      <c r="O36" s="328"/>
      <c r="P36" s="50"/>
      <c r="Q36" s="50"/>
      <c r="R36" s="328"/>
      <c r="S36" s="50"/>
      <c r="T36" s="50"/>
      <c r="U36" s="50"/>
      <c r="V36" s="50"/>
      <c r="W36" s="50"/>
      <c r="X36" s="50"/>
      <c r="Y36" s="50"/>
      <c r="Z36" s="50"/>
      <c r="AA36" s="50"/>
      <c r="AB36" s="50"/>
    </row>
    <row r="37" spans="2:28">
      <c r="B37" s="23"/>
      <c r="C37" s="23"/>
      <c r="D37" s="23" t="s">
        <v>1179</v>
      </c>
      <c r="E37" s="23"/>
      <c r="F37" s="23"/>
      <c r="G37" s="92"/>
      <c r="H37" s="92"/>
      <c r="I37" s="404"/>
      <c r="J37" s="323"/>
      <c r="K37" s="323"/>
      <c r="L37" s="23"/>
      <c r="M37" s="23"/>
      <c r="N37" s="323"/>
      <c r="O37" s="3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8" spans="2:28">
      <c r="B38" s="326" t="s">
        <v>1185</v>
      </c>
      <c r="C38" s="326" t="s">
        <v>1173</v>
      </c>
      <c r="D38" s="326" t="s">
        <v>458</v>
      </c>
      <c r="E38" s="326" t="s">
        <v>1182</v>
      </c>
      <c r="F38" s="326"/>
      <c r="G38" s="344"/>
      <c r="H38" s="344"/>
      <c r="I38" s="407"/>
      <c r="J38" s="327">
        <v>1</v>
      </c>
      <c r="K38" s="327">
        <v>1</v>
      </c>
      <c r="L38" s="326"/>
      <c r="M38" s="326"/>
      <c r="N38" s="326"/>
      <c r="O38" s="326"/>
      <c r="P38" s="326"/>
      <c r="Q38" s="326"/>
      <c r="R38" s="359"/>
      <c r="S38" s="326"/>
      <c r="T38" s="326"/>
      <c r="U38" s="326"/>
      <c r="V38" s="326"/>
      <c r="W38" s="326"/>
      <c r="X38" s="326"/>
      <c r="Y38" s="326"/>
      <c r="Z38" s="326"/>
      <c r="AA38" s="326"/>
      <c r="AB38" s="326"/>
    </row>
    <row r="39" spans="2:28">
      <c r="B39" s="23"/>
      <c r="C39" s="23"/>
      <c r="D39" s="23" t="s">
        <v>1174</v>
      </c>
      <c r="E39" s="23"/>
      <c r="F39" s="23"/>
      <c r="G39" s="92"/>
      <c r="H39" s="92"/>
      <c r="I39" s="404"/>
      <c r="J39" s="333">
        <f ca="1">Drivers!$U106</f>
        <v>0.21950524714400557</v>
      </c>
      <c r="K39" s="333">
        <f ca="1">Driver2!$U106</f>
        <v>0.2488687052807009</v>
      </c>
      <c r="L39" s="400"/>
      <c r="M39" s="400"/>
      <c r="N39" s="323"/>
      <c r="O39" s="323"/>
      <c r="P39" s="23"/>
      <c r="Q39" s="23"/>
      <c r="R39" s="23"/>
      <c r="S39" s="23"/>
      <c r="T39" s="23"/>
      <c r="U39" s="23"/>
      <c r="V39" s="23">
        <v>3</v>
      </c>
      <c r="W39" s="23"/>
      <c r="X39" s="23"/>
      <c r="Y39" s="23"/>
      <c r="Z39" s="23"/>
      <c r="AA39" s="23"/>
      <c r="AB39" s="23"/>
    </row>
    <row r="40" spans="2:28">
      <c r="B40" s="23"/>
      <c r="C40" s="23"/>
      <c r="D40" s="23" t="s">
        <v>1177</v>
      </c>
      <c r="E40" s="23"/>
      <c r="F40" s="23"/>
      <c r="G40" s="92"/>
      <c r="H40" s="92"/>
      <c r="I40" s="404"/>
      <c r="J40" s="333">
        <f ca="1">Drivers!$U107</f>
        <v>0.18497578161116415</v>
      </c>
      <c r="K40" s="333">
        <f ca="1">Driver2!$U107</f>
        <v>0.20972019519722565</v>
      </c>
      <c r="L40" s="400"/>
      <c r="M40" s="400"/>
      <c r="N40" s="323"/>
      <c r="O40" s="323"/>
      <c r="P40" s="23"/>
      <c r="Q40" s="23"/>
      <c r="R40" s="23"/>
      <c r="S40" s="23"/>
      <c r="T40" s="23"/>
      <c r="U40" s="23"/>
      <c r="V40" s="23">
        <v>3</v>
      </c>
      <c r="W40" s="23"/>
      <c r="X40" s="23"/>
      <c r="Y40" s="23"/>
      <c r="Z40" s="23"/>
      <c r="AA40" s="23"/>
      <c r="AB40" s="23"/>
    </row>
    <row r="41" spans="2:28">
      <c r="B41" s="23"/>
      <c r="C41" s="23"/>
      <c r="D41" s="23" t="s">
        <v>1178</v>
      </c>
      <c r="E41" s="23"/>
      <c r="F41" s="23"/>
      <c r="G41" s="92"/>
      <c r="H41" s="92"/>
      <c r="I41" s="404"/>
      <c r="J41" s="333">
        <f ca="1">Drivers!$U108</f>
        <v>0.17686223058328032</v>
      </c>
      <c r="K41" s="333">
        <f ca="1">Driver2!$U108</f>
        <v>0.24422169475371444</v>
      </c>
      <c r="L41" s="400"/>
      <c r="M41" s="400"/>
      <c r="N41" s="323"/>
      <c r="O41" s="323"/>
      <c r="P41" s="23"/>
      <c r="Q41" s="23"/>
      <c r="R41" s="23"/>
      <c r="S41" s="23"/>
      <c r="T41" s="23"/>
      <c r="U41" s="23"/>
      <c r="V41" s="23">
        <v>3</v>
      </c>
      <c r="W41" s="23"/>
      <c r="X41" s="23"/>
      <c r="Y41" s="23"/>
      <c r="Z41" s="23"/>
      <c r="AA41" s="23"/>
      <c r="AB41" s="23"/>
    </row>
    <row r="42" spans="2:28">
      <c r="B42" s="23"/>
      <c r="C42" s="23"/>
      <c r="D42" s="23" t="s">
        <v>1179</v>
      </c>
      <c r="E42" s="23"/>
      <c r="F42" s="23"/>
      <c r="G42" s="92"/>
      <c r="H42" s="92"/>
      <c r="I42" s="404"/>
      <c r="J42" s="333">
        <f ca="1">Drivers!$U109</f>
        <v>0.41389116199644421</v>
      </c>
      <c r="K42" s="333">
        <f ca="1">Driver2!$U109</f>
        <v>0.57152508307170169</v>
      </c>
      <c r="L42" s="400"/>
      <c r="M42" s="400"/>
      <c r="N42" s="323"/>
      <c r="O42" s="323"/>
      <c r="P42" s="23"/>
      <c r="Q42" s="23"/>
      <c r="R42" s="23"/>
      <c r="S42" s="23"/>
      <c r="T42" s="23"/>
      <c r="U42" s="23"/>
      <c r="V42" s="23">
        <v>3</v>
      </c>
      <c r="W42" s="23"/>
      <c r="X42" s="23"/>
      <c r="Y42" s="23"/>
      <c r="Z42" s="23"/>
      <c r="AA42" s="23"/>
      <c r="AB42" s="23"/>
    </row>
    <row r="43" spans="2:28">
      <c r="B43" s="326" t="s">
        <v>1184</v>
      </c>
      <c r="C43" s="326" t="s">
        <v>1173</v>
      </c>
      <c r="D43" s="326" t="s">
        <v>458</v>
      </c>
      <c r="E43" s="326" t="s">
        <v>1183</v>
      </c>
      <c r="F43" s="326"/>
      <c r="G43" s="344"/>
      <c r="H43" s="344"/>
      <c r="I43" s="407"/>
      <c r="J43" s="327">
        <v>1</v>
      </c>
      <c r="K43" s="327">
        <v>1</v>
      </c>
      <c r="L43" s="326"/>
      <c r="M43" s="326"/>
      <c r="N43" s="327"/>
      <c r="O43" s="327"/>
      <c r="P43" s="326"/>
      <c r="Q43" s="326"/>
      <c r="R43" s="359"/>
      <c r="S43" s="326"/>
      <c r="T43" s="326"/>
      <c r="U43" s="326"/>
      <c r="V43" s="326"/>
      <c r="W43" s="326"/>
      <c r="X43" s="326"/>
      <c r="Y43" s="326"/>
      <c r="Z43" s="326"/>
      <c r="AA43" s="326"/>
      <c r="AB43" s="326"/>
    </row>
    <row r="44" spans="2:28">
      <c r="B44" s="23"/>
      <c r="C44" s="23"/>
      <c r="D44" s="23" t="s">
        <v>1181</v>
      </c>
      <c r="E44" s="23"/>
      <c r="F44" s="23"/>
      <c r="G44" s="92"/>
      <c r="H44" s="92"/>
      <c r="I44" s="404"/>
      <c r="J44" s="400">
        <f ca="1">Drivers!$U110</f>
        <v>9.9154705024655468E-2</v>
      </c>
      <c r="K44" s="400">
        <f ca="1">Driver2!$U110</f>
        <v>8.4632679435135666E-2</v>
      </c>
      <c r="L44" s="400"/>
      <c r="M44" s="400"/>
      <c r="N44" s="323"/>
      <c r="O44" s="323"/>
      <c r="P44" s="23"/>
      <c r="Q44" s="23"/>
      <c r="R44" s="23"/>
      <c r="S44" s="23"/>
      <c r="T44" s="23"/>
      <c r="U44" s="23"/>
      <c r="V44" s="23">
        <v>3</v>
      </c>
      <c r="W44" s="23"/>
      <c r="X44" s="23"/>
      <c r="Y44" s="23"/>
      <c r="Z44" s="23"/>
      <c r="AA44" s="23"/>
      <c r="AB44" s="23"/>
    </row>
    <row r="45" spans="2:28">
      <c r="B45" s="23"/>
      <c r="C45" s="23"/>
      <c r="D45" s="23" t="s">
        <v>1175</v>
      </c>
      <c r="E45" s="23"/>
      <c r="F45" s="23"/>
      <c r="G45" s="92"/>
      <c r="H45" s="92"/>
      <c r="I45" s="404"/>
      <c r="J45" s="400">
        <f ca="1">Drivers!$U111</f>
        <v>0.14022160865705538</v>
      </c>
      <c r="K45" s="400">
        <f ca="1">Driver2!$U111</f>
        <v>9.8268866911157216E-2</v>
      </c>
      <c r="L45" s="400"/>
      <c r="M45" s="400"/>
      <c r="N45" s="323"/>
      <c r="O45" s="323"/>
      <c r="P45" s="23"/>
      <c r="Q45" s="23"/>
      <c r="R45" s="23"/>
      <c r="S45" s="23"/>
      <c r="T45" s="23"/>
      <c r="U45" s="23"/>
      <c r="V45" s="23">
        <v>3</v>
      </c>
      <c r="W45" s="23"/>
      <c r="X45" s="23"/>
      <c r="Y45" s="23"/>
      <c r="Z45" s="23"/>
      <c r="AA45" s="23"/>
      <c r="AB45" s="23"/>
    </row>
    <row r="46" spans="2:28">
      <c r="B46" s="23"/>
      <c r="C46" s="23"/>
      <c r="D46" s="23" t="s">
        <v>1176</v>
      </c>
      <c r="E46" s="23"/>
      <c r="F46" s="23"/>
      <c r="G46" s="92"/>
      <c r="H46" s="92"/>
      <c r="I46" s="404"/>
      <c r="J46" s="400">
        <f ca="1">Drivers!$U112</f>
        <v>0.16941023067983496</v>
      </c>
      <c r="K46" s="400">
        <f ca="1">Driver2!$U112</f>
        <v>0.11872457869728983</v>
      </c>
      <c r="L46" s="400"/>
      <c r="M46" s="400"/>
      <c r="N46" s="323"/>
      <c r="O46" s="323"/>
      <c r="P46" s="23"/>
      <c r="Q46" s="23"/>
      <c r="R46" s="23"/>
      <c r="S46" s="23"/>
      <c r="T46" s="23"/>
      <c r="U46" s="23"/>
      <c r="V46" s="23">
        <v>3</v>
      </c>
      <c r="W46" s="23"/>
      <c r="X46" s="23"/>
      <c r="Y46" s="23"/>
      <c r="Z46" s="23"/>
      <c r="AA46" s="23"/>
      <c r="AB46" s="23"/>
    </row>
    <row r="47" spans="2:28">
      <c r="B47" s="23"/>
      <c r="C47" s="23"/>
      <c r="D47" s="23" t="s">
        <v>1178</v>
      </c>
      <c r="E47" s="23"/>
      <c r="F47" s="23"/>
      <c r="G47" s="92"/>
      <c r="H47" s="92"/>
      <c r="I47" s="404"/>
      <c r="J47" s="400">
        <f ca="1">Drivers!$U113</f>
        <v>0.18295900896206738</v>
      </c>
      <c r="K47" s="400">
        <f ca="1">Driver2!$U113</f>
        <v>0.15616315081978699</v>
      </c>
      <c r="L47" s="400"/>
      <c r="M47" s="400"/>
      <c r="N47" s="323"/>
      <c r="O47" s="323"/>
      <c r="P47" s="23"/>
      <c r="Q47" s="23"/>
      <c r="R47" s="23"/>
      <c r="S47" s="23"/>
      <c r="T47" s="23"/>
      <c r="U47" s="23"/>
      <c r="V47" s="23">
        <v>3</v>
      </c>
      <c r="W47" s="23"/>
      <c r="X47" s="23"/>
      <c r="Y47" s="23"/>
      <c r="Z47" s="23"/>
      <c r="AA47" s="23"/>
      <c r="AB47" s="23"/>
    </row>
    <row r="48" spans="2:28">
      <c r="B48" s="23"/>
      <c r="C48" s="23"/>
      <c r="D48" s="23" t="s">
        <v>1179</v>
      </c>
      <c r="E48" s="23"/>
      <c r="F48" s="23"/>
      <c r="G48" s="92"/>
      <c r="H48" s="92"/>
      <c r="I48" s="404"/>
      <c r="J48" s="400">
        <f ca="1">Drivers!$U114</f>
        <v>0.18597969292622335</v>
      </c>
      <c r="K48" s="400">
        <f ca="1">Driver2!$U114</f>
        <v>0.15874143066590923</v>
      </c>
      <c r="L48" s="400"/>
      <c r="M48" s="400"/>
      <c r="N48" s="323"/>
      <c r="O48" s="323"/>
      <c r="P48" s="23"/>
      <c r="Q48" s="23"/>
      <c r="R48" s="23"/>
      <c r="S48" s="23"/>
      <c r="T48" s="23"/>
      <c r="U48" s="23"/>
      <c r="V48" s="23">
        <v>3</v>
      </c>
      <c r="W48" s="23"/>
      <c r="X48" s="23"/>
      <c r="Y48" s="23"/>
      <c r="Z48" s="23"/>
      <c r="AA48" s="23"/>
      <c r="AB48" s="23"/>
    </row>
    <row r="49" spans="2:28">
      <c r="B49" s="23"/>
      <c r="C49" s="23"/>
      <c r="D49" s="23" t="s">
        <v>1180</v>
      </c>
      <c r="E49" s="23"/>
      <c r="F49" s="23"/>
      <c r="G49" s="92"/>
      <c r="H49" s="92"/>
      <c r="I49" s="404"/>
      <c r="J49" s="400">
        <f ca="1">Drivers!$U115</f>
        <v>0.10561704462140575</v>
      </c>
      <c r="K49" s="400">
        <f ca="1">Driver2!$U115</f>
        <v>9.0148556017661474E-2</v>
      </c>
      <c r="L49" s="400"/>
      <c r="M49" s="400"/>
      <c r="N49" s="323"/>
      <c r="O49" s="323"/>
      <c r="P49" s="23"/>
      <c r="Q49" s="23"/>
      <c r="R49" s="116"/>
      <c r="S49" s="116"/>
      <c r="T49" s="23"/>
      <c r="U49" s="23"/>
      <c r="V49" s="23">
        <v>3</v>
      </c>
      <c r="W49" s="23"/>
      <c r="X49" s="23"/>
      <c r="Y49" s="23"/>
      <c r="Z49" s="23"/>
      <c r="AA49" s="23"/>
      <c r="AB49" s="23"/>
    </row>
    <row r="50" spans="2:28">
      <c r="B50" s="326" t="s">
        <v>341</v>
      </c>
      <c r="C50" s="326" t="s">
        <v>464</v>
      </c>
      <c r="D50" s="326" t="s">
        <v>981</v>
      </c>
      <c r="E50" s="332"/>
      <c r="F50" s="332"/>
      <c r="G50" s="344">
        <f ca="1">VLOOKUP($B50,Drivers!$T$58:$V$83,2,FALSE)*VLOOKUP($D50,Calibration!$A$211:$U$215,21,0)</f>
        <v>25.97964443271259</v>
      </c>
      <c r="H50" s="344">
        <f ca="1">VLOOKUP($B50,Driver2!$T$58:$V$83,2,FALSE)*VLOOKUP($D50,Calibrati2!$A$211:$U$215,21,0)</f>
        <v>21.949274070498291</v>
      </c>
      <c r="I50" s="407"/>
      <c r="J50" s="327">
        <f t="shared" ref="J50:K52" si="1">IF(N$50,G50/N$50,0)</f>
        <v>2.2095292084293749</v>
      </c>
      <c r="K50" s="327">
        <f t="shared" si="1"/>
        <v>2.1359707690759486</v>
      </c>
      <c r="L50" s="326"/>
      <c r="M50" s="326"/>
      <c r="N50" s="327">
        <f ca="1">VLOOKUP(B50,Drivers!$E$58:$H$82,4,0)</f>
        <v>11.757999999999999</v>
      </c>
      <c r="O50" s="327">
        <f ca="1">VLOOKUP($B50,Driver2!$E$58:$H$82,4,0)</f>
        <v>10.276018000000001</v>
      </c>
      <c r="P50" s="326">
        <v>0.9</v>
      </c>
      <c r="Q50" s="326">
        <v>30</v>
      </c>
      <c r="R50" s="323">
        <f>N50/$P50*$R$3</f>
        <v>13.195088888888888</v>
      </c>
      <c r="S50" s="323">
        <f>O50/$P50*$R$3</f>
        <v>11.531975755555557</v>
      </c>
      <c r="T50" s="326"/>
      <c r="U50" s="326">
        <v>0</v>
      </c>
      <c r="V50" s="326"/>
      <c r="W50" s="326"/>
      <c r="X50" s="326"/>
      <c r="Y50" s="326"/>
      <c r="Z50" s="326"/>
      <c r="AA50" s="326"/>
      <c r="AB50" s="326"/>
    </row>
    <row r="51" spans="2:28">
      <c r="B51" s="23"/>
      <c r="C51" s="23"/>
      <c r="D51" s="23" t="s">
        <v>979</v>
      </c>
      <c r="E51" s="23"/>
      <c r="F51" s="23"/>
      <c r="G51" s="92">
        <f ca="1">VLOOKUP($B50,Drivers!$T$58:$V$83,3,FALSE)*VLOOKUP($D51,Calibration!$A$220:$U$224,21,0)</f>
        <v>62.493925684215846</v>
      </c>
      <c r="H51" s="92">
        <f ca="1">VLOOKUP($B50,Driver2!$T$58:$V$83,3,FALSE)*VLOOKUP($D51,Calibrati2!$A$220:$U$224,21,0)</f>
        <v>56.787445789300385</v>
      </c>
      <c r="I51" s="404"/>
      <c r="J51" s="323">
        <f t="shared" si="1"/>
        <v>5.3150132407055493</v>
      </c>
      <c r="K51" s="323">
        <f t="shared" si="1"/>
        <v>5.5262112025592387</v>
      </c>
      <c r="L51" s="23"/>
      <c r="M51" s="23"/>
      <c r="N51" s="323"/>
      <c r="O51" s="3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2:28">
      <c r="B52" s="23"/>
      <c r="C52" s="23"/>
      <c r="D52" s="23" t="s">
        <v>462</v>
      </c>
      <c r="E52" s="23"/>
      <c r="F52" s="23"/>
      <c r="G52" s="92">
        <f ca="1">Calibration!$T$200*Drivers!$X$27</f>
        <v>3.485485530526462</v>
      </c>
      <c r="H52" s="92">
        <f ca="1">Calibrati2!$T$200*Driver2!$X$27</f>
        <v>2.8266179606642563</v>
      </c>
      <c r="I52" s="405"/>
      <c r="J52" s="333">
        <f t="shared" si="1"/>
        <v>0.29643523818051221</v>
      </c>
      <c r="K52" s="333">
        <f t="shared" si="1"/>
        <v>0.27506938589094104</v>
      </c>
      <c r="L52" s="23"/>
      <c r="M52" s="23"/>
      <c r="N52" s="323"/>
      <c r="O52" s="3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</row>
    <row r="53" spans="2:28">
      <c r="B53" s="23"/>
      <c r="C53" s="23"/>
      <c r="D53" s="23" t="s">
        <v>1182</v>
      </c>
      <c r="E53" s="23"/>
      <c r="F53" s="23" t="s">
        <v>692</v>
      </c>
      <c r="G53" s="92">
        <f ca="1">Drivers!$L$102</f>
        <v>7.2658569999999996</v>
      </c>
      <c r="H53" s="92">
        <f ca="1">Driver2!$L$102</f>
        <v>5.1226500000000001</v>
      </c>
      <c r="I53" s="405">
        <v>1</v>
      </c>
      <c r="J53" s="333"/>
      <c r="K53" s="333"/>
      <c r="L53" s="23"/>
      <c r="M53" s="23"/>
      <c r="N53" s="323"/>
      <c r="O53" s="3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</row>
    <row r="54" spans="2:28">
      <c r="B54" s="23"/>
      <c r="C54" s="23"/>
      <c r="D54" s="23" t="s">
        <v>1183</v>
      </c>
      <c r="E54" s="23"/>
      <c r="F54" s="23"/>
      <c r="G54" s="92"/>
      <c r="H54" s="92"/>
      <c r="I54" s="405"/>
      <c r="J54" s="23"/>
      <c r="K54" s="23"/>
      <c r="L54" s="23"/>
      <c r="M54" s="23"/>
      <c r="N54" s="323"/>
      <c r="O54" s="3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</row>
    <row r="55" spans="2:28">
      <c r="B55" s="23"/>
      <c r="C55" s="23"/>
      <c r="D55" s="23"/>
      <c r="E55" s="23" t="s">
        <v>454</v>
      </c>
      <c r="F55" s="23"/>
      <c r="G55" s="92">
        <f ca="1">SUM(N7,N21,N29)</f>
        <v>11.039586199999999</v>
      </c>
      <c r="H55" s="92">
        <f ca="1">SUM(O7,O21,O29)</f>
        <v>11.094140160000002</v>
      </c>
      <c r="I55" s="404"/>
      <c r="J55" s="323"/>
      <c r="K55" s="323"/>
      <c r="L55" s="23"/>
      <c r="M55" s="23"/>
      <c r="N55" s="323"/>
      <c r="O55" s="3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</row>
    <row r="56" spans="2:28">
      <c r="B56" s="326" t="s">
        <v>345</v>
      </c>
      <c r="C56" s="326" t="s">
        <v>191</v>
      </c>
      <c r="D56" s="326" t="s">
        <v>981</v>
      </c>
      <c r="E56" s="332"/>
      <c r="F56" s="332"/>
      <c r="G56" s="344">
        <f ca="1">VLOOKUP($B56,Drivers!$T$58:$V$83,2,FALSE)*VLOOKUP($D56,Calibration!$A$211:$U$215,21,0)</f>
        <v>0</v>
      </c>
      <c r="H56" s="344">
        <f ca="1">VLOOKUP($B56,Driver2!$T$58:$V$83,2,FALSE)*VLOOKUP($D56,Calibrati2!$A$211:$U$215,21,0)</f>
        <v>0</v>
      </c>
      <c r="I56" s="407"/>
      <c r="J56" s="327">
        <f t="shared" ref="J56:K58" si="2">G56/N$56</f>
        <v>0</v>
      </c>
      <c r="K56" s="327">
        <f t="shared" si="2"/>
        <v>0</v>
      </c>
      <c r="L56" s="326"/>
      <c r="M56" s="326"/>
      <c r="N56" s="327">
        <f ca="1">Drivers!P119</f>
        <v>0.74436800000000003</v>
      </c>
      <c r="O56" s="327">
        <f ca="1">Driver2!P119</f>
        <v>0.74436800000000003</v>
      </c>
      <c r="P56" s="326">
        <v>0.9</v>
      </c>
      <c r="Q56" s="326">
        <v>30</v>
      </c>
      <c r="R56" s="359"/>
      <c r="S56" s="360"/>
      <c r="T56" s="360"/>
      <c r="U56" s="360"/>
      <c r="V56" s="360">
        <v>2015</v>
      </c>
      <c r="W56" s="326"/>
      <c r="X56" s="326"/>
      <c r="Y56" s="326"/>
      <c r="Z56" s="326"/>
      <c r="AA56" s="326"/>
      <c r="AB56" s="326"/>
    </row>
    <row r="57" spans="2:28">
      <c r="B57" s="50"/>
      <c r="C57" s="50"/>
      <c r="D57" s="23" t="s">
        <v>979</v>
      </c>
      <c r="E57" s="328"/>
      <c r="F57" s="328"/>
      <c r="G57" s="92">
        <f ca="1">VLOOKUP($B56,Drivers!$T$58:$V$83,3,FALSE)*VLOOKUP($D57,Calibration!$A$220:$U$224,21,0)</f>
        <v>0</v>
      </c>
      <c r="H57" s="92">
        <f ca="1">VLOOKUP($B56,Driver2!$T$58:$V$83,3,FALSE)*VLOOKUP($D57,Calibrati2!$A$220:$U$224,21,0)</f>
        <v>0</v>
      </c>
      <c r="I57" s="405"/>
      <c r="J57" s="329">
        <f t="shared" si="2"/>
        <v>0</v>
      </c>
      <c r="K57" s="329">
        <f t="shared" si="2"/>
        <v>0</v>
      </c>
      <c r="L57" s="50"/>
      <c r="M57" s="50"/>
      <c r="N57" s="328"/>
      <c r="O57" s="328"/>
      <c r="P57" s="50"/>
      <c r="Q57" s="50"/>
      <c r="R57" s="361"/>
      <c r="S57" s="361"/>
      <c r="T57" s="361"/>
      <c r="U57" s="361"/>
      <c r="V57" s="361">
        <v>2015</v>
      </c>
      <c r="W57" s="23"/>
      <c r="X57" s="23"/>
      <c r="Y57" s="23"/>
      <c r="Z57" s="23"/>
      <c r="AA57" s="23"/>
      <c r="AB57" s="23"/>
    </row>
    <row r="58" spans="2:28">
      <c r="B58" s="50"/>
      <c r="C58" s="50"/>
      <c r="D58" s="50" t="s">
        <v>983</v>
      </c>
      <c r="E58" s="328"/>
      <c r="F58" s="328"/>
      <c r="G58" s="92">
        <f ca="1">IOLP!I$24</f>
        <v>0</v>
      </c>
      <c r="H58" s="92">
        <f ca="1">IOLP!J$24</f>
        <v>0</v>
      </c>
      <c r="I58" s="405"/>
      <c r="J58" s="329">
        <f t="shared" si="2"/>
        <v>0</v>
      </c>
      <c r="K58" s="329">
        <f t="shared" si="2"/>
        <v>0</v>
      </c>
      <c r="L58" s="50"/>
      <c r="M58" s="50"/>
      <c r="N58" s="328"/>
      <c r="O58" s="328"/>
      <c r="P58" s="50"/>
      <c r="Q58" s="50"/>
      <c r="R58" s="361"/>
      <c r="S58" s="361"/>
      <c r="T58" s="361"/>
      <c r="U58" s="361"/>
      <c r="V58" s="361">
        <v>2015</v>
      </c>
      <c r="W58" s="23"/>
      <c r="X58" s="23"/>
      <c r="Y58" s="23"/>
      <c r="Z58" s="23"/>
      <c r="AA58" s="23"/>
      <c r="AB58" s="23"/>
    </row>
    <row r="59" spans="2:28">
      <c r="B59" s="50"/>
      <c r="C59" s="50"/>
      <c r="D59" s="50" t="s">
        <v>395</v>
      </c>
      <c r="E59" s="328"/>
      <c r="F59" s="328"/>
      <c r="G59" s="92"/>
      <c r="H59" s="92"/>
      <c r="I59" s="405"/>
      <c r="J59" s="329">
        <v>0.1</v>
      </c>
      <c r="K59" s="329">
        <v>0.1</v>
      </c>
      <c r="L59" s="50"/>
      <c r="M59" s="50"/>
      <c r="N59" s="328"/>
      <c r="O59" s="328"/>
      <c r="P59" s="50"/>
      <c r="Q59" s="50"/>
      <c r="R59" s="361"/>
      <c r="S59" s="361"/>
      <c r="T59" s="361"/>
      <c r="U59" s="361"/>
      <c r="V59" s="361"/>
      <c r="W59" s="23"/>
      <c r="X59" s="23"/>
      <c r="Y59" s="23"/>
      <c r="Z59" s="23"/>
      <c r="AA59" s="23"/>
      <c r="AB59" s="23"/>
    </row>
    <row r="60" spans="2:28">
      <c r="B60" s="116"/>
      <c r="C60" s="116"/>
      <c r="D60" s="116"/>
      <c r="E60" s="116" t="s">
        <v>455</v>
      </c>
      <c r="F60" s="116"/>
      <c r="G60" s="92"/>
      <c r="H60" s="92"/>
      <c r="I60" s="408"/>
      <c r="J60" s="330"/>
      <c r="K60" s="330"/>
      <c r="L60" s="116"/>
      <c r="M60" s="116"/>
      <c r="N60" s="331"/>
      <c r="O60" s="331"/>
      <c r="P60" s="116"/>
      <c r="Q60" s="116"/>
      <c r="R60" s="362"/>
      <c r="S60" s="362"/>
      <c r="T60" s="362"/>
      <c r="U60" s="362"/>
      <c r="V60" s="362"/>
      <c r="W60" s="23"/>
      <c r="X60" s="23"/>
      <c r="Y60" s="23"/>
      <c r="Z60" s="23"/>
      <c r="AA60" s="23"/>
      <c r="AB60" s="23"/>
    </row>
    <row r="61" spans="2:28" ht="15" thickBot="1">
      <c r="B61" s="499" t="s">
        <v>1380</v>
      </c>
      <c r="C61" s="198"/>
      <c r="D61" s="198"/>
      <c r="E61" s="198"/>
      <c r="F61" s="198"/>
      <c r="G61" s="199"/>
      <c r="H61" s="199"/>
      <c r="I61" s="399"/>
      <c r="J61" s="199"/>
      <c r="K61" s="199"/>
      <c r="L61" s="199"/>
      <c r="M61" s="199"/>
      <c r="N61" s="199"/>
      <c r="O61" s="199"/>
      <c r="P61" s="200"/>
      <c r="Q61" s="200" t="s">
        <v>784</v>
      </c>
      <c r="R61" s="201"/>
      <c r="S61" s="198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2:28" ht="25.5">
      <c r="B62" s="266" t="s">
        <v>500</v>
      </c>
      <c r="C62" s="58" t="s">
        <v>111</v>
      </c>
      <c r="D62" s="51" t="s">
        <v>1249</v>
      </c>
      <c r="E62" s="51"/>
      <c r="F62" s="51"/>
      <c r="G62" s="92">
        <f ca="1">Calibration!$C$103*Drivers!$P$121</f>
        <v>3.0136217469243736</v>
      </c>
      <c r="H62" s="92">
        <f ca="1">Calibrati2!$C$103*Driver2!$P$121</f>
        <v>2.7286910487881104</v>
      </c>
      <c r="I62" s="51"/>
      <c r="J62" s="51">
        <v>1</v>
      </c>
      <c r="K62" s="51">
        <v>1</v>
      </c>
      <c r="L62" s="51"/>
      <c r="M62" s="51"/>
      <c r="N62" s="51"/>
      <c r="O62" s="51"/>
      <c r="P62" s="51">
        <v>0.8</v>
      </c>
      <c r="Q62" s="51">
        <v>3</v>
      </c>
      <c r="R62" s="51"/>
      <c r="S62" s="51"/>
      <c r="T62" s="51"/>
      <c r="U62" s="51"/>
      <c r="V62" s="51"/>
      <c r="W62" s="51"/>
      <c r="X62" s="51"/>
      <c r="Y62" s="51"/>
      <c r="Z62" s="51">
        <v>31.536000000000001</v>
      </c>
      <c r="AA62" s="51">
        <v>100</v>
      </c>
      <c r="AB62" s="51"/>
    </row>
    <row r="63" spans="2:28">
      <c r="B63" s="264"/>
      <c r="C63" s="50"/>
      <c r="D63" s="52" t="s">
        <v>981</v>
      </c>
      <c r="E63" s="52"/>
      <c r="F63" s="386" t="s">
        <v>1126</v>
      </c>
      <c r="G63" s="92"/>
      <c r="H63" s="9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>
        <f ca="1">-Calibration!$C$210</f>
        <v>-0.86</v>
      </c>
    </row>
    <row r="64" spans="2:28" ht="13.5" thickBot="1">
      <c r="B64" s="24"/>
      <c r="C64" s="24"/>
      <c r="D64" s="22"/>
      <c r="E64" s="22" t="s">
        <v>982</v>
      </c>
      <c r="F64" s="22"/>
      <c r="G64" s="92"/>
      <c r="H64" s="9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>
      <c r="B65" s="198" t="s">
        <v>1380</v>
      </c>
      <c r="C65" s="198"/>
      <c r="D65" s="198"/>
      <c r="E65" s="198"/>
      <c r="F65" s="198"/>
      <c r="G65" s="500">
        <f>SUM(G62:G63)</f>
        <v>3.0136217469243736</v>
      </c>
      <c r="H65" s="500">
        <f>SUM(H62:H63)</f>
        <v>2.7286910487881104</v>
      </c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</row>
    <row r="66" spans="2:28">
      <c r="G66" s="2"/>
      <c r="H66" s="2"/>
    </row>
    <row r="67" spans="2:28">
      <c r="G67" s="283"/>
      <c r="H67" s="283"/>
    </row>
    <row r="69" spans="2:28" ht="18">
      <c r="B69" s="86" t="s">
        <v>90</v>
      </c>
      <c r="C69" s="88"/>
      <c r="D69" s="88"/>
      <c r="E69" s="225" t="str">
        <f>"~FI_T: "&amp;Region</f>
        <v>~FI_T: FIN</v>
      </c>
      <c r="O69" s="1"/>
    </row>
    <row r="70" spans="2:28" ht="39" thickBot="1">
      <c r="B70" s="45" t="s">
        <v>649</v>
      </c>
      <c r="C70" s="45" t="s">
        <v>650</v>
      </c>
      <c r="D70" s="45" t="s">
        <v>648</v>
      </c>
      <c r="E70" s="45" t="s">
        <v>651</v>
      </c>
      <c r="F70" s="64" t="str">
        <f ca="1">CONCATENATE("\I:",BaseYear," Service Demand")</f>
        <v>\I:2010 Service Demand</v>
      </c>
      <c r="G70" s="64" t="str">
        <f ca="1">CONCATENATE("\I:",AuxData!$D$2," service demand")</f>
        <v>\I:2017 service demand</v>
      </c>
      <c r="H70" s="64" t="str">
        <f ca="1">CONCATENATE("\I:",IEA_Year," EFF")</f>
        <v>\I:2010 EFF</v>
      </c>
      <c r="I70" s="45" t="str">
        <f ca="1">"Input~"&amp;BaseYear</f>
        <v>Input~2010</v>
      </c>
      <c r="J70" s="45" t="str">
        <f ca="1">"Input~"&amp;AuxYear</f>
        <v>Input~2017</v>
      </c>
      <c r="K70" s="64" t="s">
        <v>390</v>
      </c>
      <c r="L70" s="45" t="s">
        <v>848</v>
      </c>
      <c r="M70" s="64" t="s">
        <v>872</v>
      </c>
      <c r="N70" s="64" t="s">
        <v>556</v>
      </c>
    </row>
    <row r="71" spans="2:28">
      <c r="B71" s="35" t="s">
        <v>984</v>
      </c>
      <c r="C71" s="23" t="s">
        <v>453</v>
      </c>
      <c r="D71" s="9" t="s">
        <v>454</v>
      </c>
      <c r="E71" s="9"/>
      <c r="F71" s="21">
        <f>N50</f>
        <v>11.757999999999999</v>
      </c>
      <c r="G71" s="21">
        <f>O50</f>
        <v>10.276018000000001</v>
      </c>
      <c r="H71" s="31">
        <v>1</v>
      </c>
      <c r="I71" s="62">
        <f t="shared" ref="I71:J73" si="3">IF($F$75=0,0,F71/I$75)/1</f>
        <v>1</v>
      </c>
      <c r="J71" s="62">
        <f t="shared" si="3"/>
        <v>1</v>
      </c>
      <c r="K71" s="31">
        <v>1</v>
      </c>
      <c r="L71" s="17">
        <v>1</v>
      </c>
      <c r="M71" s="12">
        <v>1</v>
      </c>
      <c r="N71" s="12">
        <v>5</v>
      </c>
    </row>
    <row r="72" spans="2:28">
      <c r="B72" s="9"/>
      <c r="C72" s="23"/>
      <c r="D72" s="9" t="s">
        <v>455</v>
      </c>
      <c r="E72" s="9"/>
      <c r="F72" s="21">
        <f>N56</f>
        <v>0.74436800000000003</v>
      </c>
      <c r="G72" s="21">
        <f>O56</f>
        <v>0.74436800000000003</v>
      </c>
      <c r="H72" s="62"/>
      <c r="I72" s="62">
        <f t="shared" si="3"/>
        <v>6.3307365198162963E-2</v>
      </c>
      <c r="J72" s="62">
        <f t="shared" si="3"/>
        <v>7.2437397443250881E-2</v>
      </c>
      <c r="K72" s="62"/>
      <c r="L72" s="542"/>
      <c r="M72" s="9"/>
      <c r="N72" s="9"/>
    </row>
    <row r="73" spans="2:28">
      <c r="B73" s="9"/>
      <c r="C73" s="23"/>
      <c r="D73" s="9" t="s">
        <v>982</v>
      </c>
      <c r="E73" s="9"/>
      <c r="F73" s="21">
        <f>G65</f>
        <v>3.0136217469243736</v>
      </c>
      <c r="G73" s="21">
        <f>H65</f>
        <v>2.7286910487881104</v>
      </c>
      <c r="H73" s="62"/>
      <c r="I73" s="62">
        <f t="shared" si="3"/>
        <v>0.25630394173536092</v>
      </c>
      <c r="J73" s="62">
        <f t="shared" si="3"/>
        <v>0.26553973034964617</v>
      </c>
      <c r="K73" s="62"/>
      <c r="L73" s="542"/>
      <c r="M73" s="9"/>
      <c r="N73" s="9"/>
    </row>
    <row r="74" spans="2:28">
      <c r="B74" s="9"/>
      <c r="C74" s="23"/>
      <c r="D74" s="9"/>
      <c r="E74" s="9" t="s">
        <v>978</v>
      </c>
      <c r="F74" s="21"/>
      <c r="G74" s="21"/>
      <c r="H74" s="62"/>
      <c r="I74" s="62"/>
      <c r="J74" s="9"/>
      <c r="K74" s="62"/>
      <c r="L74" s="542"/>
      <c r="M74" s="9"/>
      <c r="N74" s="9"/>
    </row>
    <row r="75" spans="2:28">
      <c r="B75" s="192" t="s">
        <v>902</v>
      </c>
      <c r="C75" s="198"/>
      <c r="D75" s="198"/>
      <c r="E75" s="198"/>
      <c r="F75" s="199">
        <f>SUM(F71:F73)</f>
        <v>15.515989746924372</v>
      </c>
      <c r="G75" s="199">
        <f>SUM(G71:G73)</f>
        <v>13.749077048788111</v>
      </c>
      <c r="H75" s="199"/>
      <c r="I75" s="199">
        <f>IF(F71&gt;0.01,F71,MAX(F71:F73))</f>
        <v>11.757999999999999</v>
      </c>
      <c r="J75" s="199">
        <f>IF(G71&gt;0.01,G71,MAX(G71:G73))</f>
        <v>10.276018000000001</v>
      </c>
      <c r="K75" s="199"/>
      <c r="L75" s="200"/>
      <c r="M75" s="200"/>
      <c r="N75" s="200" t="s">
        <v>784</v>
      </c>
    </row>
    <row r="77" spans="2:28">
      <c r="D77" s="216"/>
    </row>
    <row r="78" spans="2:28" ht="18">
      <c r="B78" s="124" t="s">
        <v>89</v>
      </c>
      <c r="C78" s="125"/>
      <c r="D78" s="225"/>
    </row>
    <row r="79" spans="2:28" ht="26.25" thickBot="1">
      <c r="B79" s="25" t="s">
        <v>772</v>
      </c>
      <c r="C79" s="25" t="s">
        <v>773</v>
      </c>
      <c r="D79" s="25" t="s">
        <v>778</v>
      </c>
      <c r="E79" s="25" t="s">
        <v>1083</v>
      </c>
      <c r="F79" s="25" t="str">
        <f ca="1">"DEMAND~"&amp;AuxYear</f>
        <v>DEMAND~2017</v>
      </c>
      <c r="G79" s="25"/>
      <c r="H79" s="25"/>
    </row>
    <row r="80" spans="2:28">
      <c r="B80" s="27" t="s">
        <v>978</v>
      </c>
      <c r="C80" s="27" t="s">
        <v>887</v>
      </c>
      <c r="D80" s="483" t="s">
        <v>976</v>
      </c>
      <c r="E80" s="30">
        <f>I75</f>
        <v>11.757999999999999</v>
      </c>
      <c r="F80" s="30">
        <f>J75</f>
        <v>10.276018000000001</v>
      </c>
      <c r="G80" s="12"/>
      <c r="H80" s="12"/>
    </row>
    <row r="81" spans="2:8">
      <c r="B81" s="27" t="s">
        <v>1387</v>
      </c>
      <c r="C81" s="27" t="s">
        <v>1390</v>
      </c>
      <c r="D81" s="483" t="s">
        <v>976</v>
      </c>
      <c r="E81" s="30">
        <f ca="1">MAX(Drivers!$L$104)</f>
        <v>0</v>
      </c>
      <c r="F81" s="30">
        <f ca="1">MAX(0.001,Driver2!$L$104)</f>
        <v>0.41499999999999998</v>
      </c>
      <c r="G81" s="12"/>
      <c r="H81" s="12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24"/>
  <sheetViews>
    <sheetView zoomScale="75" workbookViewId="0">
      <selection activeCell="J20" sqref="J20"/>
    </sheetView>
  </sheetViews>
  <sheetFormatPr defaultColWidth="8.85546875" defaultRowHeight="12.75"/>
  <cols>
    <col min="1" max="1" width="7.5703125" customWidth="1"/>
    <col min="2" max="2" width="15.42578125" customWidth="1"/>
    <col min="3" max="3" width="46.7109375" customWidth="1"/>
    <col min="4" max="4" width="9.85546875" customWidth="1"/>
  </cols>
  <sheetData>
    <row r="1" spans="1:26">
      <c r="E1" s="216"/>
    </row>
    <row r="2" spans="1:26">
      <c r="E2" s="216"/>
    </row>
    <row r="3" spans="1:26">
      <c r="E3" s="216"/>
    </row>
    <row r="4" spans="1:26">
      <c r="E4" s="216"/>
      <c r="Q4" s="12">
        <v>1</v>
      </c>
      <c r="R4" t="s">
        <v>146</v>
      </c>
    </row>
    <row r="5" spans="1:26" ht="18">
      <c r="A5" s="8"/>
      <c r="B5" s="10"/>
      <c r="C5" s="11"/>
      <c r="E5" s="216"/>
      <c r="H5" t="s">
        <v>784</v>
      </c>
    </row>
    <row r="6" spans="1:26" ht="18">
      <c r="B6" s="86" t="s">
        <v>11</v>
      </c>
      <c r="C6" s="88"/>
      <c r="D6" s="123"/>
      <c r="E6" s="225" t="str">
        <f>"~FI_T: "&amp;Region</f>
        <v>~FI_T: FIN</v>
      </c>
      <c r="F6" s="1"/>
      <c r="H6" s="1" t="s">
        <v>784</v>
      </c>
      <c r="I6" s="1" t="s">
        <v>784</v>
      </c>
      <c r="K6" s="1" t="s">
        <v>784</v>
      </c>
      <c r="L6" s="1" t="s">
        <v>784</v>
      </c>
      <c r="P6" s="1"/>
      <c r="Q6" s="1"/>
    </row>
    <row r="7" spans="1:26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64" t="str">
        <f ca="1">CONCATENATE("\I:",IEA_Year," finalene")</f>
        <v>\I:2010 finalene</v>
      </c>
      <c r="G7" s="64" t="str">
        <f ca="1">CONCATENATE("\I:",AuxData!$D$2," finalene")</f>
        <v>\I:2017 finalene</v>
      </c>
      <c r="H7" s="64" t="str">
        <f ca="1">CONCATENATE("\I:",IEA_Year," EFF")</f>
        <v>\I:2010 EFF</v>
      </c>
      <c r="I7" s="64" t="str">
        <f ca="1">CONCATENATE("\I:",BaseYear," Service Demand")</f>
        <v>\I:2010 Service Demand</v>
      </c>
      <c r="J7" s="64" t="str">
        <f ca="1">CONCATENATE("\I:",AuxData!$D$2," service demand")</f>
        <v>\I:2017 service demand</v>
      </c>
      <c r="K7" s="64" t="s">
        <v>390</v>
      </c>
      <c r="L7" s="45" t="s">
        <v>388</v>
      </c>
      <c r="M7" s="45" t="str">
        <f ca="1">"INPUT~"&amp;AuxYear</f>
        <v>INPUT~2017</v>
      </c>
      <c r="N7" s="45" t="s">
        <v>848</v>
      </c>
      <c r="O7" s="45" t="s">
        <v>872</v>
      </c>
      <c r="P7" s="45" t="s">
        <v>556</v>
      </c>
      <c r="Q7" s="45" t="str">
        <f ca="1">"RESID~"&amp;BaseYear</f>
        <v>RESID~2010</v>
      </c>
      <c r="R7" s="45" t="str">
        <f ca="1">"RESID~"&amp;AuxYear</f>
        <v>RESID~2017</v>
      </c>
      <c r="S7" s="45" t="str">
        <f ca="1">"RESID~"&amp;CEILING(AuxYear+7,5)</f>
        <v>RESID~2025</v>
      </c>
      <c r="T7" s="45" t="str">
        <f ca="1">"RESID~"&amp;CEILING(AuxYear+17,5)</f>
        <v>RESID~2035</v>
      </c>
      <c r="U7" s="45" t="str">
        <f ca="1">"RESID~"&amp;CEILING(AuxYear+27,5)</f>
        <v>RESID~2045</v>
      </c>
      <c r="V7" s="45" t="s">
        <v>52</v>
      </c>
      <c r="W7" s="45" t="s">
        <v>51</v>
      </c>
      <c r="X7" s="45" t="s">
        <v>552</v>
      </c>
      <c r="Y7" s="45" t="s">
        <v>499</v>
      </c>
      <c r="Z7" s="126" t="s">
        <v>959</v>
      </c>
    </row>
    <row r="8" spans="1:26">
      <c r="B8" s="35" t="s">
        <v>469</v>
      </c>
      <c r="C8" s="23" t="s">
        <v>470</v>
      </c>
      <c r="D8" s="52" t="str">
        <f ca="1">IEAData!K$38</f>
        <v>INDHFO</v>
      </c>
      <c r="E8" s="52" t="s">
        <v>980</v>
      </c>
      <c r="F8" s="53">
        <f ca="1">INDEX(Calibration!$C$202:$S$202,MATCH($D8,Calibration!$C$171:$S$171,0))</f>
        <v>2.6068024504974909</v>
      </c>
      <c r="G8" s="53">
        <f ca="1">INDEX(Calibrati2!$C$202:$S$202,MATCH($D8,Calibrati2!$C$171:$S$171,0))</f>
        <v>2.5558805223737147</v>
      </c>
      <c r="H8" s="55">
        <v>0.87</v>
      </c>
      <c r="I8" s="544">
        <f>F8*$H8</f>
        <v>2.267918131932817</v>
      </c>
      <c r="J8" s="544">
        <f t="shared" ref="J8:J14" si="0">G8*$H8*K8</f>
        <v>2.2236160544651318</v>
      </c>
      <c r="K8" s="55">
        <v>1</v>
      </c>
      <c r="L8" s="542">
        <f t="shared" ref="L8:L14" si="1">1/H8</f>
        <v>1.1494252873563218</v>
      </c>
      <c r="M8" s="542">
        <f t="shared" ref="M8:M14" si="2">1/H8/K8</f>
        <v>1.1494252873563218</v>
      </c>
      <c r="N8" s="57">
        <v>1</v>
      </c>
      <c r="O8" s="49">
        <v>0.9</v>
      </c>
      <c r="P8" s="12">
        <v>30</v>
      </c>
      <c r="Q8" s="544">
        <f>I8/$O8</f>
        <v>2.5199090354809077</v>
      </c>
      <c r="R8" s="544">
        <f>J8/$O8</f>
        <v>2.4706845049612576</v>
      </c>
      <c r="S8" s="49"/>
      <c r="T8" s="49"/>
      <c r="U8" s="386">
        <v>0</v>
      </c>
      <c r="V8" s="12"/>
      <c r="W8" s="12"/>
      <c r="X8" s="12"/>
      <c r="Y8" s="54"/>
      <c r="Z8" s="128">
        <f t="shared" ref="Z8:Z14" si="3">IF(I$15,I8/$I$15)</f>
        <v>0.17034143970970519</v>
      </c>
    </row>
    <row r="9" spans="1:26">
      <c r="B9" s="35" t="s">
        <v>471</v>
      </c>
      <c r="C9" s="23" t="s">
        <v>472</v>
      </c>
      <c r="D9" s="52" t="str">
        <f ca="1">IEAData!L$38</f>
        <v>INDOIL</v>
      </c>
      <c r="E9" s="52" t="s">
        <v>462</v>
      </c>
      <c r="F9" s="53">
        <f ca="1">INDEX(Calibration!$C$200:$S$200+Calibration!$C$203:$S$203,MATCH($D9,Calibration!$C$171:$S$171,0))</f>
        <v>0.16301711768406454</v>
      </c>
      <c r="G9" s="53">
        <f ca="1">INDEX(Calibrati2!$C$200:$S$200+Calibrati2!$C$203:$S$203,MATCH($D9,Calibrati2!$C$171:$S$171,0))</f>
        <v>0.33362561285442272</v>
      </c>
      <c r="H9" s="55">
        <f ca="1">Drivers!$X$27</f>
        <v>0.81499999999999995</v>
      </c>
      <c r="I9" s="544">
        <f t="shared" ref="I9:I14" si="4">F9*H9</f>
        <v>0.1328589509125126</v>
      </c>
      <c r="J9" s="544">
        <f t="shared" si="0"/>
        <v>0.27190487447635447</v>
      </c>
      <c r="K9" s="55">
        <v>1</v>
      </c>
      <c r="L9" s="542">
        <f t="shared" si="1"/>
        <v>1.2269938650306749</v>
      </c>
      <c r="M9" s="542">
        <f t="shared" si="2"/>
        <v>1.2269938650306749</v>
      </c>
      <c r="N9" s="57">
        <v>1</v>
      </c>
      <c r="O9" s="49">
        <f t="shared" ref="O9:O14" si="5">O$8</f>
        <v>0.9</v>
      </c>
      <c r="P9" s="12">
        <v>30</v>
      </c>
      <c r="Q9" s="544">
        <f t="shared" ref="Q9:Q14" si="6">I9/O9</f>
        <v>0.14762105656945843</v>
      </c>
      <c r="R9" s="544">
        <f t="shared" ref="R9:R14" si="7">J9/$O9</f>
        <v>0.30211652719594939</v>
      </c>
      <c r="S9" s="49"/>
      <c r="T9" s="49"/>
      <c r="U9" s="386">
        <v>0</v>
      </c>
      <c r="V9" s="12"/>
      <c r="W9" s="12"/>
      <c r="X9" s="12"/>
      <c r="Y9" s="55"/>
      <c r="Z9" s="128">
        <f t="shared" si="3"/>
        <v>9.9789250141366481E-3</v>
      </c>
    </row>
    <row r="10" spans="1:26">
      <c r="B10" s="35" t="s">
        <v>473</v>
      </c>
      <c r="C10" s="23" t="s">
        <v>474</v>
      </c>
      <c r="D10" s="52" t="str">
        <f ca="1">IEAData!C$38</f>
        <v>INDNGA</v>
      </c>
      <c r="E10" s="52" t="s">
        <v>980</v>
      </c>
      <c r="F10" s="53">
        <f ca="1">INDEX(Calibration!$C$202:$S$202,MATCH($D10,Calibration!$C$171:$S$171,0))</f>
        <v>5.5208981588030221</v>
      </c>
      <c r="G10" s="53">
        <f ca="1">INDEX(Calibrati2!$C$202:$S$202,MATCH($D10,Calibrati2!$C$171:$S$171,0))</f>
        <v>5.5552673154660575</v>
      </c>
      <c r="H10" s="55">
        <f>H$8+0.03</f>
        <v>0.9</v>
      </c>
      <c r="I10" s="544">
        <f t="shared" si="4"/>
        <v>4.9688083429227197</v>
      </c>
      <c r="J10" s="544">
        <f t="shared" si="0"/>
        <v>4.9997405839194515</v>
      </c>
      <c r="K10" s="55">
        <v>1</v>
      </c>
      <c r="L10" s="542">
        <f t="shared" si="1"/>
        <v>1.1111111111111112</v>
      </c>
      <c r="M10" s="542">
        <f t="shared" si="2"/>
        <v>1.1111111111111112</v>
      </c>
      <c r="N10" s="57">
        <v>1</v>
      </c>
      <c r="O10" s="49">
        <f t="shared" si="5"/>
        <v>0.9</v>
      </c>
      <c r="P10" s="12">
        <v>30</v>
      </c>
      <c r="Q10" s="544">
        <f t="shared" si="6"/>
        <v>5.5208981588030221</v>
      </c>
      <c r="R10" s="544">
        <f t="shared" si="7"/>
        <v>5.5552673154660575</v>
      </c>
      <c r="S10" s="49"/>
      <c r="T10" s="49"/>
      <c r="U10" s="386">
        <v>0</v>
      </c>
      <c r="V10" s="12"/>
      <c r="W10" s="12"/>
      <c r="X10" s="12"/>
      <c r="Y10" s="55"/>
      <c r="Z10" s="128">
        <f t="shared" si="3"/>
        <v>0.37320305122906594</v>
      </c>
    </row>
    <row r="11" spans="1:26">
      <c r="B11" s="35" t="s">
        <v>475</v>
      </c>
      <c r="C11" s="23" t="s">
        <v>474</v>
      </c>
      <c r="D11" s="52" t="str">
        <f ca="1">IEAData!C$38</f>
        <v>INDNGA</v>
      </c>
      <c r="E11" s="52" t="s">
        <v>462</v>
      </c>
      <c r="F11" s="53">
        <f ca="1">INDEX(Calibration!$C$200:$S$200+Calibration!$C$203:$S$203,MATCH($D11,Calibration!$C$171:$S$171,0))</f>
        <v>2.6212988428842459</v>
      </c>
      <c r="G11" s="53">
        <f ca="1">INDEX(Calibrati2!$C$200:$S$200+Calibrati2!$C$203:$S$203,MATCH($D11,Calibrati2!$C$171:$S$171,0))</f>
        <v>2.1875559393309461</v>
      </c>
      <c r="H11" s="55">
        <f>H$9+0.03</f>
        <v>0.84499999999999997</v>
      </c>
      <c r="I11" s="544">
        <f t="shared" si="4"/>
        <v>2.2149975222371876</v>
      </c>
      <c r="J11" s="544">
        <f t="shared" si="0"/>
        <v>1.8484847687346493</v>
      </c>
      <c r="K11" s="55">
        <v>1</v>
      </c>
      <c r="L11" s="542">
        <f t="shared" si="1"/>
        <v>1.1834319526627219</v>
      </c>
      <c r="M11" s="542">
        <f t="shared" si="2"/>
        <v>1.1834319526627219</v>
      </c>
      <c r="N11" s="57">
        <v>1</v>
      </c>
      <c r="O11" s="49">
        <f t="shared" si="5"/>
        <v>0.9</v>
      </c>
      <c r="P11" s="12">
        <v>30</v>
      </c>
      <c r="Q11" s="544">
        <f t="shared" si="6"/>
        <v>2.4611083580413196</v>
      </c>
      <c r="R11" s="544">
        <f t="shared" si="7"/>
        <v>2.0538719652607216</v>
      </c>
      <c r="S11" s="49"/>
      <c r="T11" s="49"/>
      <c r="U11" s="386">
        <v>0</v>
      </c>
      <c r="V11" s="12"/>
      <c r="W11" s="12"/>
      <c r="X11" s="12"/>
      <c r="Y11" s="55"/>
      <c r="Z11" s="128">
        <f t="shared" si="3"/>
        <v>0.16636661684509574</v>
      </c>
    </row>
    <row r="12" spans="1:26">
      <c r="B12" s="35" t="s">
        <v>476</v>
      </c>
      <c r="C12" s="23" t="s">
        <v>477</v>
      </c>
      <c r="D12" s="52" t="str">
        <f ca="1">IEAData!F$38</f>
        <v>INDCOA</v>
      </c>
      <c r="E12" s="52" t="s">
        <v>980</v>
      </c>
      <c r="F12" s="53">
        <f ca="1">INDEX(Calibration!$C$202:$S$202,MATCH($D12,Calibration!$C$171:$S$171,0))</f>
        <v>7.4223617398694153E-2</v>
      </c>
      <c r="G12" s="53">
        <f ca="1">INDEX(Calibrati2!$C$202:$S$202,MATCH($D12,Calibrati2!$C$171:$S$171,0))</f>
        <v>0.36357888024721019</v>
      </c>
      <c r="H12" s="55">
        <f>H$8-0.03</f>
        <v>0.84</v>
      </c>
      <c r="I12" s="544">
        <f t="shared" si="4"/>
        <v>6.2347838614903089E-2</v>
      </c>
      <c r="J12" s="544">
        <f t="shared" si="0"/>
        <v>0.30540625940765653</v>
      </c>
      <c r="K12" s="55">
        <v>1</v>
      </c>
      <c r="L12" s="542">
        <f t="shared" si="1"/>
        <v>1.1904761904761905</v>
      </c>
      <c r="M12" s="542">
        <f t="shared" si="2"/>
        <v>1.1904761904761905</v>
      </c>
      <c r="N12" s="57">
        <v>1</v>
      </c>
      <c r="O12" s="49">
        <f t="shared" si="5"/>
        <v>0.9</v>
      </c>
      <c r="P12" s="12">
        <v>30</v>
      </c>
      <c r="Q12" s="544">
        <f t="shared" si="6"/>
        <v>6.9275376238781203E-2</v>
      </c>
      <c r="R12" s="544">
        <f t="shared" si="7"/>
        <v>0.33934028823072948</v>
      </c>
      <c r="S12" s="49"/>
      <c r="T12" s="49"/>
      <c r="U12" s="386">
        <v>0</v>
      </c>
      <c r="V12" s="12"/>
      <c r="W12" s="12"/>
      <c r="X12" s="12"/>
      <c r="Y12" s="55"/>
      <c r="Z12" s="128">
        <f t="shared" si="3"/>
        <v>4.6828941675243659E-3</v>
      </c>
    </row>
    <row r="13" spans="1:26">
      <c r="B13" s="35" t="s">
        <v>478</v>
      </c>
      <c r="C13" s="23" t="s">
        <v>479</v>
      </c>
      <c r="D13" s="52" t="s">
        <v>655</v>
      </c>
      <c r="E13" s="52" t="s">
        <v>980</v>
      </c>
      <c r="F13" s="53">
        <f ca="1">INDEX(Calibration!$C$202:$S$202,MATCH("IND"&amp;MID($B13,5,3),Calibration!$C$171:$S$171,0))</f>
        <v>2.5857936335664262</v>
      </c>
      <c r="G13" s="53">
        <f ca="1">INDEX(Calibrati2!$C$202:$S$202,MATCH("IND"&amp;MID($B13,5,3),Calibrati2!$C$171:$S$171,0))</f>
        <v>4.2938302110319908</v>
      </c>
      <c r="H13" s="55">
        <f>H$8-0.05</f>
        <v>0.82</v>
      </c>
      <c r="I13" s="544">
        <f t="shared" si="4"/>
        <v>2.1203507795244692</v>
      </c>
      <c r="J13" s="544">
        <f t="shared" si="0"/>
        <v>3.5209407730462323</v>
      </c>
      <c r="K13" s="55">
        <v>1</v>
      </c>
      <c r="L13" s="542">
        <f t="shared" si="1"/>
        <v>1.2195121951219512</v>
      </c>
      <c r="M13" s="542">
        <f t="shared" si="2"/>
        <v>1.2195121951219512</v>
      </c>
      <c r="N13" s="57">
        <v>1</v>
      </c>
      <c r="O13" s="49">
        <f t="shared" si="5"/>
        <v>0.9</v>
      </c>
      <c r="P13" s="12">
        <v>30</v>
      </c>
      <c r="Q13" s="544">
        <f t="shared" si="6"/>
        <v>2.3559453105827433</v>
      </c>
      <c r="R13" s="544">
        <f t="shared" si="7"/>
        <v>3.9121564144958136</v>
      </c>
      <c r="S13" s="49"/>
      <c r="T13" s="49"/>
      <c r="U13" s="386">
        <v>0</v>
      </c>
      <c r="V13" s="12"/>
      <c r="W13" s="12"/>
      <c r="X13" s="12"/>
      <c r="Y13" s="55"/>
      <c r="Z13" s="128">
        <f t="shared" si="3"/>
        <v>0.15925777892431134</v>
      </c>
    </row>
    <row r="14" spans="1:26">
      <c r="B14" s="264" t="s">
        <v>480</v>
      </c>
      <c r="C14" s="50" t="s">
        <v>481</v>
      </c>
      <c r="D14" s="52" t="str">
        <f ca="1">IEAData!D$38</f>
        <v>INDLPG</v>
      </c>
      <c r="E14" s="52" t="s">
        <v>462</v>
      </c>
      <c r="F14" s="53">
        <f ca="1">INDEX(Calibration!$C$200:$S$200+Calibration!$C$203:$S$203,MATCH($D14,Calibration!$C$171:$S$171,0))</f>
        <v>1.8303818518662205</v>
      </c>
      <c r="G14" s="53">
        <f ca="1">INDEX(Calibrati2!$C$200:$S$200+Calibrati2!$C$203:$S$203,MATCH($D14,Calibrati2!$C$171:$S$171,0))</f>
        <v>1.1914920748368407</v>
      </c>
      <c r="H14" s="55">
        <f>H$11</f>
        <v>0.84499999999999997</v>
      </c>
      <c r="I14" s="544">
        <f t="shared" si="4"/>
        <v>1.5466726648269562</v>
      </c>
      <c r="J14" s="544">
        <f t="shared" si="0"/>
        <v>1.0068108032371303</v>
      </c>
      <c r="K14" s="55">
        <v>1</v>
      </c>
      <c r="L14" s="542">
        <f t="shared" si="1"/>
        <v>1.1834319526627219</v>
      </c>
      <c r="M14" s="542">
        <f t="shared" si="2"/>
        <v>1.1834319526627219</v>
      </c>
      <c r="N14" s="57">
        <v>1</v>
      </c>
      <c r="O14" s="49">
        <f t="shared" si="5"/>
        <v>0.9</v>
      </c>
      <c r="P14" s="49">
        <v>30</v>
      </c>
      <c r="Q14" s="544">
        <f t="shared" si="6"/>
        <v>1.7185251831410624</v>
      </c>
      <c r="R14" s="544">
        <f t="shared" si="7"/>
        <v>1.1186786702634781</v>
      </c>
      <c r="S14" s="49"/>
      <c r="T14" s="49"/>
      <c r="U14" s="386">
        <v>0</v>
      </c>
      <c r="V14" s="49"/>
      <c r="W14" s="49"/>
      <c r="X14" s="49"/>
      <c r="Y14" s="55"/>
      <c r="Z14" s="128">
        <f t="shared" si="3"/>
        <v>0.11616929411016086</v>
      </c>
    </row>
    <row r="15" spans="1:26" ht="13.5" thickBot="1">
      <c r="B15" s="482" t="s">
        <v>1380</v>
      </c>
      <c r="C15" s="198"/>
      <c r="D15" s="198"/>
      <c r="E15" s="198"/>
      <c r="F15" s="199">
        <f ca="1">SUM(F8:F14)</f>
        <v>15.402415672700165</v>
      </c>
      <c r="G15" s="199">
        <f ca="1">SUM(G8:G14)</f>
        <v>16.481230556141185</v>
      </c>
      <c r="H15" s="199"/>
      <c r="I15" s="199">
        <f>SUM(I8:I14)</f>
        <v>13.313954230971564</v>
      </c>
      <c r="J15" s="199">
        <f>SUM(J8:J14)</f>
        <v>14.176904117286606</v>
      </c>
      <c r="K15" s="200"/>
      <c r="L15" s="199">
        <f>SUMIF($E9:$E14,"IPLP",I8:I14)</f>
        <v>2.4102043117646033</v>
      </c>
      <c r="M15" s="199">
        <f>SUMIF($E9:$E14,"IPLP",J8:J14)</f>
        <v>2.4257959026186606</v>
      </c>
      <c r="N15" s="200" t="s">
        <v>784</v>
      </c>
      <c r="O15" s="201"/>
      <c r="P15" s="198"/>
      <c r="Q15" s="199">
        <f>SUM(Q8:Q14)</f>
        <v>14.793282478857295</v>
      </c>
      <c r="R15" s="199">
        <f>SUM(R8:R14)</f>
        <v>15.752115685874008</v>
      </c>
      <c r="S15" s="198"/>
      <c r="T15" s="198"/>
      <c r="U15" s="439"/>
      <c r="V15" s="198"/>
      <c r="W15" s="198"/>
      <c r="X15" s="198"/>
      <c r="Y15" s="198"/>
      <c r="Z15" s="198"/>
    </row>
    <row r="16" spans="1:26">
      <c r="B16" s="266" t="s">
        <v>482</v>
      </c>
      <c r="C16" s="50" t="s">
        <v>483</v>
      </c>
      <c r="D16" s="52" t="str">
        <f ca="1">IEAData!K$38</f>
        <v>INDHFO</v>
      </c>
      <c r="E16" s="52" t="s">
        <v>983</v>
      </c>
      <c r="F16" s="92">
        <f ca="1">INDEX(Calibration!$C$204:$S$204,MATCH($D16,Calibration!$C$171:$S$171,0))</f>
        <v>0</v>
      </c>
      <c r="G16" s="92">
        <f ca="1">INDEX(Calibrati2!$C$204:$S$204,MATCH($D16,Calibrati2!$C$171:$S$171,0))</f>
        <v>0</v>
      </c>
      <c r="H16" s="55">
        <v>0.81</v>
      </c>
      <c r="I16" s="544">
        <f>F16*$H16</f>
        <v>0</v>
      </c>
      <c r="J16" s="544">
        <f t="shared" ref="J16:J23" si="8">G16*$H16*K16</f>
        <v>0</v>
      </c>
      <c r="K16" s="55">
        <v>1</v>
      </c>
      <c r="L16" s="542">
        <f t="shared" ref="L16:L23" si="9">1/H16</f>
        <v>1.2345679012345678</v>
      </c>
      <c r="M16" s="542">
        <f t="shared" ref="M16:M23" si="10">1/H16/K16</f>
        <v>1.2345679012345678</v>
      </c>
      <c r="N16" s="57">
        <v>1</v>
      </c>
      <c r="O16" s="49">
        <v>1</v>
      </c>
      <c r="P16" s="12">
        <v>30</v>
      </c>
      <c r="Q16" s="544">
        <f t="shared" ref="Q16:Q23" si="11">I16/O16</f>
        <v>0</v>
      </c>
      <c r="R16" s="544">
        <f t="shared" ref="R16:R23" si="12">I16/$P16</f>
        <v>0</v>
      </c>
      <c r="S16" s="49"/>
      <c r="T16" s="49"/>
      <c r="U16" s="386">
        <v>0</v>
      </c>
      <c r="V16" s="12"/>
      <c r="W16" s="12"/>
      <c r="X16" s="12"/>
      <c r="Y16" s="54"/>
      <c r="Z16" s="128">
        <f t="shared" ref="Z16:Z23" ca="1" si="13">F16/($F$24+Tiny)</f>
        <v>0</v>
      </c>
    </row>
    <row r="17" spans="2:26">
      <c r="B17" s="264" t="s">
        <v>484</v>
      </c>
      <c r="C17" s="50" t="s">
        <v>485</v>
      </c>
      <c r="D17" s="52" t="str">
        <f ca="1">IEAData!L$38</f>
        <v>INDOIL</v>
      </c>
      <c r="E17" s="52" t="s">
        <v>983</v>
      </c>
      <c r="F17" s="92">
        <f ca="1">INDEX(Calibration!$C$204:$S$204,MATCH($D17,Calibration!$C$171:$S$171,0))</f>
        <v>0</v>
      </c>
      <c r="G17" s="92">
        <f ca="1">INDEX(Calibrati2!$C$204:$S$204,MATCH($D17,Calibrati2!$C$171:$S$171,0))</f>
        <v>0</v>
      </c>
      <c r="H17" s="55">
        <f>H$16</f>
        <v>0.81</v>
      </c>
      <c r="I17" s="544">
        <f t="shared" ref="I17:I23" si="14">F17*H17</f>
        <v>0</v>
      </c>
      <c r="J17" s="544">
        <f t="shared" si="8"/>
        <v>0</v>
      </c>
      <c r="K17" s="55">
        <v>1</v>
      </c>
      <c r="L17" s="542">
        <f t="shared" si="9"/>
        <v>1.2345679012345678</v>
      </c>
      <c r="M17" s="542">
        <f t="shared" si="10"/>
        <v>1.2345679012345678</v>
      </c>
      <c r="N17" s="57">
        <v>1</v>
      </c>
      <c r="O17" s="49">
        <v>1</v>
      </c>
      <c r="P17" s="12">
        <v>30</v>
      </c>
      <c r="Q17" s="544">
        <f t="shared" si="11"/>
        <v>0</v>
      </c>
      <c r="R17" s="544">
        <f t="shared" si="12"/>
        <v>0</v>
      </c>
      <c r="S17" s="49"/>
      <c r="T17" s="49"/>
      <c r="U17" s="386">
        <v>0</v>
      </c>
      <c r="V17" s="12"/>
      <c r="W17" s="12"/>
      <c r="X17" s="12"/>
      <c r="Y17" s="55"/>
      <c r="Z17" s="128">
        <f t="shared" ca="1" si="13"/>
        <v>0</v>
      </c>
    </row>
    <row r="18" spans="2:26">
      <c r="B18" s="264" t="s">
        <v>486</v>
      </c>
      <c r="C18" s="50" t="s">
        <v>487</v>
      </c>
      <c r="D18" s="52" t="str">
        <f ca="1">IEAData!C$38</f>
        <v>INDNGA</v>
      </c>
      <c r="E18" s="52" t="s">
        <v>983</v>
      </c>
      <c r="F18" s="92">
        <f ca="1">INDEX(Calibration!$C$204:$S$204,MATCH($D18,Calibration!$C$171:$S$171,0))</f>
        <v>0</v>
      </c>
      <c r="G18" s="92">
        <f ca="1">INDEX(Calibrati2!$C$204:$S$204,MATCH($D18,Calibrati2!$C$171:$S$171,0))</f>
        <v>0</v>
      </c>
      <c r="H18" s="55">
        <f>H$16</f>
        <v>0.81</v>
      </c>
      <c r="I18" s="544">
        <f t="shared" si="14"/>
        <v>0</v>
      </c>
      <c r="J18" s="544">
        <f t="shared" si="8"/>
        <v>0</v>
      </c>
      <c r="K18" s="55">
        <v>1</v>
      </c>
      <c r="L18" s="542">
        <f t="shared" si="9"/>
        <v>1.2345679012345678</v>
      </c>
      <c r="M18" s="542">
        <f t="shared" si="10"/>
        <v>1.2345679012345678</v>
      </c>
      <c r="N18" s="57">
        <v>1</v>
      </c>
      <c r="O18" s="49">
        <v>1</v>
      </c>
      <c r="P18" s="12">
        <v>30</v>
      </c>
      <c r="Q18" s="544">
        <f t="shared" si="11"/>
        <v>0</v>
      </c>
      <c r="R18" s="544">
        <f t="shared" si="12"/>
        <v>0</v>
      </c>
      <c r="S18" s="49"/>
      <c r="T18" s="49"/>
      <c r="U18" s="386">
        <v>0</v>
      </c>
      <c r="V18" s="12"/>
      <c r="W18" s="12"/>
      <c r="X18" s="12"/>
      <c r="Y18" s="55"/>
      <c r="Z18" s="128">
        <f t="shared" ca="1" si="13"/>
        <v>0</v>
      </c>
    </row>
    <row r="19" spans="2:26">
      <c r="B19" s="264" t="s">
        <v>488</v>
      </c>
      <c r="C19" s="50" t="s">
        <v>489</v>
      </c>
      <c r="D19" s="52" t="str">
        <f ca="1">ILP000!$D$62</f>
        <v>ILPELC</v>
      </c>
      <c r="E19" s="52" t="s">
        <v>983</v>
      </c>
      <c r="F19" s="92">
        <f ca="1">INDEX(Calibration!$C$204:$S$204,MATCH("IND"&amp;RIGHT($D19,3),Calibration!$C$171:$S$171,0))</f>
        <v>0</v>
      </c>
      <c r="G19" s="92">
        <f ca="1">INDEX(Calibrati2!$C$204:$S$204,MATCH("IND"&amp;RIGHT($D19,3),Calibrati2!$C$171:$S$171,0))</f>
        <v>0</v>
      </c>
      <c r="H19" s="55">
        <v>0.96</v>
      </c>
      <c r="I19" s="544">
        <f t="shared" si="14"/>
        <v>0</v>
      </c>
      <c r="J19" s="544">
        <f t="shared" si="8"/>
        <v>0</v>
      </c>
      <c r="K19" s="55">
        <v>1</v>
      </c>
      <c r="L19" s="542">
        <f t="shared" si="9"/>
        <v>1.0416666666666667</v>
      </c>
      <c r="M19" s="542">
        <f t="shared" si="10"/>
        <v>1.0416666666666667</v>
      </c>
      <c r="N19" s="57">
        <v>1</v>
      </c>
      <c r="O19" s="49">
        <v>1</v>
      </c>
      <c r="P19" s="49">
        <v>30</v>
      </c>
      <c r="Q19" s="544">
        <f t="shared" si="11"/>
        <v>0</v>
      </c>
      <c r="R19" s="544">
        <f t="shared" si="12"/>
        <v>0</v>
      </c>
      <c r="S19" s="49"/>
      <c r="T19" s="49"/>
      <c r="U19" s="386">
        <v>0</v>
      </c>
      <c r="V19" s="49"/>
      <c r="W19" s="49"/>
      <c r="X19" s="49"/>
      <c r="Y19" s="55"/>
      <c r="Z19" s="128">
        <f t="shared" ca="1" si="13"/>
        <v>0</v>
      </c>
    </row>
    <row r="20" spans="2:26">
      <c r="B20" s="264" t="s">
        <v>490</v>
      </c>
      <c r="C20" s="50" t="s">
        <v>491</v>
      </c>
      <c r="D20" s="52" t="str">
        <f ca="1">IEAData!D$38</f>
        <v>INDLPG</v>
      </c>
      <c r="E20" s="52" t="s">
        <v>983</v>
      </c>
      <c r="F20" s="92">
        <f ca="1">INDEX(Calibration!$C$204:$S$204,MATCH($D20,Calibration!$C$171:$S$171,0))</f>
        <v>0</v>
      </c>
      <c r="G20" s="92">
        <f ca="1">INDEX(Calibrati2!$C$204:$S$204,MATCH($D20,Calibrati2!$C$171:$S$171,0))</f>
        <v>0</v>
      </c>
      <c r="H20" s="55">
        <f>H$16</f>
        <v>0.81</v>
      </c>
      <c r="I20" s="544">
        <f t="shared" si="14"/>
        <v>0</v>
      </c>
      <c r="J20" s="544">
        <f t="shared" si="8"/>
        <v>0</v>
      </c>
      <c r="K20" s="55">
        <v>1</v>
      </c>
      <c r="L20" s="542">
        <f t="shared" si="9"/>
        <v>1.2345679012345678</v>
      </c>
      <c r="M20" s="542">
        <f t="shared" si="10"/>
        <v>1.2345679012345678</v>
      </c>
      <c r="N20" s="57">
        <v>1</v>
      </c>
      <c r="O20" s="49">
        <v>1</v>
      </c>
      <c r="P20" s="49">
        <v>30</v>
      </c>
      <c r="Q20" s="544">
        <f t="shared" si="11"/>
        <v>0</v>
      </c>
      <c r="R20" s="544">
        <f t="shared" si="12"/>
        <v>0</v>
      </c>
      <c r="S20" s="49"/>
      <c r="T20" s="49"/>
      <c r="U20" s="386">
        <v>0</v>
      </c>
      <c r="V20" s="49"/>
      <c r="W20" s="49"/>
      <c r="X20" s="49"/>
      <c r="Y20" s="55"/>
      <c r="Z20" s="128">
        <f t="shared" ca="1" si="13"/>
        <v>0</v>
      </c>
    </row>
    <row r="21" spans="2:26">
      <c r="B21" s="264" t="s">
        <v>492</v>
      </c>
      <c r="C21" s="50" t="s">
        <v>493</v>
      </c>
      <c r="D21" s="52" t="str">
        <f ca="1">IEAData!P$38</f>
        <v>INDBIO</v>
      </c>
      <c r="E21" s="52" t="s">
        <v>983</v>
      </c>
      <c r="F21" s="92">
        <f ca="1">INDEX(Calibration!$C$204:$S$204,MATCH($D21,Calibration!$C$171:$S$171,0))</f>
        <v>0</v>
      </c>
      <c r="G21" s="92">
        <f ca="1">INDEX(Calibrati2!$C$204:$S$204,MATCH($D21,Calibrati2!$C$171:$S$171,0))</f>
        <v>0</v>
      </c>
      <c r="H21" s="55">
        <f>H$16</f>
        <v>0.81</v>
      </c>
      <c r="I21" s="544">
        <f t="shared" si="14"/>
        <v>0</v>
      </c>
      <c r="J21" s="544">
        <f t="shared" si="8"/>
        <v>0</v>
      </c>
      <c r="K21" s="55">
        <v>1</v>
      </c>
      <c r="L21" s="542">
        <f t="shared" si="9"/>
        <v>1.2345679012345678</v>
      </c>
      <c r="M21" s="542">
        <f t="shared" si="10"/>
        <v>1.2345679012345678</v>
      </c>
      <c r="N21" s="57">
        <v>1</v>
      </c>
      <c r="O21" s="49">
        <v>1</v>
      </c>
      <c r="P21" s="49">
        <v>30</v>
      </c>
      <c r="Q21" s="544">
        <f t="shared" si="11"/>
        <v>0</v>
      </c>
      <c r="R21" s="544">
        <f t="shared" si="12"/>
        <v>0</v>
      </c>
      <c r="S21" s="49"/>
      <c r="T21" s="49"/>
      <c r="U21" s="386">
        <v>0</v>
      </c>
      <c r="V21" s="49"/>
      <c r="W21" s="49"/>
      <c r="X21" s="49"/>
      <c r="Y21" s="55"/>
      <c r="Z21" s="128">
        <f t="shared" ca="1" si="13"/>
        <v>0</v>
      </c>
    </row>
    <row r="22" spans="2:26">
      <c r="B22" s="264" t="s">
        <v>494</v>
      </c>
      <c r="C22" s="50" t="s">
        <v>495</v>
      </c>
      <c r="D22" s="52" t="str">
        <f ca="1">IEAData!F$38</f>
        <v>INDCOA</v>
      </c>
      <c r="E22" s="52" t="s">
        <v>983</v>
      </c>
      <c r="F22" s="92">
        <f ca="1">INDEX(Calibration!$C$204:$S$204,MATCH($D22,Calibration!$C$171:$S$171,0))</f>
        <v>0</v>
      </c>
      <c r="G22" s="92">
        <f ca="1">INDEX(Calibrati2!$C$204:$S$204,MATCH($D22,Calibrati2!$C$171:$S$171,0))</f>
        <v>0</v>
      </c>
      <c r="H22" s="55">
        <f>H$16</f>
        <v>0.81</v>
      </c>
      <c r="I22" s="544">
        <f t="shared" si="14"/>
        <v>0</v>
      </c>
      <c r="J22" s="544">
        <f t="shared" si="8"/>
        <v>0</v>
      </c>
      <c r="K22" s="55">
        <v>1</v>
      </c>
      <c r="L22" s="542">
        <f t="shared" si="9"/>
        <v>1.2345679012345678</v>
      </c>
      <c r="M22" s="542">
        <f t="shared" si="10"/>
        <v>1.2345679012345678</v>
      </c>
      <c r="N22" s="57">
        <v>1</v>
      </c>
      <c r="O22" s="49">
        <v>1</v>
      </c>
      <c r="P22" s="49">
        <v>30</v>
      </c>
      <c r="Q22" s="544">
        <f t="shared" si="11"/>
        <v>0</v>
      </c>
      <c r="R22" s="544">
        <f t="shared" si="12"/>
        <v>0</v>
      </c>
      <c r="S22" s="49"/>
      <c r="T22" s="49"/>
      <c r="U22" s="386">
        <v>0</v>
      </c>
      <c r="V22" s="49"/>
      <c r="W22" s="49"/>
      <c r="X22" s="49"/>
      <c r="Y22" s="55"/>
      <c r="Z22" s="128">
        <f t="shared" ca="1" si="13"/>
        <v>0</v>
      </c>
    </row>
    <row r="23" spans="2:26">
      <c r="B23" s="264" t="s">
        <v>496</v>
      </c>
      <c r="C23" s="50" t="s">
        <v>497</v>
      </c>
      <c r="D23" s="52" t="str">
        <f ca="1">IEAData!G$38</f>
        <v>INDCOK</v>
      </c>
      <c r="E23" s="52" t="s">
        <v>983</v>
      </c>
      <c r="F23" s="92">
        <f ca="1">INDEX(Calibration!$C$204:$S$204,MATCH($D23,Calibration!$C$171:$S$171,0))</f>
        <v>0</v>
      </c>
      <c r="G23" s="92">
        <f ca="1">INDEX(Calibrati2!$C$204:$S$204,MATCH($D23,Calibrati2!$C$171:$S$171,0))</f>
        <v>0</v>
      </c>
      <c r="H23" s="55">
        <f>H$16</f>
        <v>0.81</v>
      </c>
      <c r="I23" s="544">
        <f t="shared" si="14"/>
        <v>0</v>
      </c>
      <c r="J23" s="544">
        <f t="shared" si="8"/>
        <v>0</v>
      </c>
      <c r="K23" s="55">
        <v>1</v>
      </c>
      <c r="L23" s="542">
        <f t="shared" si="9"/>
        <v>1.2345679012345678</v>
      </c>
      <c r="M23" s="542">
        <f t="shared" si="10"/>
        <v>1.2345679012345678</v>
      </c>
      <c r="N23" s="57">
        <v>1</v>
      </c>
      <c r="O23" s="49">
        <v>1</v>
      </c>
      <c r="P23" s="49">
        <v>30</v>
      </c>
      <c r="Q23" s="544">
        <f t="shared" si="11"/>
        <v>0</v>
      </c>
      <c r="R23" s="544">
        <f t="shared" si="12"/>
        <v>0</v>
      </c>
      <c r="S23" s="49"/>
      <c r="T23" s="49"/>
      <c r="U23" s="386">
        <v>0</v>
      </c>
      <c r="V23" s="49"/>
      <c r="W23" s="49"/>
      <c r="X23" s="49"/>
      <c r="Y23" s="55"/>
      <c r="Z23" s="128">
        <f t="shared" ca="1" si="13"/>
        <v>0</v>
      </c>
    </row>
    <row r="24" spans="2:26">
      <c r="B24" s="192" t="s">
        <v>902</v>
      </c>
      <c r="C24" s="198"/>
      <c r="D24" s="198"/>
      <c r="E24" s="198"/>
      <c r="F24" s="199">
        <f>SUM(F16:F23)</f>
        <v>0</v>
      </c>
      <c r="G24" s="199">
        <f>SUM(G16:G23)</f>
        <v>0</v>
      </c>
      <c r="H24" s="199"/>
      <c r="I24" s="199">
        <f>SUM(I16:I23)</f>
        <v>0</v>
      </c>
      <c r="J24" s="199">
        <f>SUM(J16:J23)</f>
        <v>0</v>
      </c>
      <c r="K24" s="198"/>
      <c r="L24" s="200"/>
      <c r="M24" s="200"/>
      <c r="N24" s="200"/>
      <c r="O24" s="201"/>
      <c r="P24" s="198"/>
      <c r="Q24" s="199">
        <f>SUM(Q16:Q23)</f>
        <v>0</v>
      </c>
      <c r="R24" s="199">
        <f>SUM(R16:R23)</f>
        <v>0</v>
      </c>
      <c r="S24" s="198"/>
      <c r="T24" s="198"/>
      <c r="U24" s="198"/>
      <c r="V24" s="198"/>
      <c r="W24" s="198"/>
      <c r="X24" s="198"/>
      <c r="Y24" s="198"/>
      <c r="Z24" s="198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X44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25.5703125" customWidth="1"/>
    <col min="3" max="3" width="32.85546875" customWidth="1"/>
    <col min="4" max="5" width="10.7109375" customWidth="1"/>
    <col min="6" max="6" width="7.42578125" customWidth="1"/>
    <col min="7" max="27" width="8.85546875" customWidth="1"/>
    <col min="28" max="28" width="9.7109375" bestFit="1" customWidth="1"/>
  </cols>
  <sheetData>
    <row r="1" spans="1:24" ht="18">
      <c r="A1" s="5" t="s">
        <v>675</v>
      </c>
      <c r="E1" s="216"/>
      <c r="F1" s="216"/>
    </row>
    <row r="2" spans="1:24">
      <c r="E2" s="216"/>
      <c r="F2" s="216"/>
    </row>
    <row r="3" spans="1:24">
      <c r="E3" s="216"/>
      <c r="F3" s="216"/>
    </row>
    <row r="4" spans="1:24">
      <c r="E4" s="216"/>
      <c r="F4" s="216"/>
      <c r="Q4" s="12">
        <v>1.01</v>
      </c>
      <c r="R4" t="s">
        <v>146</v>
      </c>
    </row>
    <row r="5" spans="1:24" ht="18">
      <c r="A5" s="8"/>
      <c r="B5" s="10"/>
      <c r="C5" s="11"/>
      <c r="E5" s="216"/>
      <c r="F5" s="216"/>
      <c r="I5" t="s">
        <v>784</v>
      </c>
    </row>
    <row r="6" spans="1:24" ht="18">
      <c r="B6" s="86" t="s">
        <v>11</v>
      </c>
      <c r="C6" s="88"/>
      <c r="D6" s="123"/>
      <c r="E6" s="225" t="str">
        <f>"~FI_T: "&amp;Region</f>
        <v>~FI_T: FIN</v>
      </c>
      <c r="F6" s="225"/>
      <c r="G6" s="1" t="s">
        <v>784</v>
      </c>
      <c r="I6" s="1" t="s">
        <v>784</v>
      </c>
      <c r="K6" s="1" t="s">
        <v>784</v>
      </c>
      <c r="M6" s="1" t="s">
        <v>784</v>
      </c>
      <c r="O6" s="1"/>
      <c r="P6" s="1"/>
    </row>
    <row r="7" spans="1:24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CONCATENATE("\I:",IEA_Year," final energy")</f>
        <v>\I:2010 final energy</v>
      </c>
      <c r="H7" s="64" t="str">
        <f ca="1">CONCATENATE("\I:",AuxYear," final energy")</f>
        <v>\I:2017 final energy</v>
      </c>
      <c r="I7" s="45" t="s">
        <v>50</v>
      </c>
      <c r="J7" s="45" t="str">
        <f ca="1">"EFF~"&amp;AuxYear</f>
        <v>EFF~2017</v>
      </c>
      <c r="K7" s="64" t="str">
        <f ca="1">CONCATENATE("\I:",BaseYear," Service Demand")</f>
        <v>\I:2010 Service Demand</v>
      </c>
      <c r="L7" s="64" t="str">
        <f ca="1">CONCATENATE("\I:",AuxYear," Service Demand")</f>
        <v>\I:2017 Service Demand</v>
      </c>
      <c r="M7" s="64" t="s">
        <v>390</v>
      </c>
      <c r="N7" s="45" t="s">
        <v>79</v>
      </c>
      <c r="O7" s="45" t="s">
        <v>556</v>
      </c>
      <c r="P7" s="45" t="str">
        <f ca="1">"RESID~"&amp;BaseYear</f>
        <v>RESID~2010</v>
      </c>
      <c r="Q7" s="45" t="str">
        <f ca="1">"RESID~"&amp;AuxYear</f>
        <v>RESID~2017</v>
      </c>
      <c r="R7" s="45" t="str">
        <f ca="1">"RESID~"&amp;CEILING(AuxYear+12,5)</f>
        <v>RESID~2030</v>
      </c>
      <c r="S7" s="45" t="str">
        <f ca="1">"RESID~"&amp;CEILING(AuxYear+27,5)</f>
        <v>RESID~2045</v>
      </c>
      <c r="T7" s="45" t="s">
        <v>52</v>
      </c>
      <c r="U7" s="45" t="s">
        <v>51</v>
      </c>
      <c r="V7" s="45" t="s">
        <v>499</v>
      </c>
      <c r="W7" s="821" t="s">
        <v>1379</v>
      </c>
      <c r="X7" s="126" t="s">
        <v>959</v>
      </c>
    </row>
    <row r="8" spans="1:24">
      <c r="B8" s="35" t="str">
        <f>"ISTM"&amp;RIGHT(D8,3)&amp;"000"</f>
        <v>ISTMNGA000</v>
      </c>
      <c r="C8" s="300" t="s">
        <v>684</v>
      </c>
      <c r="D8" s="9" t="s">
        <v>906</v>
      </c>
      <c r="E8" s="52"/>
      <c r="F8" s="336">
        <f ca="1">MATCH($D8,Calibration!$C$218:$U$218,0)</f>
        <v>2</v>
      </c>
      <c r="G8" s="21">
        <f ca="1">INDEX(Calibration!$C$225:$U$225,F8)</f>
        <v>13.487784461575476</v>
      </c>
      <c r="H8" s="21">
        <f ca="1">INDEX(Calibrati2!$C$225:$U$225,$F8)</f>
        <v>11.136849164060491</v>
      </c>
      <c r="I8" s="17">
        <f ca="1">INDEX(Calibration!$C$219:$U$219,F8)</f>
        <v>0.81499999999999995</v>
      </c>
      <c r="J8" s="542">
        <f>I8*M8</f>
        <v>0.81499999999999995</v>
      </c>
      <c r="K8" s="62">
        <f>G8*I8</f>
        <v>10.992544336184013</v>
      </c>
      <c r="L8" s="62">
        <f>H8*J8</f>
        <v>9.0765320687092998</v>
      </c>
      <c r="M8" s="31">
        <v>1</v>
      </c>
      <c r="N8" s="12">
        <v>0.75</v>
      </c>
      <c r="O8" s="12">
        <v>30</v>
      </c>
      <c r="P8" s="544">
        <f>K8/$N8</f>
        <v>14.656725781578684</v>
      </c>
      <c r="Q8" s="544">
        <f>L8/$N8</f>
        <v>12.102042758279067</v>
      </c>
      <c r="R8" s="49"/>
      <c r="S8" s="52">
        <v>0</v>
      </c>
      <c r="T8" s="12"/>
      <c r="U8" s="12"/>
      <c r="V8" s="31"/>
      <c r="W8" s="31">
        <v>1</v>
      </c>
      <c r="X8" s="127">
        <f>G8/$G$42</f>
        <v>0.12170126226063832</v>
      </c>
    </row>
    <row r="9" spans="1:24">
      <c r="B9" s="9"/>
      <c r="C9" s="300"/>
      <c r="D9" s="9"/>
      <c r="E9" s="52" t="s">
        <v>946</v>
      </c>
      <c r="F9" s="337"/>
      <c r="G9" s="21"/>
      <c r="H9" s="21"/>
      <c r="I9" s="17"/>
      <c r="J9" s="542"/>
      <c r="K9" s="62"/>
      <c r="L9" s="9"/>
      <c r="M9" s="31"/>
      <c r="N9" s="12"/>
      <c r="O9" s="12"/>
      <c r="P9" s="544"/>
      <c r="Q9" s="544"/>
      <c r="R9" s="49"/>
      <c r="S9" s="52"/>
      <c r="T9" s="12"/>
      <c r="U9" s="12"/>
      <c r="V9" s="31"/>
      <c r="W9" s="31"/>
      <c r="X9" s="127"/>
    </row>
    <row r="10" spans="1:24">
      <c r="B10" s="35" t="str">
        <f>"ISTM"&amp;RIGHT(D10,3)&amp;"000"</f>
        <v>ISTMLPG000</v>
      </c>
      <c r="C10" s="300" t="s">
        <v>688</v>
      </c>
      <c r="D10" s="9" t="s">
        <v>907</v>
      </c>
      <c r="E10" s="52"/>
      <c r="F10" s="336">
        <f ca="1">MATCH($D10,Calibration!$C$218:$U$218,0)</f>
        <v>3</v>
      </c>
      <c r="G10" s="21">
        <f ca="1">INDEX(Calibration!$C$225:$U$225,F10)</f>
        <v>3.5405989277214802</v>
      </c>
      <c r="H10" s="21">
        <f ca="1">INDEX(Calibrati2!$C$225:$U$225,$F10)</f>
        <v>3.3532910959800342</v>
      </c>
      <c r="I10" s="17">
        <f ca="1">INDEX(Calibration!$C$219:$U$219,F10)</f>
        <v>0.81499999999999995</v>
      </c>
      <c r="J10" s="542">
        <f>I10*M10</f>
        <v>0.81499999999999995</v>
      </c>
      <c r="K10" s="62">
        <f>G10*I10</f>
        <v>2.8855881260930061</v>
      </c>
      <c r="L10" s="62">
        <f>H10*J10</f>
        <v>2.7329322432237277</v>
      </c>
      <c r="M10" s="31">
        <v>1</v>
      </c>
      <c r="N10" s="12">
        <v>0.75</v>
      </c>
      <c r="O10" s="12">
        <v>30</v>
      </c>
      <c r="P10" s="544">
        <f>K10/N10</f>
        <v>3.8474508347906746</v>
      </c>
      <c r="Q10" s="544">
        <f>L10/$N10</f>
        <v>3.643909657631637</v>
      </c>
      <c r="R10" s="49"/>
      <c r="S10" s="52">
        <v>0</v>
      </c>
      <c r="T10" s="12"/>
      <c r="U10" s="12"/>
      <c r="V10" s="55"/>
      <c r="W10" s="55">
        <v>1</v>
      </c>
      <c r="X10" s="127">
        <f>G10/$G$42</f>
        <v>3.1947082183135272E-2</v>
      </c>
    </row>
    <row r="11" spans="1:24">
      <c r="B11" s="9"/>
      <c r="C11" s="300"/>
      <c r="D11" s="9"/>
      <c r="E11" s="52" t="s">
        <v>946</v>
      </c>
      <c r="F11" s="337"/>
      <c r="G11" s="21"/>
      <c r="H11" s="21"/>
      <c r="I11" s="17"/>
      <c r="J11" s="542"/>
      <c r="K11" s="62"/>
      <c r="L11" s="9"/>
      <c r="M11" s="31"/>
      <c r="N11" s="12"/>
      <c r="O11" s="12"/>
      <c r="P11" s="544"/>
      <c r="Q11" s="544"/>
      <c r="R11" s="49"/>
      <c r="S11" s="52"/>
      <c r="T11" s="12"/>
      <c r="U11" s="12"/>
      <c r="V11" s="31"/>
      <c r="W11" s="31"/>
      <c r="X11" s="127"/>
    </row>
    <row r="12" spans="1:24">
      <c r="B12" s="35" t="str">
        <f>"ISTM"&amp;RIGHT(D12,3)&amp;"000"</f>
        <v>ISTMCOA000</v>
      </c>
      <c r="C12" s="300" t="s">
        <v>685</v>
      </c>
      <c r="D12" s="9" t="s">
        <v>909</v>
      </c>
      <c r="E12" s="52"/>
      <c r="F12" s="336">
        <f ca="1">MATCH($D12,Calibration!$C$218:$U$218,0)</f>
        <v>5</v>
      </c>
      <c r="G12" s="21">
        <f ca="1">INDEX(Calibration!$C$225:$U$225,F12)</f>
        <v>0.44074598758529387</v>
      </c>
      <c r="H12" s="21">
        <f ca="1">INDEX(Calibrati2!$C$225:$U$225,$F12)</f>
        <v>1.6894488204464664</v>
      </c>
      <c r="I12" s="17">
        <f ca="1">INDEX(Calibration!$C$219:$U$219,F12)</f>
        <v>0.81499999999999995</v>
      </c>
      <c r="J12" s="542">
        <f>I12*M12</f>
        <v>0.81499999999999995</v>
      </c>
      <c r="K12" s="62">
        <f>G12*I12</f>
        <v>0.35920797988201447</v>
      </c>
      <c r="L12" s="62">
        <f>H12*J12</f>
        <v>1.37690078866387</v>
      </c>
      <c r="M12" s="31">
        <v>1</v>
      </c>
      <c r="N12" s="12">
        <v>0.75</v>
      </c>
      <c r="O12" s="12">
        <v>30</v>
      </c>
      <c r="P12" s="544">
        <f>K12/N12</f>
        <v>0.47894397317601928</v>
      </c>
      <c r="Q12" s="544">
        <f>L12/$N12</f>
        <v>1.8358677182184933</v>
      </c>
      <c r="R12" s="49"/>
      <c r="S12" s="52">
        <v>0</v>
      </c>
      <c r="T12" s="12"/>
      <c r="U12" s="12"/>
      <c r="V12" s="55"/>
      <c r="W12" s="55">
        <v>1</v>
      </c>
      <c r="X12" s="127">
        <f>G12/$G$42</f>
        <v>3.9768831699714463E-3</v>
      </c>
    </row>
    <row r="13" spans="1:24">
      <c r="B13" s="9"/>
      <c r="C13" s="300"/>
      <c r="D13" s="9"/>
      <c r="E13" s="52" t="s">
        <v>946</v>
      </c>
      <c r="F13" s="337"/>
      <c r="G13" s="21"/>
      <c r="H13" s="21"/>
      <c r="I13" s="17"/>
      <c r="J13" s="542"/>
      <c r="K13" s="62"/>
      <c r="L13" s="9"/>
      <c r="M13" s="31"/>
      <c r="N13" s="12"/>
      <c r="O13" s="12"/>
      <c r="P13" s="544"/>
      <c r="Q13" s="544"/>
      <c r="R13" s="49"/>
      <c r="S13" s="52"/>
      <c r="T13" s="12"/>
      <c r="U13" s="12"/>
      <c r="V13" s="31"/>
      <c r="W13" s="31"/>
      <c r="X13" s="127"/>
    </row>
    <row r="14" spans="1:24">
      <c r="B14" s="35" t="str">
        <f>"ISTM"&amp;RIGHT(D14,3)&amp;"000"</f>
        <v>ISTMCOK000</v>
      </c>
      <c r="C14" s="520" t="s">
        <v>689</v>
      </c>
      <c r="D14" s="9" t="s">
        <v>910</v>
      </c>
      <c r="E14" s="52"/>
      <c r="F14" s="336">
        <f ca="1">MATCH($D14,Calibration!$C$218:$U$218,0)</f>
        <v>6</v>
      </c>
      <c r="G14" s="21">
        <f ca="1">INDEX(Calibration!$C$225:$U$225,F14)</f>
        <v>0.57263289955448515</v>
      </c>
      <c r="H14" s="21">
        <f ca="1">INDEX(Calibrati2!$C$225:$U$225,$F14)</f>
        <v>0.25159346502176538</v>
      </c>
      <c r="I14" s="17">
        <f ca="1">INDEX(Calibration!$C$219:$U$219,F14)</f>
        <v>0.81499999999999995</v>
      </c>
      <c r="J14" s="542">
        <f>I14*M14</f>
        <v>0.81499999999999995</v>
      </c>
      <c r="K14" s="62">
        <f>G14*I14</f>
        <v>0.46669581313690539</v>
      </c>
      <c r="L14" s="62">
        <f>H14*J14</f>
        <v>0.20504867399273877</v>
      </c>
      <c r="M14" s="31">
        <v>1</v>
      </c>
      <c r="N14" s="12">
        <v>0.75</v>
      </c>
      <c r="O14" s="12">
        <v>30</v>
      </c>
      <c r="P14" s="544">
        <f>K14/N14</f>
        <v>0.62226108418254056</v>
      </c>
      <c r="Q14" s="544">
        <f>L14/$N14</f>
        <v>0.27339823199031837</v>
      </c>
      <c r="R14" s="49"/>
      <c r="S14" s="52">
        <v>0</v>
      </c>
      <c r="T14" s="12"/>
      <c r="U14" s="12"/>
      <c r="V14" s="31"/>
      <c r="W14" s="31">
        <v>1</v>
      </c>
      <c r="X14" s="127">
        <f>G14/$G$42</f>
        <v>5.1669083893122808E-3</v>
      </c>
    </row>
    <row r="15" spans="1:24">
      <c r="B15" s="9"/>
      <c r="C15" s="300"/>
      <c r="D15" s="9"/>
      <c r="E15" s="52" t="s">
        <v>946</v>
      </c>
      <c r="F15" s="337"/>
      <c r="G15" s="21"/>
      <c r="H15" s="21"/>
      <c r="I15" s="17"/>
      <c r="J15" s="542"/>
      <c r="K15" s="62"/>
      <c r="L15" s="9"/>
      <c r="M15" s="31"/>
      <c r="N15" s="12"/>
      <c r="O15" s="12"/>
      <c r="P15" s="544"/>
      <c r="Q15" s="544"/>
      <c r="R15" s="49"/>
      <c r="S15" s="52"/>
      <c r="T15" s="12"/>
      <c r="U15" s="12"/>
      <c r="V15" s="31"/>
      <c r="W15" s="31"/>
      <c r="X15" s="127"/>
    </row>
    <row r="16" spans="1:24">
      <c r="B16" s="35" t="str">
        <f>"ISTM"&amp;RIGHT(D16,3)&amp;"000"</f>
        <v>ISTMCOG000</v>
      </c>
      <c r="C16" s="520" t="s">
        <v>682</v>
      </c>
      <c r="D16" s="9" t="s">
        <v>911</v>
      </c>
      <c r="E16" s="52"/>
      <c r="F16" s="336">
        <f ca="1">MATCH($D16,Calibration!$C$218:$U$218,0)</f>
        <v>7</v>
      </c>
      <c r="G16" s="21">
        <f ca="1">INDEX(Calibration!$C$225:$U$225,F16)</f>
        <v>1.2213938473966903</v>
      </c>
      <c r="H16" s="21">
        <f ca="1">INDEX(Calibrati2!$C$225:$U$225,$F16)</f>
        <v>1.0498830222069322</v>
      </c>
      <c r="I16" s="17">
        <f ca="1">INDEX(Calibration!$C$219:$U$219,F16)</f>
        <v>0.81499999999999995</v>
      </c>
      <c r="J16" s="542">
        <f>I16*M16</f>
        <v>0.81499999999999995</v>
      </c>
      <c r="K16" s="62">
        <f>G16*I16</f>
        <v>0.9954359856283026</v>
      </c>
      <c r="L16" s="62">
        <f>H16*J16</f>
        <v>0.85565466309864968</v>
      </c>
      <c r="M16" s="31">
        <v>1</v>
      </c>
      <c r="N16" s="12">
        <v>0.75</v>
      </c>
      <c r="O16" s="12">
        <v>30</v>
      </c>
      <c r="P16" s="544">
        <f>K16/N16</f>
        <v>1.3272479808377369</v>
      </c>
      <c r="Q16" s="544">
        <f>L16/$N16</f>
        <v>1.140872884131533</v>
      </c>
      <c r="R16" s="49"/>
      <c r="S16" s="52">
        <v>0</v>
      </c>
      <c r="T16" s="12"/>
      <c r="U16" s="12"/>
      <c r="V16" s="31"/>
      <c r="W16" s="31">
        <v>1</v>
      </c>
      <c r="X16" s="127">
        <f>G16/$G$42</f>
        <v>1.102072570695512E-2</v>
      </c>
    </row>
    <row r="17" spans="1:24">
      <c r="B17" s="9"/>
      <c r="C17" s="300"/>
      <c r="D17" s="9"/>
      <c r="E17" s="52" t="s">
        <v>946</v>
      </c>
      <c r="F17" s="337"/>
      <c r="G17" s="21"/>
      <c r="H17" s="21"/>
      <c r="I17" s="17"/>
      <c r="J17" s="542"/>
      <c r="K17" s="62"/>
      <c r="L17" s="9"/>
      <c r="M17" s="31"/>
      <c r="N17" s="12"/>
      <c r="O17" s="12"/>
      <c r="P17" s="544"/>
      <c r="Q17" s="544"/>
      <c r="R17" s="49"/>
      <c r="S17" s="52"/>
      <c r="T17" s="12"/>
      <c r="U17" s="12"/>
      <c r="V17" s="31"/>
      <c r="W17" s="31"/>
      <c r="X17" s="127"/>
    </row>
    <row r="18" spans="1:24">
      <c r="B18" s="35" t="str">
        <f>"ISTM"&amp;RIGHT(D18,3)&amp;"000"</f>
        <v>ISTMBFG000</v>
      </c>
      <c r="C18" s="300" t="s">
        <v>683</v>
      </c>
      <c r="D18" s="9" t="s">
        <v>912</v>
      </c>
      <c r="E18" s="52"/>
      <c r="F18" s="336">
        <f ca="1">MATCH($D18,Calibration!$C$218:$U$218,0)</f>
        <v>8</v>
      </c>
      <c r="G18" s="21">
        <f ca="1">INDEX(Calibration!$C$225:$U$225,F18)</f>
        <v>0.30635121174073821</v>
      </c>
      <c r="H18" s="21">
        <f ca="1">INDEX(Calibrati2!$C$225:$U$225,$F18)</f>
        <v>0.80359907686718723</v>
      </c>
      <c r="I18" s="17">
        <f ca="1">INDEX(Calibration!$C$219:$U$219,F18)</f>
        <v>0.81499999999999995</v>
      </c>
      <c r="J18" s="542">
        <f>I18*M18</f>
        <v>0.81499999999999995</v>
      </c>
      <c r="K18" s="62">
        <f>G18*I18</f>
        <v>0.24967623756870161</v>
      </c>
      <c r="L18" s="62">
        <f>H18*J18</f>
        <v>0.65493324764675753</v>
      </c>
      <c r="M18" s="31">
        <v>1</v>
      </c>
      <c r="N18" s="12">
        <v>0.75</v>
      </c>
      <c r="O18" s="12">
        <v>30</v>
      </c>
      <c r="P18" s="544">
        <f>K18/N18</f>
        <v>0.33290165009160216</v>
      </c>
      <c r="Q18" s="544">
        <f>L18/$N18</f>
        <v>0.87324433019567671</v>
      </c>
      <c r="R18" s="49"/>
      <c r="S18" s="52">
        <v>0</v>
      </c>
      <c r="T18" s="12"/>
      <c r="U18" s="12"/>
      <c r="V18" s="55"/>
      <c r="W18" s="55">
        <v>1</v>
      </c>
      <c r="X18" s="127">
        <f>G18/$G$42</f>
        <v>2.7642293120962984E-3</v>
      </c>
    </row>
    <row r="19" spans="1:24">
      <c r="B19" s="9"/>
      <c r="C19" s="300"/>
      <c r="D19" s="9"/>
      <c r="E19" s="52" t="s">
        <v>946</v>
      </c>
      <c r="F19" s="337"/>
      <c r="G19" s="21"/>
      <c r="H19" s="21"/>
      <c r="I19" s="17"/>
      <c r="J19" s="542"/>
      <c r="K19" s="62"/>
      <c r="L19" s="9"/>
      <c r="M19" s="31"/>
      <c r="N19" s="12"/>
      <c r="O19" s="12"/>
      <c r="P19" s="544"/>
      <c r="Q19" s="544"/>
      <c r="R19" s="49"/>
      <c r="S19" s="52"/>
      <c r="T19" s="12"/>
      <c r="U19" s="12"/>
      <c r="V19" s="31"/>
      <c r="W19" s="31"/>
      <c r="X19" s="127"/>
    </row>
    <row r="20" spans="1:24">
      <c r="B20" s="35" t="str">
        <f>"ISTM"&amp;RIGHT(D20,3)&amp;"000"</f>
        <v>ISTMBCO000</v>
      </c>
      <c r="C20" s="300" t="s">
        <v>1161</v>
      </c>
      <c r="D20" s="9" t="s">
        <v>1150</v>
      </c>
      <c r="E20" s="52"/>
      <c r="F20" s="336">
        <f ca="1">MATCH($D20,Calibration!$C$218:$U$218,0)</f>
        <v>9</v>
      </c>
      <c r="G20" s="21">
        <f ca="1">INDEX(Calibration!$C$225:$U$225,F20)</f>
        <v>8.5078400920000021</v>
      </c>
      <c r="H20" s="21">
        <f ca="1">INDEX(Calibrati2!$C$225:$U$225,$F20)</f>
        <v>6.1682378000000009</v>
      </c>
      <c r="I20" s="17">
        <f ca="1">INDEX(Calibration!$C$219:$U$219,F20)</f>
        <v>0.81499999999999995</v>
      </c>
      <c r="J20" s="542">
        <f>I20*M20</f>
        <v>0.81499999999999995</v>
      </c>
      <c r="K20" s="62">
        <f>G20*I20</f>
        <v>6.9338896749800014</v>
      </c>
      <c r="L20" s="62">
        <f>H20*J20</f>
        <v>5.0271138070000001</v>
      </c>
      <c r="M20" s="31">
        <v>1</v>
      </c>
      <c r="N20" s="12">
        <v>0.75</v>
      </c>
      <c r="O20" s="12">
        <v>30</v>
      </c>
      <c r="P20" s="544">
        <f>K20/N20</f>
        <v>9.2451862333066686</v>
      </c>
      <c r="Q20" s="544">
        <f>L20/$N20</f>
        <v>6.7028184093333332</v>
      </c>
      <c r="R20" s="49"/>
      <c r="S20" s="52">
        <v>0</v>
      </c>
      <c r="T20" s="12"/>
      <c r="U20" s="12"/>
      <c r="V20" s="55"/>
      <c r="W20" s="55">
        <v>1</v>
      </c>
      <c r="X20" s="127">
        <f>G20/$G$42</f>
        <v>7.6766861248249899E-2</v>
      </c>
    </row>
    <row r="21" spans="1:24">
      <c r="B21" s="9"/>
      <c r="C21" s="300"/>
      <c r="D21" s="9"/>
      <c r="E21" s="52" t="s">
        <v>946</v>
      </c>
      <c r="F21" s="337"/>
      <c r="G21" s="21"/>
      <c r="H21" s="21"/>
      <c r="I21" s="17"/>
      <c r="J21" s="542"/>
      <c r="K21" s="62"/>
      <c r="L21" s="9"/>
      <c r="M21" s="31"/>
      <c r="N21" s="12"/>
      <c r="O21" s="12"/>
      <c r="P21" s="544"/>
      <c r="Q21" s="544"/>
      <c r="R21" s="49"/>
      <c r="S21" s="52"/>
      <c r="T21" s="12"/>
      <c r="U21" s="12"/>
      <c r="V21" s="31"/>
      <c r="W21" s="31"/>
      <c r="X21" s="127"/>
    </row>
    <row r="22" spans="1:24" s="15" customFormat="1">
      <c r="A22" s="65"/>
      <c r="B22" s="35" t="str">
        <f>"ISTM"&amp;RIGHT(D22,3)&amp;"000"</f>
        <v>ISTMHFO000</v>
      </c>
      <c r="C22" s="520" t="s">
        <v>680</v>
      </c>
      <c r="D22" s="9" t="s">
        <v>913</v>
      </c>
      <c r="E22" s="52"/>
      <c r="F22" s="336">
        <f ca="1">MATCH($D22,Calibration!$C$218:$U$218,0)</f>
        <v>10</v>
      </c>
      <c r="G22" s="21">
        <f ca="1">INDEX(Calibration!$C$225:$U$225,F22)</f>
        <v>3.7725605345372513</v>
      </c>
      <c r="H22" s="21">
        <f ca="1">INDEX(Calibrati2!$C$225:$U$225,$F22)</f>
        <v>3.963190858199269</v>
      </c>
      <c r="I22" s="17">
        <f ca="1">INDEX(Calibration!$C$219:$U$219,F22)</f>
        <v>0.81499999999999995</v>
      </c>
      <c r="J22" s="542">
        <f>I22*M22</f>
        <v>0.81499999999999995</v>
      </c>
      <c r="K22" s="544">
        <f>G22*I22</f>
        <v>3.0746368356478597</v>
      </c>
      <c r="L22" s="62">
        <f>H22*J22</f>
        <v>3.230000549432404</v>
      </c>
      <c r="M22" s="55">
        <v>1</v>
      </c>
      <c r="N22" s="49">
        <v>0.75</v>
      </c>
      <c r="O22" s="49">
        <v>30</v>
      </c>
      <c r="P22" s="544">
        <f>K22/N22</f>
        <v>4.099515780863813</v>
      </c>
      <c r="Q22" s="544">
        <f>L22/$N22</f>
        <v>4.3066673992432056</v>
      </c>
      <c r="R22" s="49"/>
      <c r="S22" s="52">
        <v>0</v>
      </c>
      <c r="T22" s="49"/>
      <c r="U22" s="49"/>
      <c r="V22" s="55"/>
      <c r="W22" s="55">
        <v>1</v>
      </c>
      <c r="X22" s="127">
        <f>G22/$G$42</f>
        <v>3.4040088668070435E-2</v>
      </c>
    </row>
    <row r="23" spans="1:24">
      <c r="B23" s="9"/>
      <c r="C23" s="300"/>
      <c r="D23" s="9"/>
      <c r="E23" s="52" t="s">
        <v>946</v>
      </c>
      <c r="F23" s="337"/>
      <c r="G23" s="21"/>
      <c r="H23" s="21"/>
      <c r="I23" s="17"/>
      <c r="J23" s="542"/>
      <c r="K23" s="62"/>
      <c r="L23" s="9"/>
      <c r="M23" s="31"/>
      <c r="N23" s="12"/>
      <c r="O23" s="12"/>
      <c r="P23" s="544"/>
      <c r="Q23" s="544"/>
      <c r="R23" s="49"/>
      <c r="S23" s="52"/>
      <c r="T23" s="12"/>
      <c r="U23" s="12"/>
      <c r="V23" s="31"/>
      <c r="W23" s="31"/>
      <c r="X23" s="127"/>
    </row>
    <row r="24" spans="1:24">
      <c r="B24" s="35" t="str">
        <f>"ISTM"&amp;RIGHT(D24,3)&amp;"000"</f>
        <v>ISTMOIL000</v>
      </c>
      <c r="C24" s="520" t="s">
        <v>681</v>
      </c>
      <c r="D24" s="9" t="s">
        <v>826</v>
      </c>
      <c r="E24" s="52"/>
      <c r="F24" s="336">
        <f ca="1">MATCH($D24,Calibration!$C$218:$U$218,0)</f>
        <v>11</v>
      </c>
      <c r="G24" s="21">
        <f ca="1">INDEX(Calibration!$C$225:$U$225,F24)</f>
        <v>0.5479711627741235</v>
      </c>
      <c r="H24" s="21">
        <f ca="1">INDEX(Calibrati2!$C$225:$U$225,$F24)</f>
        <v>0.38811989750508263</v>
      </c>
      <c r="I24" s="17">
        <f ca="1">INDEX(Calibration!$C$219:$U$219,F24)</f>
        <v>0.81499999999999995</v>
      </c>
      <c r="J24" s="542">
        <f>I24*M24</f>
        <v>0.81499999999999995</v>
      </c>
      <c r="K24" s="544">
        <f>G24*I24</f>
        <v>0.44659649766091064</v>
      </c>
      <c r="L24" s="62">
        <f>H24*J24</f>
        <v>0.31631771646664231</v>
      </c>
      <c r="M24" s="55">
        <v>1</v>
      </c>
      <c r="N24" s="49">
        <v>0.75</v>
      </c>
      <c r="O24" s="49">
        <v>30</v>
      </c>
      <c r="P24" s="544">
        <f>K24/N24</f>
        <v>0.59546199688121415</v>
      </c>
      <c r="Q24" s="544">
        <f>L24/$N24</f>
        <v>0.42175695528885643</v>
      </c>
      <c r="R24" s="49"/>
      <c r="S24" s="52">
        <v>0</v>
      </c>
      <c r="T24" s="49"/>
      <c r="U24" s="49"/>
      <c r="V24" s="55"/>
      <c r="W24" s="55">
        <v>1</v>
      </c>
      <c r="X24" s="127">
        <f>G24/$G$42</f>
        <v>4.9443837408601927E-3</v>
      </c>
    </row>
    <row r="25" spans="1:24">
      <c r="B25" s="9"/>
      <c r="C25" s="300"/>
      <c r="D25" s="9"/>
      <c r="E25" s="52" t="s">
        <v>946</v>
      </c>
      <c r="F25" s="337"/>
      <c r="G25" s="21"/>
      <c r="H25" s="21"/>
      <c r="I25" s="17"/>
      <c r="J25" s="542"/>
      <c r="K25" s="62"/>
      <c r="L25" s="9"/>
      <c r="M25" s="31"/>
      <c r="N25" s="12"/>
      <c r="O25" s="12"/>
      <c r="P25" s="544"/>
      <c r="Q25" s="544"/>
      <c r="R25" s="49"/>
      <c r="S25" s="52"/>
      <c r="T25" s="12"/>
      <c r="U25" s="12"/>
      <c r="V25" s="31"/>
      <c r="W25" s="31"/>
      <c r="X25" s="127"/>
    </row>
    <row r="26" spans="1:24">
      <c r="B26" s="35" t="str">
        <f>"ISTM"&amp;RIGHT(D26,3)&amp;"000"</f>
        <v>ISTMETH000</v>
      </c>
      <c r="C26" s="520" t="s">
        <v>438</v>
      </c>
      <c r="D26" s="9" t="s">
        <v>914</v>
      </c>
      <c r="E26" s="52"/>
      <c r="F26" s="336">
        <f ca="1">MATCH($D26,Calibration!$C$218:$U$218,0)</f>
        <v>12</v>
      </c>
      <c r="G26" s="21">
        <f ca="1">INDEX(Calibration!$C$225:$U$225,F26)</f>
        <v>2.2563938169658115</v>
      </c>
      <c r="H26" s="21">
        <f ca="1">INDEX(Calibrati2!$C$225:$U$225,$F26)</f>
        <v>1.6866529923738927E-2</v>
      </c>
      <c r="I26" s="17">
        <f ca="1">INDEX(Calibration!$C$219:$U$219,F26)</f>
        <v>0.81499999999999995</v>
      </c>
      <c r="J26" s="542">
        <f>I26*M26</f>
        <v>0.81499999999999995</v>
      </c>
      <c r="K26" s="544">
        <f>G26*I26</f>
        <v>1.8389609608271362</v>
      </c>
      <c r="L26" s="62">
        <f>H26*J26</f>
        <v>1.3746221887847224E-2</v>
      </c>
      <c r="M26" s="55">
        <v>1</v>
      </c>
      <c r="N26" s="49">
        <v>0.75</v>
      </c>
      <c r="O26" s="49">
        <v>30</v>
      </c>
      <c r="P26" s="544">
        <f>K26/N26</f>
        <v>2.451947947769515</v>
      </c>
      <c r="Q26" s="544">
        <f>L26/$N26</f>
        <v>1.8328295850462965E-2</v>
      </c>
      <c r="R26" s="49"/>
      <c r="S26" s="52">
        <v>0</v>
      </c>
      <c r="T26" s="12"/>
      <c r="U26" s="12"/>
      <c r="V26" s="31"/>
      <c r="W26" s="31"/>
      <c r="X26" s="127"/>
    </row>
    <row r="27" spans="1:24">
      <c r="B27" s="35"/>
      <c r="C27" s="520"/>
      <c r="D27" s="9"/>
      <c r="E27" s="52" t="s">
        <v>946</v>
      </c>
      <c r="F27" s="337"/>
      <c r="G27" s="21"/>
      <c r="H27" s="21"/>
      <c r="I27" s="17"/>
      <c r="J27" s="542"/>
      <c r="K27" s="62"/>
      <c r="L27" s="9"/>
      <c r="M27" s="31"/>
      <c r="N27" s="12"/>
      <c r="O27" s="12"/>
      <c r="P27" s="544"/>
      <c r="Q27" s="544"/>
      <c r="R27" s="49"/>
      <c r="S27" s="52"/>
      <c r="T27" s="12"/>
      <c r="U27" s="12"/>
      <c r="V27" s="31"/>
      <c r="W27" s="31"/>
      <c r="X27" s="127"/>
    </row>
    <row r="28" spans="1:24">
      <c r="A28" s="6"/>
      <c r="B28" s="35" t="str">
        <f>"ISTM"&amp;RIGHT(D28,3)&amp;"000"</f>
        <v>ISTMPTC000</v>
      </c>
      <c r="C28" s="300" t="s">
        <v>690</v>
      </c>
      <c r="D28" s="9" t="s">
        <v>916</v>
      </c>
      <c r="E28" s="52"/>
      <c r="F28" s="336">
        <f ca="1">MATCH($D28,Calibration!$C$218:$U$218,0)</f>
        <v>14</v>
      </c>
      <c r="G28" s="21">
        <f ca="1">INDEX(Calibration!$C$225:$U$225,F28)</f>
        <v>6.1841772828536811E-4</v>
      </c>
      <c r="H28" s="21">
        <f ca="1">INDEX(Calibrati2!$C$225:$U$225,$F28)</f>
        <v>6.2864860932725468E-3</v>
      </c>
      <c r="I28" s="17">
        <f ca="1">INDEX(Calibration!$C$219:$U$219,F28)</f>
        <v>0.81499999999999995</v>
      </c>
      <c r="J28" s="542">
        <f>I28*M28</f>
        <v>0.81499999999999995</v>
      </c>
      <c r="K28" s="62">
        <f>G28*I28</f>
        <v>5.0401044855257501E-4</v>
      </c>
      <c r="L28" s="62">
        <f>H28*J28</f>
        <v>5.1234861660171254E-3</v>
      </c>
      <c r="M28" s="31">
        <v>1</v>
      </c>
      <c r="N28" s="12">
        <v>0.75</v>
      </c>
      <c r="O28" s="12">
        <v>30</v>
      </c>
      <c r="P28" s="544">
        <f>K28/N28</f>
        <v>6.7201393140343339E-4</v>
      </c>
      <c r="Q28" s="544">
        <f>L28/$N28</f>
        <v>6.8313148880228339E-3</v>
      </c>
      <c r="R28" s="49"/>
      <c r="S28" s="52">
        <v>0</v>
      </c>
      <c r="T28" s="12"/>
      <c r="U28" s="12"/>
      <c r="V28" s="55"/>
      <c r="W28" s="55">
        <v>1</v>
      </c>
      <c r="X28" s="127">
        <f>G28/$G$42</f>
        <v>5.5800282360009295E-6</v>
      </c>
    </row>
    <row r="29" spans="1:24">
      <c r="B29" s="9"/>
      <c r="C29" s="300"/>
      <c r="D29" s="9"/>
      <c r="E29" s="52" t="s">
        <v>946</v>
      </c>
      <c r="F29" s="337"/>
      <c r="G29" s="21"/>
      <c r="H29" s="21"/>
      <c r="I29" s="17"/>
      <c r="J29" s="542"/>
      <c r="K29" s="62"/>
      <c r="L29" s="9"/>
      <c r="M29" s="31"/>
      <c r="N29" s="12"/>
      <c r="O29" s="12"/>
      <c r="P29" s="544"/>
      <c r="Q29" s="544"/>
      <c r="R29" s="49"/>
      <c r="S29" s="52"/>
      <c r="T29" s="12"/>
      <c r="U29" s="12"/>
      <c r="V29" s="31"/>
      <c r="W29" s="31"/>
      <c r="X29" s="127"/>
    </row>
    <row r="30" spans="1:24">
      <c r="A30" s="6"/>
      <c r="B30" s="35" t="str">
        <f>"ISTM"&amp;RIGHT(D30,3)&amp;"000"</f>
        <v>ISTMBIO000</v>
      </c>
      <c r="C30" s="300" t="s">
        <v>687</v>
      </c>
      <c r="D30" s="9" t="s">
        <v>917</v>
      </c>
      <c r="E30" s="52"/>
      <c r="F30" s="336">
        <f ca="1">MATCH($D30,Calibration!$C$218:$U$218,0)</f>
        <v>15</v>
      </c>
      <c r="G30" s="21">
        <f ca="1">INDEX(Calibration!$C$225:$U$225,F30)-INDEX(Calibration!$C$224:$U$224,F30)/$Q$4</f>
        <v>1.8911405399939696</v>
      </c>
      <c r="H30" s="21">
        <f ca="1">INDEX(Calibrati2!$C$225:$U$225,$F30)-INDEX(Calibrati2!$C$224:$U$224,$F30)/$Q$4</f>
        <v>2.4777973956508674</v>
      </c>
      <c r="I30" s="17">
        <f ca="1">INDEX(Calibration!$C$219:$U$219,F30)</f>
        <v>0.81499999999999995</v>
      </c>
      <c r="J30" s="542">
        <f>I30*M30</f>
        <v>0.81499999999999995</v>
      </c>
      <c r="K30" s="62">
        <f>G30*I30</f>
        <v>1.5412795400950852</v>
      </c>
      <c r="L30" s="62">
        <f>H30*J30</f>
        <v>2.0194048774554569</v>
      </c>
      <c r="M30" s="31">
        <v>1</v>
      </c>
      <c r="N30" s="12">
        <v>0.75</v>
      </c>
      <c r="O30" s="12">
        <v>30</v>
      </c>
      <c r="P30" s="544">
        <f>K30/N30</f>
        <v>2.0550393867934469</v>
      </c>
      <c r="Q30" s="544">
        <f>L30/$N30</f>
        <v>2.6925398366072759</v>
      </c>
      <c r="R30" s="49"/>
      <c r="S30" s="52">
        <v>0</v>
      </c>
      <c r="T30" s="12"/>
      <c r="U30" s="12"/>
      <c r="V30" s="55"/>
      <c r="W30" s="55">
        <v>1</v>
      </c>
      <c r="X30" s="127">
        <f>G30/$G$42</f>
        <v>1.706389892907938E-2</v>
      </c>
    </row>
    <row r="31" spans="1:24">
      <c r="B31" s="9"/>
      <c r="C31" s="300"/>
      <c r="D31" s="9"/>
      <c r="E31" s="52" t="s">
        <v>946</v>
      </c>
      <c r="F31" s="337"/>
      <c r="G31" s="21"/>
      <c r="H31" s="21"/>
      <c r="I31" s="17"/>
      <c r="J31" s="542"/>
      <c r="K31" s="62"/>
      <c r="L31" s="9"/>
      <c r="M31" s="31"/>
      <c r="N31" s="12"/>
      <c r="O31" s="12"/>
      <c r="P31" s="544"/>
      <c r="Q31" s="544"/>
      <c r="R31" s="49"/>
      <c r="S31" s="52"/>
      <c r="T31" s="12"/>
      <c r="U31" s="12"/>
      <c r="V31" s="31"/>
      <c r="W31" s="31"/>
      <c r="X31" s="127"/>
    </row>
    <row r="32" spans="1:24">
      <c r="B32" s="264" t="s">
        <v>468</v>
      </c>
      <c r="C32" s="520" t="s">
        <v>334</v>
      </c>
      <c r="D32" s="59" t="s">
        <v>655</v>
      </c>
      <c r="E32" s="52"/>
      <c r="F32" s="336">
        <f ca="1">F30</f>
        <v>15</v>
      </c>
      <c r="G32" s="21">
        <f ca="1">Drivers!$P128</f>
        <v>39.056075289959409</v>
      </c>
      <c r="H32" s="21">
        <f ca="1">Drivers!$P128</f>
        <v>39.056075289959409</v>
      </c>
      <c r="I32" s="17">
        <f ca="1">INDEX(Calibration!$C$219:$U$219,F32)</f>
        <v>0.81499999999999995</v>
      </c>
      <c r="J32" s="542">
        <f>I32*M32</f>
        <v>0.81499999999999995</v>
      </c>
      <c r="K32" s="62">
        <f>G32*I32</f>
        <v>31.830701361316915</v>
      </c>
      <c r="L32" s="62">
        <f>H32*J32</f>
        <v>31.830701361316915</v>
      </c>
      <c r="M32" s="31">
        <v>1</v>
      </c>
      <c r="N32" s="12">
        <v>0.75</v>
      </c>
      <c r="O32" s="12">
        <v>30</v>
      </c>
      <c r="P32" s="544">
        <f>K32/N32</f>
        <v>42.440935148422554</v>
      </c>
      <c r="Q32" s="544">
        <f>L32/$N32</f>
        <v>42.440935148422554</v>
      </c>
      <c r="R32" s="49"/>
      <c r="S32" s="52">
        <v>0</v>
      </c>
      <c r="T32" s="12"/>
      <c r="U32" s="12"/>
      <c r="V32" s="31"/>
      <c r="W32" s="55">
        <v>1</v>
      </c>
      <c r="X32" s="127">
        <f>G32/$G$42</f>
        <v>0.35240581396267201</v>
      </c>
    </row>
    <row r="33" spans="1:24">
      <c r="B33" s="52"/>
      <c r="C33" s="520"/>
      <c r="D33" s="59"/>
      <c r="E33" s="52" t="s">
        <v>979</v>
      </c>
      <c r="F33" s="337"/>
      <c r="G33" s="21"/>
      <c r="H33" s="21"/>
      <c r="I33" s="17"/>
      <c r="J33" s="542"/>
      <c r="K33" s="62"/>
      <c r="L33" s="9"/>
      <c r="M33" s="31"/>
      <c r="N33" s="12"/>
      <c r="O33" s="12"/>
      <c r="P33" s="544"/>
      <c r="Q33" s="544"/>
      <c r="R33" s="49"/>
      <c r="S33" s="52"/>
      <c r="T33" s="12"/>
      <c r="U33" s="12"/>
      <c r="V33" s="31"/>
      <c r="W33" s="31"/>
      <c r="X33" s="127"/>
    </row>
    <row r="34" spans="1:24">
      <c r="A34" s="6"/>
      <c r="B34" s="35" t="str">
        <f>"ISTM"&amp;RIGHT(D34,3)&amp;"000"</f>
        <v>ISTMGEO000</v>
      </c>
      <c r="C34" s="300" t="s">
        <v>686</v>
      </c>
      <c r="D34" s="9" t="s">
        <v>950</v>
      </c>
      <c r="E34" s="52"/>
      <c r="F34" s="336">
        <f ca="1">MATCH($D34,Calibration!$C$218:$U$218,0)</f>
        <v>16</v>
      </c>
      <c r="G34" s="21">
        <f ca="1">INDEX(Calibration!$C$225:$U$225,F34)</f>
        <v>0</v>
      </c>
      <c r="H34" s="21">
        <f ca="1">INDEX(Calibrati2!$C$225:$U$225,$F34)</f>
        <v>0</v>
      </c>
      <c r="I34" s="17">
        <f ca="1">INDEX(Calibration!$C$219:$U$219,F34)</f>
        <v>0.90277350426338943</v>
      </c>
      <c r="J34" s="542">
        <f>I34*M34</f>
        <v>0.90277350426338943</v>
      </c>
      <c r="K34" s="62">
        <f>G34*I34</f>
        <v>0</v>
      </c>
      <c r="L34" s="62">
        <f>H34*J34</f>
        <v>0</v>
      </c>
      <c r="M34" s="31">
        <v>1</v>
      </c>
      <c r="N34" s="12">
        <v>0.75</v>
      </c>
      <c r="O34" s="12">
        <v>30</v>
      </c>
      <c r="P34" s="544">
        <f>K34/N34</f>
        <v>0</v>
      </c>
      <c r="Q34" s="544">
        <f>L34/$N34</f>
        <v>0</v>
      </c>
      <c r="R34" s="49"/>
      <c r="S34" s="52">
        <v>0</v>
      </c>
      <c r="T34" s="12"/>
      <c r="U34" s="12"/>
      <c r="V34" s="55"/>
      <c r="W34" s="55">
        <v>1</v>
      </c>
      <c r="X34" s="127">
        <f>G34/$G$42</f>
        <v>0</v>
      </c>
    </row>
    <row r="35" spans="1:24">
      <c r="B35" s="9"/>
      <c r="C35" s="300"/>
      <c r="D35" s="9"/>
      <c r="E35" s="52" t="s">
        <v>946</v>
      </c>
      <c r="F35" s="337"/>
      <c r="G35" s="21"/>
      <c r="H35" s="21"/>
      <c r="I35" s="17"/>
      <c r="J35" s="542"/>
      <c r="K35" s="62"/>
      <c r="L35" s="9"/>
      <c r="M35" s="31"/>
      <c r="N35" s="12"/>
      <c r="O35" s="12"/>
      <c r="P35" s="544"/>
      <c r="Q35" s="544"/>
      <c r="R35" s="49"/>
      <c r="S35" s="52"/>
      <c r="T35" s="12"/>
      <c r="U35" s="12"/>
      <c r="V35" s="31"/>
      <c r="W35" s="31"/>
      <c r="X35" s="127"/>
    </row>
    <row r="36" spans="1:24">
      <c r="A36" s="221"/>
      <c r="B36" s="35" t="str">
        <f>"ISTM"&amp;RIGHT(D36,3)&amp;"000"</f>
        <v>ISTMHET000</v>
      </c>
      <c r="C36" s="520" t="s">
        <v>679</v>
      </c>
      <c r="D36" s="52" t="str">
        <f ca="1">IEAData!R$38</f>
        <v>INDHET</v>
      </c>
      <c r="E36" s="826"/>
      <c r="F36" s="336">
        <f ca="1">MATCH($D36,Calibration!$C$218:$U$218,0)</f>
        <v>17</v>
      </c>
      <c r="G36" s="21">
        <f ca="1">INDEX(Calibration!$C$225:$U$225,F36)</f>
        <v>35.224881873979861</v>
      </c>
      <c r="H36" s="21">
        <f ca="1">INDEX(Calibrati2!$C$225:$U$225,$F36)</f>
        <v>28.32271381001647</v>
      </c>
      <c r="I36" s="17">
        <v>1</v>
      </c>
      <c r="J36" s="542">
        <f>I36*M36</f>
        <v>1</v>
      </c>
      <c r="K36" s="544">
        <f>G36*I36</f>
        <v>35.224881873979861</v>
      </c>
      <c r="L36" s="62">
        <f>H36*J36</f>
        <v>28.32271381001647</v>
      </c>
      <c r="M36" s="55">
        <v>1</v>
      </c>
      <c r="N36" s="12">
        <v>0.75</v>
      </c>
      <c r="O36" s="49">
        <v>30</v>
      </c>
      <c r="P36" s="544"/>
      <c r="Q36" s="544"/>
      <c r="R36" s="49"/>
      <c r="S36" s="52"/>
      <c r="T36" s="49"/>
      <c r="U36" s="49"/>
      <c r="V36" s="55"/>
      <c r="W36" s="55">
        <v>1</v>
      </c>
      <c r="X36" s="127">
        <f>G36/$G$42</f>
        <v>0.31783667653186121</v>
      </c>
    </row>
    <row r="37" spans="1:24">
      <c r="B37" s="9"/>
      <c r="C37" s="23"/>
      <c r="D37" s="9"/>
      <c r="E37" s="52" t="s">
        <v>577</v>
      </c>
      <c r="F37" s="337"/>
      <c r="G37" s="21"/>
      <c r="H37" s="21"/>
      <c r="I37" s="17"/>
      <c r="J37" s="542"/>
      <c r="K37" s="62"/>
      <c r="L37" s="9"/>
      <c r="M37" s="31"/>
      <c r="N37" s="12"/>
      <c r="O37" s="12"/>
      <c r="P37" s="544"/>
      <c r="Q37" s="544"/>
      <c r="R37" s="49"/>
      <c r="S37" s="52"/>
      <c r="T37" s="12"/>
      <c r="U37" s="12"/>
      <c r="V37" s="31"/>
      <c r="W37" s="31"/>
      <c r="X37" s="127"/>
    </row>
    <row r="38" spans="1:24">
      <c r="B38" s="9"/>
      <c r="C38" s="23"/>
      <c r="D38" s="9"/>
      <c r="E38" s="52" t="s">
        <v>859</v>
      </c>
      <c r="F38" s="337"/>
      <c r="G38" s="21"/>
      <c r="H38" s="21"/>
      <c r="I38" s="17"/>
      <c r="J38" s="31"/>
      <c r="K38" s="31"/>
      <c r="L38" s="31"/>
      <c r="M38" s="31"/>
      <c r="N38" s="12"/>
      <c r="O38" s="12"/>
      <c r="P38" s="49"/>
      <c r="Q38" s="49"/>
      <c r="R38" s="49"/>
      <c r="S38" s="31"/>
      <c r="T38" s="12"/>
      <c r="U38" s="12"/>
      <c r="V38" s="31"/>
      <c r="W38" s="31"/>
      <c r="X38" s="127"/>
    </row>
    <row r="39" spans="1:24">
      <c r="B39" s="9"/>
      <c r="C39" s="23"/>
      <c r="D39" s="9"/>
      <c r="E39" s="52" t="s">
        <v>570</v>
      </c>
      <c r="F39" s="337"/>
      <c r="G39" s="21"/>
      <c r="H39" s="21"/>
      <c r="I39" s="17"/>
      <c r="J39" s="31"/>
      <c r="K39" s="31"/>
      <c r="L39" s="31"/>
      <c r="M39" s="31"/>
      <c r="N39" s="12"/>
      <c r="O39" s="12"/>
      <c r="P39" s="49"/>
      <c r="Q39" s="49"/>
      <c r="R39" s="49"/>
      <c r="S39" s="31"/>
      <c r="T39" s="12"/>
      <c r="U39" s="12"/>
      <c r="V39" s="31"/>
      <c r="W39" s="31"/>
      <c r="X39" s="127"/>
    </row>
    <row r="40" spans="1:24">
      <c r="B40" s="9"/>
      <c r="C40" s="23"/>
      <c r="D40" s="9"/>
      <c r="E40" s="52" t="s">
        <v>92</v>
      </c>
      <c r="F40" s="337"/>
      <c r="G40" s="21"/>
      <c r="H40" s="21"/>
      <c r="I40" s="17"/>
      <c r="J40" s="31"/>
      <c r="K40" s="31"/>
      <c r="L40" s="31"/>
      <c r="M40" s="31"/>
      <c r="N40" s="12"/>
      <c r="O40" s="12"/>
      <c r="P40" s="49"/>
      <c r="Q40" s="49"/>
      <c r="R40" s="49"/>
      <c r="S40" s="31"/>
      <c r="T40" s="12"/>
      <c r="U40" s="12"/>
      <c r="V40" s="31"/>
      <c r="W40" s="31"/>
      <c r="X40" s="127"/>
    </row>
    <row r="41" spans="1:24">
      <c r="B41" s="9"/>
      <c r="C41" s="23"/>
      <c r="D41" s="9"/>
      <c r="E41" s="52" t="s">
        <v>979</v>
      </c>
      <c r="F41" s="337"/>
      <c r="G41" s="21"/>
      <c r="H41" s="21"/>
      <c r="I41" s="17"/>
      <c r="J41" s="31"/>
      <c r="K41" s="31"/>
      <c r="L41" s="31"/>
      <c r="M41" s="31"/>
      <c r="N41" s="12"/>
      <c r="O41" s="12"/>
      <c r="P41" s="49"/>
      <c r="Q41" s="49"/>
      <c r="R41" s="49"/>
      <c r="S41" s="31"/>
      <c r="T41" s="12"/>
      <c r="U41" s="12"/>
      <c r="V41" s="31"/>
      <c r="W41" s="31"/>
      <c r="X41" s="127"/>
    </row>
    <row r="42" spans="1:24">
      <c r="B42" s="192" t="s">
        <v>902</v>
      </c>
      <c r="C42" s="198"/>
      <c r="D42" s="198"/>
      <c r="E42" s="198"/>
      <c r="F42" s="200" t="s">
        <v>784</v>
      </c>
      <c r="G42" s="199">
        <f>SUM(G8:G41)</f>
        <v>110.82698906351288</v>
      </c>
      <c r="H42" s="199">
        <f>SUM(H8:H41)</f>
        <v>98.683952711930985</v>
      </c>
      <c r="I42" s="199"/>
      <c r="J42" s="200"/>
      <c r="K42" s="199">
        <f>SUM(K8:K41)</f>
        <v>96.840599233449268</v>
      </c>
      <c r="L42" s="199">
        <f>SUM(L8:L41)</f>
        <v>85.667123515076796</v>
      </c>
      <c r="M42" s="198"/>
      <c r="N42" s="201"/>
      <c r="O42" s="198"/>
      <c r="P42" s="199">
        <f>SUM(P8:P41)</f>
        <v>82.154289812625876</v>
      </c>
      <c r="Q42" s="199">
        <f>SUM(Q8:Q41)</f>
        <v>76.459212940080434</v>
      </c>
      <c r="R42" s="198"/>
      <c r="S42" s="198"/>
      <c r="T42" s="198"/>
      <c r="U42" s="198"/>
      <c r="V42" s="198"/>
      <c r="W42" s="198"/>
    </row>
    <row r="43" spans="1:24">
      <c r="I43" s="2"/>
      <c r="K43" s="2"/>
      <c r="N43" s="4"/>
    </row>
    <row r="44" spans="1:24">
      <c r="G44" s="2"/>
    </row>
  </sheetData>
  <phoneticPr fontId="25" type="noConversion"/>
  <pageMargins left="0.75" right="0.75" top="1" bottom="1" header="0.5" footer="0.5"/>
  <pageSetup paperSize="9" orientation="portrait" verticalDpi="0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B34"/>
  <sheetViews>
    <sheetView topLeftCell="B1"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5.42578125" customWidth="1"/>
    <col min="3" max="3" width="32.85546875" customWidth="1"/>
    <col min="4" max="5" width="10.7109375" customWidth="1"/>
    <col min="6" max="7" width="7.7109375" customWidth="1"/>
  </cols>
  <sheetData>
    <row r="1" spans="1:28" ht="18">
      <c r="A1" s="5" t="s">
        <v>876</v>
      </c>
      <c r="E1" s="216"/>
      <c r="F1" s="216"/>
      <c r="G1" s="216"/>
    </row>
    <row r="2" spans="1:28">
      <c r="E2" s="216"/>
      <c r="F2" s="216"/>
      <c r="G2" s="216"/>
    </row>
    <row r="3" spans="1:28">
      <c r="E3" s="216"/>
      <c r="F3" s="216"/>
      <c r="G3" s="216"/>
    </row>
    <row r="4" spans="1:28">
      <c r="E4" s="216"/>
      <c r="F4" s="216"/>
      <c r="G4" s="216"/>
      <c r="S4" s="12">
        <v>1</v>
      </c>
      <c r="T4" t="s">
        <v>146</v>
      </c>
    </row>
    <row r="5" spans="1:28" ht="18">
      <c r="A5" s="8"/>
      <c r="B5" s="10"/>
      <c r="C5" s="11"/>
      <c r="E5" s="216"/>
      <c r="G5" s="216"/>
      <c r="J5" t="s">
        <v>784</v>
      </c>
    </row>
    <row r="6" spans="1:28" ht="18">
      <c r="B6" s="86" t="s">
        <v>11</v>
      </c>
      <c r="C6" s="88"/>
      <c r="D6" s="123"/>
      <c r="F6" s="225" t="str">
        <f>"~FI_T: "&amp;Region</f>
        <v>~FI_T: FIN</v>
      </c>
      <c r="G6" s="225"/>
      <c r="H6" s="1" t="s">
        <v>784</v>
      </c>
      <c r="J6" s="1" t="s">
        <v>784</v>
      </c>
      <c r="K6" s="1" t="s">
        <v>784</v>
      </c>
      <c r="L6" s="1" t="s">
        <v>784</v>
      </c>
      <c r="N6" s="1" t="s">
        <v>784</v>
      </c>
      <c r="O6" s="1"/>
      <c r="R6" s="1"/>
      <c r="S6" s="1"/>
    </row>
    <row r="7" spans="1:28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45" t="s">
        <v>723</v>
      </c>
      <c r="G7" s="335" t="s">
        <v>391</v>
      </c>
      <c r="H7" s="64" t="str">
        <f ca="1">CONCATENATE("\I:",IEA_Year," final energy")</f>
        <v>\I:2010 final energy</v>
      </c>
      <c r="I7" s="64" t="str">
        <f ca="1">CONCATENATE("\I:",AuxYear," final energy")</f>
        <v>\I:2017 final energy</v>
      </c>
      <c r="J7" s="64" t="str">
        <f ca="1">CONCATENATE("\I:",IEA_Year," EFF")</f>
        <v>\I:2010 EFF</v>
      </c>
      <c r="K7" s="64" t="s">
        <v>390</v>
      </c>
      <c r="L7" s="64" t="str">
        <f ca="1">CONCATENATE("\I:",BaseYear," Service Demand")</f>
        <v>\I:2010 Service Demand</v>
      </c>
      <c r="M7" s="64" t="str">
        <f ca="1">CONCATENATE("\I:",AuxData!$D$2," service demand")</f>
        <v>\I:2017 service demand</v>
      </c>
      <c r="N7" s="45" t="s">
        <v>388</v>
      </c>
      <c r="O7" s="45" t="str">
        <f ca="1">"INPUT~"&amp;AuxYear</f>
        <v>INPUT~2017</v>
      </c>
      <c r="P7" s="45" t="s">
        <v>1270</v>
      </c>
      <c r="Q7" s="45" t="s">
        <v>1272</v>
      </c>
      <c r="R7" s="45" t="s">
        <v>556</v>
      </c>
      <c r="S7" s="45" t="str">
        <f ca="1">"ACT_BND~"&amp;BaseYear</f>
        <v>ACT_BND~2010</v>
      </c>
      <c r="T7" s="45" t="str">
        <f ca="1">"ACT_BND~"&amp;AuxYear</f>
        <v>ACT_BND~2017</v>
      </c>
      <c r="U7" s="45" t="s">
        <v>1269</v>
      </c>
      <c r="V7" s="45" t="s">
        <v>1268</v>
      </c>
      <c r="W7" s="45" t="s">
        <v>51</v>
      </c>
      <c r="X7" s="45" t="s">
        <v>499</v>
      </c>
      <c r="Y7" s="45" t="str">
        <f ca="1">"FLO_MARK~"&amp;AuxYear</f>
        <v>FLO_MARK~2017</v>
      </c>
      <c r="Z7" s="45" t="str">
        <f ca="1">"FLO_MARK~"&amp;CEILING(AuxYear+17,5)</f>
        <v>FLO_MARK~2035</v>
      </c>
      <c r="AA7" s="45" t="s">
        <v>1271</v>
      </c>
      <c r="AB7" s="126" t="s">
        <v>959</v>
      </c>
    </row>
    <row r="8" spans="1:28">
      <c r="A8" s="221"/>
      <c r="B8" s="264" t="str">
        <f>E9&amp;RIGHT(D8,3)&amp;"000"</f>
        <v>IMISELC000</v>
      </c>
      <c r="C8" s="520" t="s">
        <v>678</v>
      </c>
      <c r="D8" s="52" t="s">
        <v>1245</v>
      </c>
      <c r="E8" s="52"/>
      <c r="F8" s="410" t="s">
        <v>725</v>
      </c>
      <c r="G8" s="339">
        <f ca="1">MATCH("IND"&amp;RIGHT($D8,3),Calibration!$C$209:$U$209,0)</f>
        <v>1</v>
      </c>
      <c r="H8" s="53">
        <f ca="1">VLOOKUP($E9,Calibration!$A$211:$U$215,$G8+2,0)</f>
        <v>5.8082681893631065</v>
      </c>
      <c r="I8" s="53">
        <f ca="1">VLOOKUP($E9,Calibrati2!$A$211:$U$215,$G8+2,0)</f>
        <v>5.6314338841204297</v>
      </c>
      <c r="J8" s="55">
        <f ca="1">INDEX(Calibration!$C$210:$U$210,G8)</f>
        <v>0.86</v>
      </c>
      <c r="K8" s="55">
        <v>1</v>
      </c>
      <c r="L8" s="544">
        <f>H8*J8</f>
        <v>4.9951106428522714</v>
      </c>
      <c r="M8" s="544">
        <f>I8*K8*J8</f>
        <v>4.8430331403435698</v>
      </c>
      <c r="N8" s="542">
        <f>1/J8</f>
        <v>1.1627906976744187</v>
      </c>
      <c r="O8" s="542">
        <f>1/J8/K8</f>
        <v>1.1627906976744187</v>
      </c>
      <c r="P8" s="57">
        <f>O8*0.985</f>
        <v>1.1453488372093024</v>
      </c>
      <c r="Q8" s="49">
        <v>0.7</v>
      </c>
      <c r="R8" s="12">
        <v>30</v>
      </c>
      <c r="S8" s="544">
        <f>L8*0.99</f>
        <v>4.9451595364237484</v>
      </c>
      <c r="T8" s="544">
        <f>M8*0.99</f>
        <v>4.7946028089401338</v>
      </c>
      <c r="U8" s="411">
        <f>S8*0.15</f>
        <v>0.74177393046356221</v>
      </c>
      <c r="V8" s="49">
        <v>1</v>
      </c>
      <c r="W8" s="12"/>
      <c r="X8" s="12"/>
      <c r="Y8" s="17"/>
      <c r="Z8" s="17"/>
      <c r="AA8" s="17"/>
      <c r="AB8" s="127">
        <f>H8/$H$33</f>
        <v>5.8302791340647073E-2</v>
      </c>
    </row>
    <row r="9" spans="1:28">
      <c r="B9" s="52"/>
      <c r="C9" s="520"/>
      <c r="D9" s="52"/>
      <c r="E9" s="52" t="s">
        <v>579</v>
      </c>
      <c r="F9" s="410" t="s">
        <v>725</v>
      </c>
      <c r="G9" s="339"/>
      <c r="H9" s="53"/>
      <c r="I9" s="53"/>
      <c r="J9" s="55"/>
      <c r="K9" s="55"/>
      <c r="L9" s="544"/>
      <c r="M9" s="9"/>
      <c r="N9" s="542"/>
      <c r="O9" s="542"/>
      <c r="P9" s="57"/>
      <c r="Q9" s="49"/>
      <c r="R9" s="12"/>
      <c r="S9" s="544"/>
      <c r="T9" s="544"/>
      <c r="U9" s="49"/>
      <c r="V9" s="49"/>
      <c r="W9" s="12"/>
      <c r="X9" s="12"/>
      <c r="Y9" s="17">
        <f>MIN(1/(1+L10/L8),1/(1+M10/M8)-0.005)</f>
        <v>0.84467893621638679</v>
      </c>
      <c r="Z9" s="17">
        <f>Y9*0.8</f>
        <v>0.6757431489731095</v>
      </c>
      <c r="AA9" s="17">
        <f>Z9*0.7</f>
        <v>0.47302020428117664</v>
      </c>
      <c r="AB9" s="127"/>
    </row>
    <row r="10" spans="1:28">
      <c r="A10" s="221"/>
      <c r="B10" s="264" t="str">
        <f>E11&amp;RIGHT(D10,3)&amp;"000"</f>
        <v>IMISOIL000</v>
      </c>
      <c r="C10" s="520" t="s">
        <v>677</v>
      </c>
      <c r="D10" s="52" t="s">
        <v>826</v>
      </c>
      <c r="E10" s="52"/>
      <c r="F10" s="410" t="s">
        <v>440</v>
      </c>
      <c r="G10" s="339">
        <f ca="1">MATCH($D10,Calibration!$C$209:$U$209,0)</f>
        <v>11</v>
      </c>
      <c r="H10" s="53">
        <f ca="1">VLOOKUP($E11,Calibration!$A$211:$U$215,$G10+2,0)</f>
        <v>7.5956010686809836E-2</v>
      </c>
      <c r="I10" s="53">
        <f ca="1">VLOOKUP($E11,Calibrati2!$A$211:$U$215,$G10+2,0)</f>
        <v>6.2688106229598334E-2</v>
      </c>
      <c r="J10" s="55">
        <f ca="1">INDEX(Calibration!$C$210:$U$210,G10)</f>
        <v>0.35</v>
      </c>
      <c r="K10" s="55">
        <v>1</v>
      </c>
      <c r="L10" s="544">
        <f>SUM(H10:H12)*J10</f>
        <v>0.78853669784345892</v>
      </c>
      <c r="M10" s="544">
        <f>SUM(I10:I12)*K10*J10</f>
        <v>0.85680586226788247</v>
      </c>
      <c r="N10" s="542">
        <f>IF(H10&gt;0,H10/L10,0)</f>
        <v>9.6325270459243356E-2</v>
      </c>
      <c r="O10" s="542">
        <f>IF(I10&gt;0,I10/M10,0)</f>
        <v>7.3164889492783075E-2</v>
      </c>
      <c r="P10" s="57"/>
      <c r="Q10" s="49">
        <v>0.7</v>
      </c>
      <c r="R10" s="12">
        <v>30</v>
      </c>
      <c r="S10" s="544">
        <f>L10</f>
        <v>0.78853669784345892</v>
      </c>
      <c r="T10" s="544">
        <f>M10</f>
        <v>0.85680586226788247</v>
      </c>
      <c r="U10" s="49">
        <v>0</v>
      </c>
      <c r="V10" s="49">
        <v>3</v>
      </c>
      <c r="W10" s="12"/>
      <c r="X10" s="12"/>
      <c r="Y10" s="12"/>
      <c r="Z10" s="12"/>
      <c r="AA10" s="12"/>
      <c r="AB10" s="127"/>
    </row>
    <row r="11" spans="1:28">
      <c r="A11" s="221"/>
      <c r="B11" s="52"/>
      <c r="C11" s="520"/>
      <c r="D11" s="52" t="s">
        <v>907</v>
      </c>
      <c r="E11" s="52" t="s">
        <v>579</v>
      </c>
      <c r="F11" s="410"/>
      <c r="G11" s="339">
        <f ca="1">MATCH($D11,Calibration!$C$209:$U$209,0)</f>
        <v>3</v>
      </c>
      <c r="H11" s="53">
        <f ca="1">VLOOKUP($E11,Calibration!$A$211:$U$215,$G11+2,0)</f>
        <v>2.1770059831516444</v>
      </c>
      <c r="I11" s="53">
        <f ca="1">VLOOKUP($E11,Calibrati2!$A$211:$U$215,$G11+2,0)</f>
        <v>2.3853286431072087</v>
      </c>
      <c r="J11" s="55"/>
      <c r="K11" s="55"/>
      <c r="L11" s="544"/>
      <c r="M11" s="9"/>
      <c r="N11" s="542">
        <f>IF(H11&gt;0,H11/L10,0)</f>
        <v>2.760817586683614</v>
      </c>
      <c r="O11" s="542">
        <f>IF(I11&gt;0,I11/M10,0)</f>
        <v>2.783977967650074</v>
      </c>
      <c r="P11" s="57"/>
      <c r="Q11" s="49"/>
      <c r="R11" s="12"/>
      <c r="S11" s="544"/>
      <c r="T11" s="544"/>
      <c r="U11" s="49"/>
      <c r="V11" s="49"/>
      <c r="W11" s="12"/>
      <c r="X11" s="12"/>
      <c r="Y11" s="12"/>
      <c r="Z11" s="12"/>
      <c r="AA11" s="12"/>
      <c r="AB11" s="127"/>
    </row>
    <row r="12" spans="1:28">
      <c r="A12" s="221"/>
      <c r="B12" s="52"/>
      <c r="C12" s="520"/>
      <c r="D12" s="52" t="s">
        <v>915</v>
      </c>
      <c r="E12" s="52"/>
      <c r="F12" s="410"/>
      <c r="G12" s="339">
        <f ca="1">MATCH($D12,Calibration!$C$209:$U$209,0)</f>
        <v>13</v>
      </c>
      <c r="H12" s="53">
        <f ca="1">VLOOKUP($E11,Calibration!$A$211:$U$215,$G12+2,0)</f>
        <v>0</v>
      </c>
      <c r="I12" s="53">
        <f ca="1">VLOOKUP($E11,Calibrati2!$A$211:$U$215,$G12+2,0)</f>
        <v>0</v>
      </c>
      <c r="J12" s="55"/>
      <c r="K12" s="55"/>
      <c r="L12" s="544"/>
      <c r="M12" s="9"/>
      <c r="N12" s="542">
        <f>IF(H12&gt;0,H12/L10,0)</f>
        <v>0</v>
      </c>
      <c r="O12" s="542">
        <f>IF(I12&gt;0,I12/M10,0)</f>
        <v>0</v>
      </c>
      <c r="P12" s="57"/>
      <c r="Q12" s="49"/>
      <c r="R12" s="12"/>
      <c r="S12" s="544"/>
      <c r="T12" s="544"/>
      <c r="U12" s="49"/>
      <c r="V12" s="49"/>
      <c r="W12" s="12"/>
      <c r="X12" s="12"/>
      <c r="Y12" s="12"/>
      <c r="Z12" s="12"/>
      <c r="AA12" s="12"/>
      <c r="AB12" s="127"/>
    </row>
    <row r="13" spans="1:28">
      <c r="A13" s="221"/>
      <c r="B13" s="264" t="str">
        <f>E14&amp;RIGHT(D13,3)&amp;"000"</f>
        <v>IMNFELC000</v>
      </c>
      <c r="C13" s="520" t="s">
        <v>678</v>
      </c>
      <c r="D13" s="52" t="s">
        <v>1246</v>
      </c>
      <c r="E13" s="52"/>
      <c r="F13" s="410" t="s">
        <v>725</v>
      </c>
      <c r="G13" s="339">
        <f ca="1">G$8</f>
        <v>1</v>
      </c>
      <c r="H13" s="53">
        <f ca="1">VLOOKUP($E14,Calibration!$A$211:$U$215,$G13+2,0)</f>
        <v>1.9673838512396067</v>
      </c>
      <c r="I13" s="53">
        <f ca="1">VLOOKUP($E14,Calibrati2!$A$211:$U$215,$G13+2,0)</f>
        <v>1.4782811722796663</v>
      </c>
      <c r="J13" s="55">
        <f ca="1">INDEX(Calibration!$C$210:$U$210,G13)</f>
        <v>0.86</v>
      </c>
      <c r="K13" s="55">
        <v>1</v>
      </c>
      <c r="L13" s="544">
        <f>H13*J13</f>
        <v>1.6919501120660618</v>
      </c>
      <c r="M13" s="544">
        <f>I13*K13*J13</f>
        <v>1.2713218081605129</v>
      </c>
      <c r="N13" s="542">
        <f>1/J13/K13</f>
        <v>1.1627906976744187</v>
      </c>
      <c r="O13" s="542">
        <f>1/J13/K13</f>
        <v>1.1627906976744187</v>
      </c>
      <c r="P13" s="57">
        <f>O13*0.985</f>
        <v>1.1453488372093024</v>
      </c>
      <c r="Q13" s="49">
        <v>0.7</v>
      </c>
      <c r="R13" s="12">
        <v>30</v>
      </c>
      <c r="S13" s="544">
        <f>L13*0.99</f>
        <v>1.6750306109454012</v>
      </c>
      <c r="T13" s="544">
        <f>M13*0.99</f>
        <v>1.2586085900789077</v>
      </c>
      <c r="U13" s="411">
        <f>S13*0.15</f>
        <v>0.25125459164181019</v>
      </c>
      <c r="V13" s="49">
        <v>1</v>
      </c>
      <c r="W13" s="12"/>
      <c r="X13" s="12"/>
      <c r="Y13" s="17"/>
      <c r="Z13" s="17"/>
      <c r="AA13" s="17"/>
      <c r="AB13" s="127">
        <f>H13/$H$33</f>
        <v>1.9748394259039723E-2</v>
      </c>
    </row>
    <row r="14" spans="1:28">
      <c r="A14" s="221"/>
      <c r="B14" s="52"/>
      <c r="C14" s="520"/>
      <c r="D14" s="52"/>
      <c r="E14" s="52" t="s">
        <v>862</v>
      </c>
      <c r="F14" s="410" t="s">
        <v>725</v>
      </c>
      <c r="G14" s="339"/>
      <c r="H14" s="53"/>
      <c r="I14" s="53"/>
      <c r="J14" s="55"/>
      <c r="K14" s="55"/>
      <c r="L14" s="544"/>
      <c r="M14" s="9"/>
      <c r="N14" s="542"/>
      <c r="O14" s="542"/>
      <c r="P14" s="57"/>
      <c r="Q14" s="49"/>
      <c r="R14" s="12"/>
      <c r="S14" s="544"/>
      <c r="T14" s="544"/>
      <c r="U14" s="49"/>
      <c r="V14" s="49"/>
      <c r="W14" s="12"/>
      <c r="X14" s="12"/>
      <c r="Y14" s="17">
        <f>MIN(1/(1+L15/L13),1/(1+M15/M13)-0.005)</f>
        <v>0.93668223438724352</v>
      </c>
      <c r="Z14" s="17">
        <f>Y14*0.8</f>
        <v>0.74934578750979486</v>
      </c>
      <c r="AA14" s="17">
        <f>Z14*0.7</f>
        <v>0.52454205125685638</v>
      </c>
      <c r="AB14" s="127"/>
    </row>
    <row r="15" spans="1:28">
      <c r="A15" s="221"/>
      <c r="B15" s="264" t="str">
        <f>E16&amp;RIGHT(D15,3)&amp;"000"</f>
        <v>IMNFOIL000</v>
      </c>
      <c r="C15" s="520" t="s">
        <v>677</v>
      </c>
      <c r="D15" s="52" t="s">
        <v>826</v>
      </c>
      <c r="E15" s="52"/>
      <c r="F15" s="410" t="s">
        <v>440</v>
      </c>
      <c r="G15" s="339">
        <f ca="1">G$10</f>
        <v>11</v>
      </c>
      <c r="H15" s="53">
        <f ca="1">VLOOKUP($E16,Calibration!$A$211:$U$215,$G15+2,0)</f>
        <v>0</v>
      </c>
      <c r="I15" s="53">
        <f ca="1">VLOOKUP($E16,Calibrati2!$A$211:$U$215,$G15+2,0)</f>
        <v>0</v>
      </c>
      <c r="J15" s="55">
        <f ca="1">INDEX(Calibration!$C$210:$U$210,G15)</f>
        <v>0.35</v>
      </c>
      <c r="K15" s="55">
        <v>1</v>
      </c>
      <c r="L15" s="544">
        <f>SUM(H15:H17)*J15</f>
        <v>5.8518045258297374E-2</v>
      </c>
      <c r="M15" s="544">
        <f>SUM(I15:I17)*K15*J15</f>
        <v>7.8732129076358848E-2</v>
      </c>
      <c r="N15" s="542">
        <f>IF(H15&gt;0,H15/L15,0)</f>
        <v>0</v>
      </c>
      <c r="O15" s="542">
        <f>IF(I15&gt;0,I15/M15,0)</f>
        <v>0</v>
      </c>
      <c r="P15" s="57"/>
      <c r="Q15" s="49">
        <v>0.7</v>
      </c>
      <c r="R15" s="12">
        <v>30</v>
      </c>
      <c r="S15" s="544">
        <f>L15</f>
        <v>5.8518045258297374E-2</v>
      </c>
      <c r="T15" s="544">
        <f>M15</f>
        <v>7.8732129076358848E-2</v>
      </c>
      <c r="U15" s="49">
        <v>0</v>
      </c>
      <c r="V15" s="49">
        <v>3</v>
      </c>
      <c r="W15" s="12"/>
      <c r="X15" s="12"/>
      <c r="Y15" s="12"/>
      <c r="Z15" s="12"/>
      <c r="AA15" s="12"/>
      <c r="AB15" s="127"/>
    </row>
    <row r="16" spans="1:28">
      <c r="A16" s="221"/>
      <c r="B16" s="52"/>
      <c r="C16" s="520"/>
      <c r="D16" s="52" t="s">
        <v>907</v>
      </c>
      <c r="E16" s="52" t="s">
        <v>862</v>
      </c>
      <c r="F16" s="410"/>
      <c r="G16" s="339">
        <f ca="1">G$11</f>
        <v>3</v>
      </c>
      <c r="H16" s="53">
        <f ca="1">VLOOKUP($E16,Calibration!$A$211:$U$215,$G16+2,0)</f>
        <v>0.1671944150237068</v>
      </c>
      <c r="I16" s="53">
        <f ca="1">VLOOKUP($E16,Calibrati2!$A$211:$U$215,$G16+2,0)</f>
        <v>0.22494894021816816</v>
      </c>
      <c r="J16" s="55"/>
      <c r="K16" s="55"/>
      <c r="L16" s="544"/>
      <c r="M16" s="9"/>
      <c r="N16" s="542">
        <f>IF(H16&gt;0,H16/L15,0)</f>
        <v>2.8571428571428572</v>
      </c>
      <c r="O16" s="542">
        <f>IF(I16&gt;0,I16/M15,0)</f>
        <v>2.8571428571428577</v>
      </c>
      <c r="P16" s="57"/>
      <c r="Q16" s="49"/>
      <c r="R16" s="12"/>
      <c r="S16" s="544"/>
      <c r="T16" s="544"/>
      <c r="U16" s="49"/>
      <c r="V16" s="49"/>
      <c r="W16" s="12"/>
      <c r="X16" s="12"/>
      <c r="Y16" s="12"/>
      <c r="Z16" s="12"/>
      <c r="AA16" s="12"/>
      <c r="AB16" s="127"/>
    </row>
    <row r="17" spans="1:28">
      <c r="A17" s="221"/>
      <c r="B17" s="52"/>
      <c r="C17" s="520"/>
      <c r="D17" s="52" t="s">
        <v>915</v>
      </c>
      <c r="E17" s="52"/>
      <c r="F17" s="410"/>
      <c r="G17" s="339">
        <f ca="1">G$12</f>
        <v>13</v>
      </c>
      <c r="H17" s="53">
        <f ca="1">VLOOKUP($E16,Calibration!$A$211:$U$215,$G17+2,0)</f>
        <v>0</v>
      </c>
      <c r="I17" s="53">
        <f ca="1">VLOOKUP($E16,Calibrati2!$A$211:$U$215,$G17+2,0)</f>
        <v>0</v>
      </c>
      <c r="J17" s="55"/>
      <c r="K17" s="55"/>
      <c r="L17" s="544"/>
      <c r="M17" s="9"/>
      <c r="N17" s="542">
        <f>IF(H17&gt;0,H17/L15,0)</f>
        <v>0</v>
      </c>
      <c r="O17" s="542">
        <f>IF(I17&gt;0,I17/M15,0)</f>
        <v>0</v>
      </c>
      <c r="P17" s="57"/>
      <c r="Q17" s="49"/>
      <c r="R17" s="12"/>
      <c r="S17" s="544"/>
      <c r="T17" s="544"/>
      <c r="U17" s="49"/>
      <c r="V17" s="49"/>
      <c r="W17" s="12"/>
      <c r="X17" s="12"/>
      <c r="Y17" s="12"/>
      <c r="Z17" s="12"/>
      <c r="AA17" s="12"/>
      <c r="AB17" s="127"/>
    </row>
    <row r="18" spans="1:28">
      <c r="A18" s="221"/>
      <c r="B18" s="264" t="str">
        <f>E19&amp;RIGHT(D18,3)&amp;"000"</f>
        <v>IMCHELC000</v>
      </c>
      <c r="C18" s="520" t="s">
        <v>678</v>
      </c>
      <c r="D18" s="52" t="s">
        <v>1248</v>
      </c>
      <c r="E18" s="52"/>
      <c r="F18" s="410" t="s">
        <v>725</v>
      </c>
      <c r="G18" s="339">
        <f ca="1">G$8</f>
        <v>1</v>
      </c>
      <c r="H18" s="53">
        <f ca="1">VLOOKUP($E19,Calibration!$A$211:$U$215,$G18+2,0)</f>
        <v>11.058855427424303</v>
      </c>
      <c r="I18" s="53">
        <f ca="1">VLOOKUP($E19,Calibrati2!$A$211:$U$215,$G18+2,0)</f>
        <v>10.319389833077258</v>
      </c>
      <c r="J18" s="55">
        <f ca="1">INDEX(Calibration!$C$210:$U$210,G18)</f>
        <v>0.86</v>
      </c>
      <c r="K18" s="55">
        <v>1</v>
      </c>
      <c r="L18" s="544">
        <f>H18*J18</f>
        <v>9.5106156675849007</v>
      </c>
      <c r="M18" s="544">
        <f>I18*K18*J18</f>
        <v>8.8746752564464426</v>
      </c>
      <c r="N18" s="542">
        <f>1/J18/K18</f>
        <v>1.1627906976744187</v>
      </c>
      <c r="O18" s="542">
        <f>1/J18/K18</f>
        <v>1.1627906976744187</v>
      </c>
      <c r="P18" s="57">
        <f>O18*0.985</f>
        <v>1.1453488372093024</v>
      </c>
      <c r="Q18" s="49">
        <v>0.7</v>
      </c>
      <c r="R18" s="12">
        <v>30</v>
      </c>
      <c r="S18" s="544">
        <f>L18*0.99</f>
        <v>9.4155095109090521</v>
      </c>
      <c r="T18" s="544">
        <f>M18*0.99</f>
        <v>8.7859285038819781</v>
      </c>
      <c r="U18" s="411">
        <f>S18*0.15</f>
        <v>1.4123264266363578</v>
      </c>
      <c r="V18" s="49">
        <v>1</v>
      </c>
      <c r="W18" s="12"/>
      <c r="X18" s="12"/>
      <c r="Y18" s="17"/>
      <c r="Z18" s="17"/>
      <c r="AA18" s="17"/>
      <c r="AB18" s="127">
        <f>H18/$H$33</f>
        <v>0.11100763935664644</v>
      </c>
    </row>
    <row r="19" spans="1:28">
      <c r="A19" s="221"/>
      <c r="B19" s="52"/>
      <c r="C19" s="520"/>
      <c r="D19" s="52"/>
      <c r="E19" s="52" t="s">
        <v>572</v>
      </c>
      <c r="F19" s="410" t="s">
        <v>725</v>
      </c>
      <c r="G19" s="339"/>
      <c r="H19" s="53"/>
      <c r="I19" s="53"/>
      <c r="J19" s="55"/>
      <c r="K19" s="55"/>
      <c r="L19" s="544"/>
      <c r="M19" s="9"/>
      <c r="N19" s="542"/>
      <c r="O19" s="542"/>
      <c r="P19" s="57"/>
      <c r="Q19" s="49"/>
      <c r="R19" s="12"/>
      <c r="S19" s="544"/>
      <c r="T19" s="544"/>
      <c r="U19" s="49"/>
      <c r="V19" s="49"/>
      <c r="W19" s="12"/>
      <c r="X19" s="12"/>
      <c r="Y19" s="17">
        <f>MIN(1/(1+L20/L18),1/(1+M20/M18)-0.005)</f>
        <v>0.92778967587290606</v>
      </c>
      <c r="Z19" s="17">
        <f>Y19*0.8</f>
        <v>0.74223174069832487</v>
      </c>
      <c r="AA19" s="17">
        <f>Z19*0.7</f>
        <v>0.51956221848882733</v>
      </c>
      <c r="AB19" s="127"/>
    </row>
    <row r="20" spans="1:28">
      <c r="A20" s="221"/>
      <c r="B20" s="264" t="str">
        <f>E21&amp;RIGHT(D20,3)&amp;"000"</f>
        <v>IMCHOIL000</v>
      </c>
      <c r="C20" s="520" t="s">
        <v>677</v>
      </c>
      <c r="D20" s="52" t="s">
        <v>826</v>
      </c>
      <c r="E20" s="52"/>
      <c r="F20" s="410" t="s">
        <v>440</v>
      </c>
      <c r="G20" s="339">
        <f ca="1">G$10</f>
        <v>11</v>
      </c>
      <c r="H20" s="53">
        <f ca="1">VLOOKUP($E21,Calibration!$A$211:$U$215,$G20+2,0)</f>
        <v>1.4470204142834434E-2</v>
      </c>
      <c r="I20" s="53">
        <f ca="1">VLOOKUP($E21,Calibrati2!$A$211:$U$215,$G20+2,0)</f>
        <v>1.4544953211605306E-2</v>
      </c>
      <c r="J20" s="55">
        <f ca="1">INDEX(Calibration!$C$210:$U$210,G20)</f>
        <v>0.35</v>
      </c>
      <c r="K20" s="55">
        <v>1</v>
      </c>
      <c r="L20" s="544">
        <f>SUM(H20:H22)*J20</f>
        <v>5.0645714499920518E-3</v>
      </c>
      <c r="M20" s="544">
        <f>SUM(I20:I22)*K20*J20</f>
        <v>0.63944725797944535</v>
      </c>
      <c r="N20" s="542">
        <f>IF(H20&gt;0,H20/L20,0)</f>
        <v>2.8571428571428572</v>
      </c>
      <c r="O20" s="542">
        <f>IF(I20&gt;0,I20/M20,0)</f>
        <v>2.2746134306002207E-2</v>
      </c>
      <c r="P20" s="57"/>
      <c r="Q20" s="49">
        <v>0.7</v>
      </c>
      <c r="R20" s="12">
        <v>30</v>
      </c>
      <c r="S20" s="544">
        <f>L20</f>
        <v>5.0645714499920518E-3</v>
      </c>
      <c r="T20" s="544">
        <f>M20</f>
        <v>0.63944725797944535</v>
      </c>
      <c r="U20" s="49">
        <v>0</v>
      </c>
      <c r="V20" s="49">
        <v>3</v>
      </c>
      <c r="W20" s="12"/>
      <c r="X20" s="12"/>
      <c r="Y20" s="12"/>
      <c r="Z20" s="12"/>
      <c r="AA20" s="12"/>
      <c r="AB20" s="127"/>
    </row>
    <row r="21" spans="1:28">
      <c r="A21" s="221"/>
      <c r="B21" s="52"/>
      <c r="C21" s="520"/>
      <c r="D21" s="52" t="s">
        <v>907</v>
      </c>
      <c r="E21" s="52" t="s">
        <v>572</v>
      </c>
      <c r="F21" s="410"/>
      <c r="G21" s="339">
        <f ca="1">G$11</f>
        <v>3</v>
      </c>
      <c r="H21" s="53">
        <f ca="1">VLOOKUP($E21,Calibration!$A$211:$U$215,$G21+2,0)</f>
        <v>0</v>
      </c>
      <c r="I21" s="53">
        <f ca="1">VLOOKUP($E21,Calibrati2!$A$211:$U$215,$G21+2,0)</f>
        <v>1.5106542467470048</v>
      </c>
      <c r="J21" s="55"/>
      <c r="K21" s="55"/>
      <c r="L21" s="544"/>
      <c r="M21" s="9"/>
      <c r="N21" s="542">
        <f>IF(H21&gt;0,H21/L20,0)</f>
        <v>0</v>
      </c>
      <c r="O21" s="542">
        <f>IF(I21&gt;0,I21/M20,0)</f>
        <v>2.362437602000889</v>
      </c>
      <c r="P21" s="57"/>
      <c r="Q21" s="49"/>
      <c r="R21" s="12"/>
      <c r="S21" s="544"/>
      <c r="T21" s="544"/>
      <c r="U21" s="49"/>
      <c r="V21" s="49"/>
      <c r="W21" s="12"/>
      <c r="X21" s="12"/>
      <c r="Y21" s="12"/>
      <c r="Z21" s="12"/>
      <c r="AA21" s="12"/>
      <c r="AB21" s="127"/>
    </row>
    <row r="22" spans="1:28">
      <c r="A22" s="221"/>
      <c r="B22" s="52"/>
      <c r="C22" s="520"/>
      <c r="D22" s="52" t="s">
        <v>915</v>
      </c>
      <c r="E22" s="52"/>
      <c r="F22" s="410"/>
      <c r="G22" s="339">
        <f ca="1">G$12</f>
        <v>13</v>
      </c>
      <c r="H22" s="53">
        <f ca="1">VLOOKUP($E21,Calibration!$A$211:$U$215,$G22+2,0)</f>
        <v>0</v>
      </c>
      <c r="I22" s="53">
        <f ca="1">VLOOKUP($E21,Calibrati2!$A$211:$U$215,$G22+2,0)</f>
        <v>0.30179296569694819</v>
      </c>
      <c r="J22" s="55"/>
      <c r="K22" s="55"/>
      <c r="L22" s="544"/>
      <c r="M22" s="9"/>
      <c r="N22" s="542">
        <f>IF(H22&gt;0,H22/L20,0)</f>
        <v>0</v>
      </c>
      <c r="O22" s="542">
        <f>IF(I22&gt;0,I22/M20,0)</f>
        <v>0.47195912083596603</v>
      </c>
      <c r="P22" s="57"/>
      <c r="Q22" s="49"/>
      <c r="R22" s="12"/>
      <c r="S22" s="544"/>
      <c r="T22" s="544"/>
      <c r="U22" s="49"/>
      <c r="V22" s="49"/>
      <c r="W22" s="12"/>
      <c r="X22" s="12"/>
      <c r="Y22" s="12"/>
      <c r="Z22" s="12"/>
      <c r="AA22" s="12"/>
      <c r="AB22" s="127"/>
    </row>
    <row r="23" spans="1:28">
      <c r="A23" s="221"/>
      <c r="B23" s="264" t="str">
        <f>E24&amp;RIGHT(D23,3)&amp;"000"</f>
        <v>IMNMELC000</v>
      </c>
      <c r="C23" s="520" t="s">
        <v>678</v>
      </c>
      <c r="D23" s="52" t="s">
        <v>1247</v>
      </c>
      <c r="E23" s="52"/>
      <c r="F23" s="410" t="s">
        <v>725</v>
      </c>
      <c r="G23" s="339">
        <f ca="1">G$8</f>
        <v>1</v>
      </c>
      <c r="H23" s="53">
        <f ca="1">VLOOKUP($E24,Calibration!$A$211:$U$215,$G23+2,0)</f>
        <v>1.9632062856989332</v>
      </c>
      <c r="I23" s="53">
        <f ca="1">VLOOKUP($E24,Calibrati2!$A$211:$U$215,$G23+2,0)</f>
        <v>1.3940722521645466</v>
      </c>
      <c r="J23" s="55">
        <f ca="1">INDEX(Calibration!$C$210:$U$210,G23)</f>
        <v>0.86</v>
      </c>
      <c r="K23" s="55">
        <v>1</v>
      </c>
      <c r="L23" s="544">
        <f>H23*J23</f>
        <v>1.6883574057010826</v>
      </c>
      <c r="M23" s="544">
        <f>I23*K23*J23</f>
        <v>1.19890213686151</v>
      </c>
      <c r="N23" s="542">
        <f>1/J23/K23</f>
        <v>1.1627906976744187</v>
      </c>
      <c r="O23" s="542">
        <f>1/J23/K23</f>
        <v>1.1627906976744187</v>
      </c>
      <c r="P23" s="57">
        <f>O23*0.985</f>
        <v>1.1453488372093024</v>
      </c>
      <c r="Q23" s="49">
        <v>0.7</v>
      </c>
      <c r="R23" s="12">
        <v>30</v>
      </c>
      <c r="S23" s="544">
        <f>L23*0.99</f>
        <v>1.6714738316440718</v>
      </c>
      <c r="T23" s="544">
        <f>M23*0.99</f>
        <v>1.1869131154928949</v>
      </c>
      <c r="U23" s="411">
        <f>S23*0.15</f>
        <v>0.25072107474661076</v>
      </c>
      <c r="V23" s="49">
        <v>1</v>
      </c>
      <c r="W23" s="12"/>
      <c r="X23" s="12"/>
      <c r="Y23" s="17"/>
      <c r="Z23" s="17"/>
      <c r="AA23" s="17"/>
      <c r="AB23" s="127">
        <f>H23/$H$33</f>
        <v>1.970646029110143E-2</v>
      </c>
    </row>
    <row r="24" spans="1:28">
      <c r="A24" s="221"/>
      <c r="B24" s="52"/>
      <c r="C24" s="520"/>
      <c r="D24" s="52"/>
      <c r="E24" s="52" t="s">
        <v>653</v>
      </c>
      <c r="F24" s="410" t="s">
        <v>725</v>
      </c>
      <c r="G24" s="339"/>
      <c r="H24" s="53"/>
      <c r="I24" s="53"/>
      <c r="J24" s="55"/>
      <c r="K24" s="55"/>
      <c r="L24" s="544"/>
      <c r="M24" s="9"/>
      <c r="N24" s="542"/>
      <c r="O24" s="542"/>
      <c r="P24" s="57"/>
      <c r="Q24" s="49"/>
      <c r="R24" s="12"/>
      <c r="S24" s="544"/>
      <c r="T24" s="544"/>
      <c r="U24" s="49"/>
      <c r="V24" s="49"/>
      <c r="W24" s="12"/>
      <c r="X24" s="12"/>
      <c r="Y24" s="17">
        <f>MIN(1/(1+L25/L23),1/(1+M25/M23)-0.005)</f>
        <v>0.82130009883752098</v>
      </c>
      <c r="Z24" s="17">
        <f>Y24*0.8</f>
        <v>0.65704007907001682</v>
      </c>
      <c r="AA24" s="17">
        <f>Z24*0.7</f>
        <v>0.45992805534901177</v>
      </c>
      <c r="AB24" s="127"/>
    </row>
    <row r="25" spans="1:28">
      <c r="A25" s="221"/>
      <c r="B25" s="264" t="str">
        <f>E26&amp;RIGHT(D25,3)&amp;"000"</f>
        <v>IMNMOIL000</v>
      </c>
      <c r="C25" s="520" t="s">
        <v>677</v>
      </c>
      <c r="D25" s="52" t="s">
        <v>826</v>
      </c>
      <c r="E25" s="52"/>
      <c r="F25" s="410" t="s">
        <v>440</v>
      </c>
      <c r="G25" s="339">
        <f ca="1">G$10</f>
        <v>11</v>
      </c>
      <c r="H25" s="53">
        <f ca="1">VLOOKUP($E26,Calibration!$A$211:$U$215,$G25+2,0)</f>
        <v>0.33674284677707206</v>
      </c>
      <c r="I25" s="53">
        <f ca="1">VLOOKUP($E26,Calibrati2!$A$211:$U$215,$G25+2,0)</f>
        <v>0.16183564242165546</v>
      </c>
      <c r="J25" s="55">
        <f ca="1">INDEX(Calibration!$C$210:$U$210,G25)</f>
        <v>0.35</v>
      </c>
      <c r="K25" s="55">
        <v>1</v>
      </c>
      <c r="L25" s="544">
        <f>SUM(H25:H27)*J25</f>
        <v>0.36735573507511599</v>
      </c>
      <c r="M25" s="544">
        <f>SUM(I25:I27)*K25*J25</f>
        <v>0.23140875089399734</v>
      </c>
      <c r="N25" s="542">
        <f>IF(H25&gt;0,H25/L25,0)</f>
        <v>0.91666691063967121</v>
      </c>
      <c r="O25" s="542">
        <f>IF(I25&gt;0,I25/M25,0)</f>
        <v>0.69934970823894382</v>
      </c>
      <c r="P25" s="57"/>
      <c r="Q25" s="49">
        <v>0.7</v>
      </c>
      <c r="R25" s="12">
        <v>30</v>
      </c>
      <c r="S25" s="544">
        <f>L25</f>
        <v>0.36735573507511599</v>
      </c>
      <c r="T25" s="544">
        <f>M25</f>
        <v>0.23140875089399734</v>
      </c>
      <c r="U25" s="49">
        <v>0</v>
      </c>
      <c r="V25" s="49">
        <v>3</v>
      </c>
      <c r="W25" s="12"/>
      <c r="X25" s="12"/>
      <c r="Y25" s="12"/>
      <c r="Z25" s="12"/>
      <c r="AA25" s="12"/>
      <c r="AB25" s="127"/>
    </row>
    <row r="26" spans="1:28">
      <c r="A26" s="221"/>
      <c r="B26" s="52"/>
      <c r="C26" s="520"/>
      <c r="D26" s="52" t="s">
        <v>907</v>
      </c>
      <c r="E26" s="52" t="s">
        <v>653</v>
      </c>
      <c r="F26" s="410"/>
      <c r="G26" s="339">
        <f ca="1">G$11</f>
        <v>3</v>
      </c>
      <c r="H26" s="53">
        <f ca="1">VLOOKUP($E26,Calibration!$A$211:$U$215,$G26+2,0)</f>
        <v>0.71284496772325934</v>
      </c>
      <c r="I26" s="53">
        <f ca="1">VLOOKUP($E26,Calibrati2!$A$211:$U$215,$G26+2,0)</f>
        <v>0.49933221727547988</v>
      </c>
      <c r="J26" s="55"/>
      <c r="K26" s="55"/>
      <c r="L26" s="544"/>
      <c r="M26" s="9"/>
      <c r="N26" s="542">
        <f>IF(H26&gt;0,H26/L25,0)</f>
        <v>1.940475946503186</v>
      </c>
      <c r="O26" s="542">
        <f>IF(I26&gt;0,I26/M25,0)</f>
        <v>2.1577931489039135</v>
      </c>
      <c r="P26" s="57"/>
      <c r="Q26" s="49"/>
      <c r="R26" s="12"/>
      <c r="S26" s="544"/>
      <c r="T26" s="544"/>
      <c r="U26" s="49"/>
      <c r="V26" s="49"/>
      <c r="W26" s="12"/>
      <c r="X26" s="12"/>
      <c r="Y26" s="12"/>
      <c r="Z26" s="12"/>
      <c r="AA26" s="12"/>
      <c r="AB26" s="127"/>
    </row>
    <row r="27" spans="1:28">
      <c r="A27" s="221"/>
      <c r="B27" s="52"/>
      <c r="C27" s="520"/>
      <c r="D27" s="52" t="s">
        <v>915</v>
      </c>
      <c r="E27" s="52"/>
      <c r="F27" s="410"/>
      <c r="G27" s="339">
        <f ca="1">G$12</f>
        <v>13</v>
      </c>
      <c r="H27" s="53">
        <f ca="1">VLOOKUP($E26,Calibration!$A$211:$U$215,$G27+2,0)</f>
        <v>0</v>
      </c>
      <c r="I27" s="53">
        <f ca="1">VLOOKUP($E26,Calibrati2!$A$211:$U$215,$G27+2,0)</f>
        <v>0</v>
      </c>
      <c r="J27" s="55"/>
      <c r="K27" s="55"/>
      <c r="L27" s="544"/>
      <c r="M27" s="9"/>
      <c r="N27" s="542">
        <f>IF(H27&gt;0,H27/L25,0)</f>
        <v>0</v>
      </c>
      <c r="O27" s="542">
        <f>IF(I27&gt;0,I27/M25,0)</f>
        <v>0</v>
      </c>
      <c r="P27" s="57"/>
      <c r="Q27" s="49"/>
      <c r="R27" s="12"/>
      <c r="S27" s="544"/>
      <c r="T27" s="544"/>
      <c r="U27" s="49"/>
      <c r="V27" s="49"/>
      <c r="W27" s="12"/>
      <c r="X27" s="12"/>
      <c r="Y27" s="12"/>
      <c r="Z27" s="12"/>
      <c r="AA27" s="12"/>
      <c r="AB27" s="127"/>
    </row>
    <row r="28" spans="1:28">
      <c r="B28" s="264" t="str">
        <f>E29&amp;RIGHT(D28,3)&amp;"000"</f>
        <v>IMLPELC000</v>
      </c>
      <c r="C28" s="520" t="s">
        <v>678</v>
      </c>
      <c r="D28" s="52" t="s">
        <v>1249</v>
      </c>
      <c r="E28" s="52"/>
      <c r="F28" s="410" t="s">
        <v>725</v>
      </c>
      <c r="G28" s="339">
        <f ca="1">G$8</f>
        <v>1</v>
      </c>
      <c r="H28" s="53">
        <f ca="1">VLOOKUP($E29,Calibration!$A$211:$U$215,$G28+2,0)</f>
        <v>75.340543673109337</v>
      </c>
      <c r="I28" s="53">
        <f ca="1">VLOOKUP($E29,Calibrati2!$A$211:$U$215,$G28+2,0)</f>
        <v>68.217276219702754</v>
      </c>
      <c r="J28" s="55">
        <f ca="1">INDEX(Calibration!$C$210:$U$210,G28)</f>
        <v>0.86</v>
      </c>
      <c r="K28" s="55">
        <v>1</v>
      </c>
      <c r="L28" s="544">
        <f>H28*J28</f>
        <v>64.792867558874036</v>
      </c>
      <c r="M28" s="544">
        <f>I28*K28*J28</f>
        <v>58.666857548944364</v>
      </c>
      <c r="N28" s="542">
        <f>1/J28/K28</f>
        <v>1.1627906976744187</v>
      </c>
      <c r="O28" s="542">
        <f>1/J28/K28</f>
        <v>1.1627906976744187</v>
      </c>
      <c r="P28" s="57">
        <f>O28*0.985</f>
        <v>1.1453488372093024</v>
      </c>
      <c r="Q28" s="49">
        <v>0.7</v>
      </c>
      <c r="R28" s="12">
        <v>30</v>
      </c>
      <c r="S28" s="544">
        <f ca="1">(L28-ILP000!G$62*J28)*0.999</f>
        <v>62.138951703662556</v>
      </c>
      <c r="T28" s="544">
        <f ca="1">(M28-ILP000!H$62*K28*J28)*0.999</f>
        <v>56.263863063739599</v>
      </c>
      <c r="U28" s="411">
        <f>S28*0.15</f>
        <v>9.3208427555493838</v>
      </c>
      <c r="V28" s="49">
        <v>1</v>
      </c>
      <c r="W28" s="12"/>
      <c r="X28" s="12"/>
      <c r="Y28" s="17"/>
      <c r="Z28" s="17"/>
      <c r="AA28" s="17"/>
      <c r="AB28" s="127">
        <f>H28/$H$33</f>
        <v>0.75626053309805219</v>
      </c>
    </row>
    <row r="29" spans="1:28">
      <c r="A29" s="221"/>
      <c r="B29" s="52"/>
      <c r="C29" s="520"/>
      <c r="D29" s="52"/>
      <c r="E29" s="52" t="s">
        <v>981</v>
      </c>
      <c r="F29" s="410" t="s">
        <v>725</v>
      </c>
      <c r="G29" s="339"/>
      <c r="H29" s="53"/>
      <c r="I29" s="53"/>
      <c r="J29" s="55"/>
      <c r="K29" s="55"/>
      <c r="L29" s="544"/>
      <c r="M29" s="9"/>
      <c r="N29" s="542"/>
      <c r="O29" s="542"/>
      <c r="P29" s="57"/>
      <c r="Q29" s="49"/>
      <c r="R29" s="12"/>
      <c r="S29" s="544"/>
      <c r="T29" s="544"/>
      <c r="U29" s="49"/>
      <c r="V29" s="49"/>
      <c r="W29" s="12"/>
      <c r="X29" s="12"/>
      <c r="Y29" s="17">
        <f>1/(1+M30/M28)-0.005</f>
        <v>0.995</v>
      </c>
      <c r="Z29" s="17">
        <f>Y29*0.8</f>
        <v>0.79600000000000004</v>
      </c>
      <c r="AA29" s="17">
        <f>Z29*0.7</f>
        <v>0.55720000000000003</v>
      </c>
      <c r="AB29" s="127"/>
    </row>
    <row r="30" spans="1:28">
      <c r="B30" s="264" t="str">
        <f>E31&amp;RIGHT(D30,3)&amp;"000"</f>
        <v>IMLPOIL000</v>
      </c>
      <c r="C30" s="520" t="s">
        <v>677</v>
      </c>
      <c r="D30" s="52" t="s">
        <v>826</v>
      </c>
      <c r="E30" s="52"/>
      <c r="F30" s="410" t="s">
        <v>440</v>
      </c>
      <c r="G30" s="339">
        <f ca="1">G$10</f>
        <v>11</v>
      </c>
      <c r="H30" s="53">
        <f ca="1">VLOOKUP($E31,Calibration!$A$211:$U$215,$G30+2,0)</f>
        <v>0</v>
      </c>
      <c r="I30" s="53">
        <f ca="1">VLOOKUP($E31,Calibrati2!$A$211:$U$215,$G30+2,0)</f>
        <v>0</v>
      </c>
      <c r="J30" s="55">
        <f ca="1">INDEX(Calibration!$C$210:$U$210,G30)</f>
        <v>0.35</v>
      </c>
      <c r="K30" s="55">
        <v>1</v>
      </c>
      <c r="L30" s="544">
        <f>SUM(H30:H32)*J30</f>
        <v>0</v>
      </c>
      <c r="M30" s="544">
        <f>SUM(I30:I32)*K30*J30</f>
        <v>0</v>
      </c>
      <c r="N30" s="542">
        <f>IF(H30&gt;0,H30/L30,0)</f>
        <v>0</v>
      </c>
      <c r="O30" s="542">
        <f>IF(I30&gt;0,I30/M30,0)</f>
        <v>0</v>
      </c>
      <c r="P30" s="57"/>
      <c r="Q30" s="49">
        <v>0.7</v>
      </c>
      <c r="R30" s="12">
        <v>30</v>
      </c>
      <c r="S30" s="544">
        <f>L30</f>
        <v>0</v>
      </c>
      <c r="T30" s="544">
        <f>M30</f>
        <v>0</v>
      </c>
      <c r="U30" s="49">
        <v>0</v>
      </c>
      <c r="V30" s="49">
        <v>3</v>
      </c>
      <c r="W30" s="12"/>
      <c r="X30" s="12"/>
      <c r="Y30" s="12"/>
      <c r="Z30" s="12"/>
      <c r="AA30" s="12"/>
      <c r="AB30" s="127"/>
    </row>
    <row r="31" spans="1:28">
      <c r="A31" s="221"/>
      <c r="B31" s="52"/>
      <c r="C31" s="50"/>
      <c r="D31" s="52" t="s">
        <v>907</v>
      </c>
      <c r="E31" s="52" t="s">
        <v>981</v>
      </c>
      <c r="F31" s="410"/>
      <c r="G31" s="339">
        <f ca="1">G$11</f>
        <v>3</v>
      </c>
      <c r="H31" s="53">
        <f ca="1">VLOOKUP($E31,Calibration!$A$211:$U$215,$G31+2,0)</f>
        <v>0</v>
      </c>
      <c r="I31" s="53">
        <f ca="1">VLOOKUP($E31,Calibrati2!$A$211:$U$215,$G31+2,0)</f>
        <v>0</v>
      </c>
      <c r="J31" s="55"/>
      <c r="K31" s="55"/>
      <c r="L31" s="544"/>
      <c r="M31" s="9"/>
      <c r="N31" s="542">
        <f>IF(H31&gt;0,H31/L30,0)</f>
        <v>0</v>
      </c>
      <c r="O31" s="542">
        <f>IF(I31&gt;0,I31/M30,0)</f>
        <v>0</v>
      </c>
      <c r="P31" s="57"/>
      <c r="Q31" s="49"/>
      <c r="R31" s="12"/>
      <c r="S31" s="544"/>
      <c r="T31" s="544"/>
      <c r="U31" s="49"/>
      <c r="V31" s="49"/>
      <c r="W31" s="12"/>
      <c r="X31" s="12"/>
      <c r="Y31" s="12"/>
      <c r="Z31" s="12"/>
      <c r="AA31" s="12"/>
      <c r="AB31" s="127"/>
    </row>
    <row r="32" spans="1:28">
      <c r="B32" s="52"/>
      <c r="C32" s="50"/>
      <c r="D32" s="52" t="s">
        <v>915</v>
      </c>
      <c r="E32" s="52"/>
      <c r="F32" s="410"/>
      <c r="G32" s="339">
        <f ca="1">G$12</f>
        <v>13</v>
      </c>
      <c r="H32" s="53">
        <f ca="1">VLOOKUP($E31,Calibration!$A$211:$U$215,$G32+2,0)</f>
        <v>0</v>
      </c>
      <c r="I32" s="53">
        <f ca="1">VLOOKUP($E31,Calibrati2!$A$211:$U$215,$G32+2,0)</f>
        <v>0</v>
      </c>
      <c r="J32" s="55"/>
      <c r="K32" s="55"/>
      <c r="L32" s="544"/>
      <c r="M32" s="9"/>
      <c r="N32" s="542">
        <f>IF(H32&gt;0,H32/L30,0)</f>
        <v>0</v>
      </c>
      <c r="O32" s="542">
        <f>IF(I32&gt;0,I32/M30,0)</f>
        <v>0</v>
      </c>
      <c r="P32" s="57"/>
      <c r="Q32" s="49"/>
      <c r="R32" s="12"/>
      <c r="S32" s="544"/>
      <c r="T32" s="544"/>
      <c r="U32" s="49"/>
      <c r="V32" s="49"/>
      <c r="W32" s="12"/>
      <c r="X32" s="12"/>
      <c r="Y32" s="12"/>
      <c r="Z32" s="12"/>
      <c r="AA32" s="12"/>
      <c r="AB32" s="127"/>
    </row>
    <row r="33" spans="2:28">
      <c r="B33" s="192" t="s">
        <v>902</v>
      </c>
      <c r="C33" s="198"/>
      <c r="D33" s="198"/>
      <c r="E33" s="198"/>
      <c r="F33" s="198"/>
      <c r="G33" s="200"/>
      <c r="H33" s="199">
        <f>SUM(H8:H32)</f>
        <v>99.622471854340617</v>
      </c>
      <c r="I33" s="199">
        <f>SUM(I8:I32)</f>
        <v>92.20157907625233</v>
      </c>
      <c r="J33" s="199"/>
      <c r="K33" s="198"/>
      <c r="L33" s="199">
        <f>SUM(L8:L32)</f>
        <v>83.89837643670522</v>
      </c>
      <c r="M33" s="199">
        <f>SUM(M8:M32)</f>
        <v>76.661183890974087</v>
      </c>
      <c r="N33" s="200"/>
      <c r="O33" s="200"/>
      <c r="P33" s="200" t="s">
        <v>784</v>
      </c>
      <c r="Q33" s="201"/>
      <c r="R33" s="198"/>
      <c r="S33" s="199">
        <f>SUM(S8:S32)</f>
        <v>81.065600243211691</v>
      </c>
      <c r="T33" s="199">
        <f>SUM(T8:T32)</f>
        <v>74.096310082351195</v>
      </c>
      <c r="U33" s="198"/>
      <c r="V33" s="198"/>
      <c r="W33" s="198"/>
      <c r="X33" s="198"/>
      <c r="Y33" s="198"/>
      <c r="Z33" s="198"/>
      <c r="AA33" s="198"/>
      <c r="AB33" s="199">
        <f>SUM(AB8:AB32)</f>
        <v>0.96502581834548684</v>
      </c>
    </row>
    <row r="34" spans="2:28">
      <c r="H34" s="2"/>
      <c r="J34" s="2"/>
      <c r="L34" s="2"/>
      <c r="Q34" s="4"/>
    </row>
  </sheetData>
  <phoneticPr fontId="25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I106"/>
  <sheetViews>
    <sheetView topLeftCell="A21"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5.42578125" customWidth="1"/>
    <col min="3" max="3" width="26.42578125" customWidth="1"/>
    <col min="4" max="4" width="11.28515625" customWidth="1"/>
    <col min="5" max="5" width="10.42578125" customWidth="1"/>
    <col min="6" max="6" width="8.85546875" customWidth="1"/>
    <col min="7" max="12" width="10.7109375" bestFit="1" customWidth="1"/>
    <col min="13" max="14" width="11.42578125" customWidth="1"/>
  </cols>
  <sheetData>
    <row r="1" spans="1:16" ht="18">
      <c r="A1" s="5" t="s">
        <v>790</v>
      </c>
    </row>
    <row r="2" spans="1:16" ht="18">
      <c r="A2" s="8"/>
      <c r="D2" s="216"/>
    </row>
    <row r="3" spans="1:16" ht="18">
      <c r="A3" s="8"/>
      <c r="B3" s="86" t="s">
        <v>1127</v>
      </c>
      <c r="C3" s="88"/>
      <c r="D3" s="216"/>
    </row>
    <row r="5" spans="1:16" ht="20.25" customHeight="1" thickBot="1">
      <c r="B5" s="505">
        <f ca="1">BaseYear</f>
        <v>2010</v>
      </c>
      <c r="C5" s="366" t="s">
        <v>1446</v>
      </c>
      <c r="D5" s="45" t="s">
        <v>888</v>
      </c>
      <c r="E5" s="45" t="s">
        <v>797</v>
      </c>
      <c r="F5" s="64" t="s">
        <v>1110</v>
      </c>
      <c r="G5" s="64" t="s">
        <v>1108</v>
      </c>
      <c r="H5" s="45" t="s">
        <v>1106</v>
      </c>
      <c r="I5" s="64" t="s">
        <v>1107</v>
      </c>
      <c r="J5" s="45" t="s">
        <v>1111</v>
      </c>
      <c r="K5" s="45" t="s">
        <v>1108</v>
      </c>
      <c r="L5" s="64" t="s">
        <v>1106</v>
      </c>
      <c r="M5" s="64" t="s">
        <v>1109</v>
      </c>
      <c r="N5" s="64" t="s">
        <v>797</v>
      </c>
    </row>
    <row r="6" spans="1:16">
      <c r="B6" s="12"/>
      <c r="C6" s="9" t="s">
        <v>904</v>
      </c>
      <c r="D6" s="345">
        <f ca="1">SUM(ISOI!G24,IPOI!G22,IPOI!G31,IPOI!G42,IOOI!G30,IOOI!G31)</f>
        <v>94.788154600991618</v>
      </c>
      <c r="E6" s="345">
        <f ca="1">SUM(I6,IPOI!G42,IOOI!G31)</f>
        <v>27.537463402940833</v>
      </c>
      <c r="F6" s="345">
        <f t="shared" ref="F6:F12" si="0">D6-E6</f>
        <v>67.250691198050788</v>
      </c>
      <c r="G6" s="345">
        <f ca="1">SUM(ISOI!G24)</f>
        <v>30.322016507667538</v>
      </c>
      <c r="H6" s="345">
        <f ca="1">SUM(IPOI!G22,IOOI!G30+IPOI!G31)</f>
        <v>47.943660051559583</v>
      </c>
      <c r="I6" s="345">
        <f ca="1">SUM(IPOI!G18,IPOI!G27,IOOI!G20)</f>
        <v>11.014985361176333</v>
      </c>
      <c r="J6" s="345">
        <f>SUM(J7:J13)</f>
        <v>22.514101496846948</v>
      </c>
      <c r="K6" s="9"/>
      <c r="L6" s="345"/>
      <c r="M6" s="345"/>
      <c r="N6" s="62"/>
    </row>
    <row r="7" spans="1:16">
      <c r="B7" s="12"/>
      <c r="C7" s="9" t="s">
        <v>1100</v>
      </c>
      <c r="D7" s="345">
        <f ca="1">IEAData!AN18</f>
        <v>3.3404811717976397</v>
      </c>
      <c r="E7" s="345">
        <f ca="1">IEAData!AO18</f>
        <v>0.97182938703608102</v>
      </c>
      <c r="F7" s="345">
        <f t="shared" si="0"/>
        <v>2.3686517847615587</v>
      </c>
      <c r="G7" s="345">
        <f ca="1">(F7/(F$6-F$12))^$P7*(G$6-G$9)/F$14</f>
        <v>0.95238326320897526</v>
      </c>
      <c r="H7" s="345">
        <f ca="1">(F7-G7)/(H$6-I$6)*H$6</f>
        <v>1.8387092715440547</v>
      </c>
      <c r="I7" s="345">
        <f ca="1">I$6/H$6*H7</f>
        <v>0.42244074999147108</v>
      </c>
      <c r="J7" s="345">
        <f t="shared" ref="J7:J13" si="1">MAX(0,E7-I7)</f>
        <v>0.54938863704460994</v>
      </c>
      <c r="K7" s="62">
        <f ca="1">G7/G$6</f>
        <v>3.1408968561445962E-2</v>
      </c>
      <c r="L7" s="62">
        <f ca="1">H7/($H$6-$D$32)</f>
        <v>5.526620581326129E-2</v>
      </c>
      <c r="M7" s="62">
        <f>(H7-L7*$D$28)/$D$31</f>
        <v>5.526620581326129E-2</v>
      </c>
      <c r="N7" s="345">
        <f t="shared" ref="N7:N13" si="2">J7/J$6</f>
        <v>2.4401979227176827E-2</v>
      </c>
      <c r="P7" s="428">
        <v>1.1000000000000001</v>
      </c>
    </row>
    <row r="8" spans="1:16">
      <c r="B8" s="12"/>
      <c r="C8" s="9" t="s">
        <v>1101</v>
      </c>
      <c r="D8" s="345">
        <f ca="1">IEAData!AN19</f>
        <v>12.521596367530464</v>
      </c>
      <c r="E8" s="345">
        <f ca="1">IEAData!AO19</f>
        <v>8.7778050471567415</v>
      </c>
      <c r="F8" s="345">
        <f t="shared" si="0"/>
        <v>3.7437913203737221</v>
      </c>
      <c r="G8" s="345">
        <f ca="1">(F8/(F$6-F$12))^$P8*(G$6-G$9)/F$14</f>
        <v>1.5758076673059727</v>
      </c>
      <c r="H8" s="345">
        <f ca="1">(F8-G8)/(H$6-I$6)*H$6</f>
        <v>2.814643962489296</v>
      </c>
      <c r="I8" s="345">
        <f ca="1">I$6/H$6*H8</f>
        <v>0.64666030942154618</v>
      </c>
      <c r="J8" s="345">
        <f t="shared" si="1"/>
        <v>8.1311447377351946</v>
      </c>
      <c r="K8" s="62">
        <f ca="1">G8/G$6</f>
        <v>5.1969092059147771E-2</v>
      </c>
      <c r="L8" s="62">
        <f ca="1">H8/($H$6-$D$32)</f>
        <v>8.4599939168936586E-2</v>
      </c>
      <c r="M8" s="62">
        <f>(H8-L8*$D$28)/$D$31</f>
        <v>8.4599939168936586E-2</v>
      </c>
      <c r="N8" s="345">
        <f t="shared" si="2"/>
        <v>0.36115786094656915</v>
      </c>
      <c r="P8" s="428">
        <v>1.1000000000000001</v>
      </c>
    </row>
    <row r="9" spans="1:16">
      <c r="A9" s="6"/>
      <c r="B9" s="12"/>
      <c r="C9" s="9" t="s">
        <v>1102</v>
      </c>
      <c r="D9" s="345">
        <f ca="1">IEAData!AN20*IF(Region="FIN",1.1,1)</f>
        <v>6.5584116722136034</v>
      </c>
      <c r="E9" s="345">
        <f ca="1">IEAData!AO20</f>
        <v>4.0450899017738893</v>
      </c>
      <c r="F9" s="345">
        <f t="shared" si="0"/>
        <v>2.5133217704397142</v>
      </c>
      <c r="G9" s="345">
        <f ca="1">(F9-IEAData!$U$71+IEAData!$D$71)*0.45</f>
        <v>0.35456827305583349</v>
      </c>
      <c r="H9" s="345">
        <f ca="1">(F9-G9)/(H$6-I$6)*H$6</f>
        <v>2.8026606608939746</v>
      </c>
      <c r="I9" s="345">
        <f ca="1">I$6/H$6*H9+IEAData!$D$71*0</f>
        <v>0.64390716351009347</v>
      </c>
      <c r="J9" s="345">
        <f t="shared" si="1"/>
        <v>3.4011827382637958</v>
      </c>
      <c r="K9" s="62">
        <f ca="1">G9/G$6</f>
        <v>1.1693426555789048E-2</v>
      </c>
      <c r="L9" s="62">
        <f ca="1">IEAData!$U$71/$D$32</f>
        <v>0.14515179559757715</v>
      </c>
      <c r="M9" s="62">
        <f>MAX(0,(H9-L9*$D$32)/$D$31)</f>
        <v>2.3115398146972953E-2</v>
      </c>
      <c r="N9" s="345">
        <f t="shared" si="2"/>
        <v>0.15106899730109702</v>
      </c>
      <c r="P9" s="442">
        <v>0</v>
      </c>
    </row>
    <row r="10" spans="1:16">
      <c r="B10" s="12"/>
      <c r="C10" s="9" t="s">
        <v>1103</v>
      </c>
      <c r="D10" s="345">
        <f ca="1">IEAData!AN21</f>
        <v>14.602592381414976</v>
      </c>
      <c r="E10" s="345">
        <f ca="1">IEAData!AO21</f>
        <v>6.4238236106850417</v>
      </c>
      <c r="F10" s="345">
        <f t="shared" si="0"/>
        <v>8.1787687707299348</v>
      </c>
      <c r="G10" s="345">
        <f ca="1">(F10/(F$6-F$12))^$P10*(G$6-G$9)/F$14</f>
        <v>5.9736403535268048</v>
      </c>
      <c r="H10" s="345">
        <f ca="1">(F10-G10)/(H$6-I$6)*H$6</f>
        <v>2.8628681665619595</v>
      </c>
      <c r="I10" s="345">
        <f ca="1">I$6/H$6*H10</f>
        <v>0.65773974935882917</v>
      </c>
      <c r="J10" s="345">
        <f t="shared" si="1"/>
        <v>5.7660838613262122</v>
      </c>
      <c r="K10" s="62">
        <f ca="1">G10/G$6</f>
        <v>0.19700669815334507</v>
      </c>
      <c r="L10" s="62">
        <f ca="1">H10/($H$6-$D$32)</f>
        <v>8.6049417250494559E-2</v>
      </c>
      <c r="M10" s="62">
        <f>(H10-L10*$D$28)/$D$31</f>
        <v>8.6049417250494559E-2</v>
      </c>
      <c r="N10" s="345">
        <f t="shared" si="2"/>
        <v>0.25610988127302081</v>
      </c>
      <c r="P10" s="428">
        <v>0.85</v>
      </c>
    </row>
    <row r="11" spans="1:16">
      <c r="B11" s="12"/>
      <c r="C11" s="9" t="s">
        <v>1104</v>
      </c>
      <c r="D11" s="345">
        <f ca="1">IEAData!AN22</f>
        <v>24.235396012598812</v>
      </c>
      <c r="E11" s="345">
        <f ca="1">IEAData!AO22</f>
        <v>6.2306722772483489</v>
      </c>
      <c r="F11" s="345">
        <f t="shared" si="0"/>
        <v>18.004723735350463</v>
      </c>
      <c r="G11" s="345">
        <f ca="1">(F11/(F$6-F$12))^$P11*(G$6-G$9)/F$14</f>
        <v>12.760037809419648</v>
      </c>
      <c r="H11" s="345">
        <f ca="1">MAX(0,(F11-G11)/(H$6-I$6)*H$6)</f>
        <v>6.809056680702029</v>
      </c>
      <c r="I11" s="345">
        <f ca="1">I$6/H$6*H11</f>
        <v>1.5643707547712138</v>
      </c>
      <c r="J11" s="345">
        <f t="shared" si="1"/>
        <v>4.6663015224771351</v>
      </c>
      <c r="K11" s="62">
        <f ca="1">G11/G$6</f>
        <v>0.4208175866599444</v>
      </c>
      <c r="L11" s="62">
        <f ca="1">H11/($H$6-$D$32)</f>
        <v>0.20466026561873671</v>
      </c>
      <c r="M11" s="62">
        <f>(H11-L11*$D$28)/$D$31</f>
        <v>0.20466026561873671</v>
      </c>
      <c r="N11" s="345">
        <f t="shared" si="2"/>
        <v>0.20726128125213616</v>
      </c>
      <c r="P11" s="428">
        <v>0.77</v>
      </c>
    </row>
    <row r="12" spans="1:16">
      <c r="B12" s="12"/>
      <c r="C12" s="9" t="s">
        <v>1105</v>
      </c>
      <c r="D12" s="345">
        <f ca="1">IEAData!AN23</f>
        <v>13.954629332155307</v>
      </c>
      <c r="E12" s="345">
        <f ca="1">IEAData!AO23</f>
        <v>0.950931792</v>
      </c>
      <c r="F12" s="345">
        <f t="shared" si="0"/>
        <v>13.003697540155306</v>
      </c>
      <c r="G12" s="345">
        <f ca="1">SIGN($P12)*(F12/(F$6-F$12))^$P12*G$6/F$14</f>
        <v>0</v>
      </c>
      <c r="H12" s="345">
        <f ca="1">(F12-G12)/(H$6-I$6)*H$6</f>
        <v>16.882405326093696</v>
      </c>
      <c r="I12" s="345">
        <f ca="1">I$6/H$6*H12+IEAData!$D$72*0</f>
        <v>3.8787077859383881</v>
      </c>
      <c r="J12" s="345">
        <f t="shared" si="1"/>
        <v>0</v>
      </c>
      <c r="K12" s="285">
        <v>0</v>
      </c>
      <c r="L12" s="62">
        <f ca="1">IEAData!$U$72/$D$32</f>
        <v>0.85484820440242282</v>
      </c>
      <c r="M12" s="62">
        <f>MAX(0,(H12-L12*$D$32)/$D$31)</f>
        <v>0.14907354988481972</v>
      </c>
      <c r="N12" s="345">
        <f t="shared" si="2"/>
        <v>0</v>
      </c>
      <c r="P12" s="429">
        <v>0</v>
      </c>
    </row>
    <row r="13" spans="1:16">
      <c r="B13" s="12"/>
      <c r="C13" s="9" t="s">
        <v>1109</v>
      </c>
      <c r="D13" s="345">
        <f>D6-SUM(D7:D12)</f>
        <v>19.575047663280813</v>
      </c>
      <c r="E13" s="345">
        <f>E6-SUM(E7:E12)</f>
        <v>0.13731138704073231</v>
      </c>
      <c r="F13" s="345">
        <f>F6-SUM(F7:F12)</f>
        <v>19.437736276240088</v>
      </c>
      <c r="G13" s="345">
        <f>(F13/(F$6-F$12))^$P13*(G$6-G$9)/F$14</f>
        <v>8.7055791411503023</v>
      </c>
      <c r="H13" s="345">
        <f>(F13-G13)/(H$6-I$6)*H$6</f>
        <v>13.933315983274579</v>
      </c>
      <c r="I13" s="345">
        <f>I$6/H$6*H13</f>
        <v>3.2011588481847921</v>
      </c>
      <c r="J13" s="345">
        <f t="shared" si="1"/>
        <v>0</v>
      </c>
      <c r="K13" s="62">
        <f>G13/G$6</f>
        <v>0.28710422801032776</v>
      </c>
      <c r="L13" s="62">
        <f>1-SUM(L7:L8,L10:L11)</f>
        <v>0.56942417214857088</v>
      </c>
      <c r="M13" s="62">
        <f>(H13-L13*$D$28)/$D$31</f>
        <v>0.39723522411677836</v>
      </c>
      <c r="N13" s="345">
        <f t="shared" si="2"/>
        <v>0</v>
      </c>
      <c r="O13" s="2"/>
      <c r="P13" s="429">
        <v>1.2</v>
      </c>
    </row>
    <row r="14" spans="1:16">
      <c r="B14" s="12"/>
      <c r="C14" s="12"/>
      <c r="D14" s="12"/>
      <c r="E14" s="12"/>
      <c r="F14" s="178">
        <f t="array" ref="F14">SUM(SIGN(P7:P13)*(F7:F13/(F$6-F$12))^$P7:$P13)</f>
        <v>1.0045605260215127</v>
      </c>
      <c r="G14" s="12"/>
      <c r="H14" s="178">
        <f>SUM(H7:H13)</f>
        <v>47.94366005155959</v>
      </c>
      <c r="I14" s="12"/>
      <c r="J14" s="12"/>
      <c r="K14" s="603">
        <f>SUM(K7:K13)</f>
        <v>1</v>
      </c>
      <c r="L14" s="603">
        <f>SUM(L7:L13)</f>
        <v>2</v>
      </c>
      <c r="M14" s="603">
        <f>SUM(M7:M13)</f>
        <v>1</v>
      </c>
      <c r="N14" s="603">
        <f>SUM(N7:N13)</f>
        <v>1</v>
      </c>
      <c r="O14" s="47"/>
    </row>
    <row r="15" spans="1:16" ht="13.5" thickBot="1">
      <c r="B15" s="505">
        <f ca="1">AuxYear</f>
        <v>2017</v>
      </c>
      <c r="C15" s="366" t="s">
        <v>1446</v>
      </c>
      <c r="D15" s="45" t="s">
        <v>888</v>
      </c>
      <c r="E15" s="45" t="s">
        <v>797</v>
      </c>
      <c r="F15" s="64" t="s">
        <v>1110</v>
      </c>
      <c r="G15" s="64" t="s">
        <v>1108</v>
      </c>
      <c r="H15" s="45" t="s">
        <v>1106</v>
      </c>
      <c r="I15" s="64" t="s">
        <v>1107</v>
      </c>
      <c r="J15" s="45" t="s">
        <v>1111</v>
      </c>
      <c r="K15" s="45" t="s">
        <v>1108</v>
      </c>
      <c r="L15" s="64" t="s">
        <v>1106</v>
      </c>
      <c r="M15" s="64" t="s">
        <v>1109</v>
      </c>
      <c r="N15" s="64" t="s">
        <v>797</v>
      </c>
    </row>
    <row r="16" spans="1:16">
      <c r="B16" s="12"/>
      <c r="C16" s="9" t="s">
        <v>904</v>
      </c>
      <c r="D16" s="345">
        <f ca="1">SUM(ISOI!H24,IPOI!H22,IPOI!H31,IPOI!H42,IOOI!H30,IOOI!H31)</f>
        <v>86.467880730643046</v>
      </c>
      <c r="E16" s="345">
        <f ca="1">SUM(I16,IPOI!H42,IOOI!H31)</f>
        <v>26.547961470211874</v>
      </c>
      <c r="F16" s="345">
        <f t="shared" ref="F16:F22" si="3">D16-E16</f>
        <v>59.919919260431172</v>
      </c>
      <c r="G16" s="345">
        <f ca="1">SUM(ISOI!H24)</f>
        <v>27.88142831982622</v>
      </c>
      <c r="H16" s="345">
        <f ca="1">SUM(IPOI!H22,IOOI!H30+IPOI!H31)</f>
        <v>42.657675528689694</v>
      </c>
      <c r="I16" s="345">
        <f ca="1">SUM(IPOI!H18,IPOI!H27,IOOI!H20)</f>
        <v>10.61918458808475</v>
      </c>
      <c r="J16" s="345">
        <f>SUM(J17:J23)</f>
        <v>20.360196298045267</v>
      </c>
      <c r="K16" s="9"/>
      <c r="L16" s="345"/>
      <c r="M16" s="345"/>
      <c r="N16" s="62"/>
    </row>
    <row r="17" spans="2:16">
      <c r="B17" s="12"/>
      <c r="C17" s="9" t="s">
        <v>1100</v>
      </c>
      <c r="D17" s="345">
        <f ca="1">AuxData!AN18</f>
        <v>2.4855579716708087</v>
      </c>
      <c r="E17" s="345">
        <f ca="1">AuxData!AO18</f>
        <v>1.108990919644667</v>
      </c>
      <c r="F17" s="345">
        <f t="shared" si="3"/>
        <v>1.3765670520261417</v>
      </c>
      <c r="G17" s="345">
        <f ca="1">(F17/(F$16-F$22))^$P17*(G$16-G$19)/F$24</f>
        <v>0.58165622874072787</v>
      </c>
      <c r="H17" s="345">
        <f ca="1">(F17-G17)/(H$16-I$16)*H$16</f>
        <v>1.0583846797533503</v>
      </c>
      <c r="I17" s="345">
        <f ca="1">I$16/H$16*H17</f>
        <v>0.26347385646793636</v>
      </c>
      <c r="J17" s="345">
        <f t="shared" ref="J17:J23" si="4">MAX(0,E17-I17)</f>
        <v>0.84551706317673059</v>
      </c>
      <c r="K17" s="62">
        <f ca="1">G17/G$16</f>
        <v>2.0861780181007355E-2</v>
      </c>
      <c r="L17" s="504">
        <f ca="1">H17/($H$16-$E$32)</f>
        <v>3.6931979231622579E-2</v>
      </c>
      <c r="M17" s="504">
        <f>(H17-L17*$E$28)/$E$31</f>
        <v>3.6931979231622579E-2</v>
      </c>
      <c r="N17" s="345">
        <f t="shared" ref="N17:N23" si="5">J17/J$16</f>
        <v>4.1527942599350415E-2</v>
      </c>
      <c r="P17" s="428">
        <v>1.1000000000000001</v>
      </c>
    </row>
    <row r="18" spans="2:16">
      <c r="B18" s="12"/>
      <c r="C18" s="9" t="s">
        <v>1101</v>
      </c>
      <c r="D18" s="345">
        <f ca="1">AuxData!AN19</f>
        <v>10.967453117548734</v>
      </c>
      <c r="E18" s="345">
        <f ca="1">AuxData!AO19</f>
        <v>6.9678236713681674</v>
      </c>
      <c r="F18" s="345">
        <f t="shared" si="3"/>
        <v>3.9996294461805668</v>
      </c>
      <c r="G18" s="345">
        <f ca="1">(F18/(F$16-F$22))^$P18*(G$16-G$19)/F$24</f>
        <v>1.8802301323148387</v>
      </c>
      <c r="H18" s="345">
        <f ca="1">(F18-G18)/(H$16-I$16)*H$16</f>
        <v>2.8218759870499919</v>
      </c>
      <c r="I18" s="345">
        <f ca="1">I$16/H$16*H18</f>
        <v>0.70247667318426366</v>
      </c>
      <c r="J18" s="345">
        <f t="shared" si="4"/>
        <v>6.2653469981839036</v>
      </c>
      <c r="K18" s="62">
        <f ca="1">G18/G$16</f>
        <v>6.7436650330349998E-2</v>
      </c>
      <c r="L18" s="504">
        <f ca="1">H18/($H$16-$E$32)</f>
        <v>9.8468418280801245E-2</v>
      </c>
      <c r="M18" s="504">
        <f>(H18-L18*$E$28)/$E$31</f>
        <v>9.8468418280801245E-2</v>
      </c>
      <c r="N18" s="345">
        <f t="shared" si="5"/>
        <v>0.30772527467161132</v>
      </c>
      <c r="P18" s="428">
        <v>1.1000000000000001</v>
      </c>
    </row>
    <row r="19" spans="2:16">
      <c r="B19" s="12"/>
      <c r="C19" s="9" t="s">
        <v>1102</v>
      </c>
      <c r="D19" s="345">
        <f ca="1">AuxData!AN20*IF(Region="FIN",1.1,1)</f>
        <v>8.2373492551996712</v>
      </c>
      <c r="E19" s="345">
        <f ca="1">AuxData!AO20</f>
        <v>5.2357615884360769</v>
      </c>
      <c r="F19" s="345">
        <f t="shared" si="3"/>
        <v>3.0015876667635943</v>
      </c>
      <c r="G19" s="345">
        <f ca="1">(F19-AuxData!$U$71+AuxData!$D$71)*0.45</f>
        <v>0.43835566758216776</v>
      </c>
      <c r="H19" s="345">
        <f ca="1">(F19-G19)/(H$16-I$16)*H$16</f>
        <v>3.4128173867033995</v>
      </c>
      <c r="I19" s="345">
        <f ca="1">I$16/H$16*H19+AuxData!$D$71*0</f>
        <v>0.84958538752197277</v>
      </c>
      <c r="J19" s="345">
        <f t="shared" si="4"/>
        <v>4.3861762009141039</v>
      </c>
      <c r="K19" s="62">
        <f ca="1">G19/G$16</f>
        <v>1.5722138139905022E-2</v>
      </c>
      <c r="L19" s="504">
        <f ca="1">AuxData!$U$71/$E$32</f>
        <v>0.18221715223020463</v>
      </c>
      <c r="M19" s="504">
        <f>MAX(0,(H19-L19*$E$32)/$E$31)</f>
        <v>3.6523798268182625E-2</v>
      </c>
      <c r="N19" s="345">
        <f t="shared" si="5"/>
        <v>0.21542897409762252</v>
      </c>
      <c r="P19" s="442">
        <v>0</v>
      </c>
    </row>
    <row r="20" spans="2:16">
      <c r="B20" s="12"/>
      <c r="C20" s="9" t="s">
        <v>1103</v>
      </c>
      <c r="D20" s="345">
        <f ca="1">AuxData!AN21</f>
        <v>15.229429990985782</v>
      </c>
      <c r="E20" s="345">
        <f ca="1">AuxData!AO21</f>
        <v>6.0892797447223428</v>
      </c>
      <c r="F20" s="345">
        <f t="shared" si="3"/>
        <v>9.1401502462634383</v>
      </c>
      <c r="G20" s="345">
        <f ca="1">(F20/(F$16-F$22))^$P20*(G$16-G$19)/F$24</f>
        <v>7.0704495684320854</v>
      </c>
      <c r="H20" s="345">
        <f ca="1">(F20-G20)/(H$16-I$16)*H$16</f>
        <v>2.755704696582439</v>
      </c>
      <c r="I20" s="345">
        <f ca="1">I$16/H$16*H20</f>
        <v>0.68600401875108619</v>
      </c>
      <c r="J20" s="345">
        <f t="shared" si="4"/>
        <v>5.4032757259712563</v>
      </c>
      <c r="K20" s="62">
        <f ca="1">G20/G$16</f>
        <v>0.25358993403520708</v>
      </c>
      <c r="L20" s="504">
        <f ca="1">H20/($H$16-$E$32)</f>
        <v>9.6159393242904012E-2</v>
      </c>
      <c r="M20" s="504">
        <f>(H20-L20*$E$28)/$E$31</f>
        <v>9.6159393242904012E-2</v>
      </c>
      <c r="N20" s="345">
        <f t="shared" si="5"/>
        <v>0.26538426481133737</v>
      </c>
      <c r="P20" s="428">
        <v>0.85</v>
      </c>
    </row>
    <row r="21" spans="2:16">
      <c r="B21" s="12"/>
      <c r="C21" s="9" t="s">
        <v>1104</v>
      </c>
      <c r="D21" s="345">
        <f ca="1">AuxData!AN22</f>
        <v>25.860025487460604</v>
      </c>
      <c r="E21" s="345">
        <f ca="1">AuxData!AO22</f>
        <v>5.7412626888017391</v>
      </c>
      <c r="F21" s="345">
        <f t="shared" si="3"/>
        <v>20.118762798658864</v>
      </c>
      <c r="G21" s="345">
        <f ca="1">(F21/(F$16-F$22))^$P21*(G$16-G$19)/F$24</f>
        <v>13.235743855402228</v>
      </c>
      <c r="H21" s="345">
        <f ca="1">MAX(0,(F21-G21)/(H$16-I$16)*H$16)</f>
        <v>9.164401322259101</v>
      </c>
      <c r="I21" s="345">
        <f ca="1">I$16/H$16*H21</f>
        <v>2.2813823790024652</v>
      </c>
      <c r="J21" s="345">
        <f t="shared" si="4"/>
        <v>3.4598803097992739</v>
      </c>
      <c r="K21" s="62">
        <f ca="1">G21/G$16</f>
        <v>0.47471541642615261</v>
      </c>
      <c r="L21" s="504">
        <f ca="1">H21/($H$16-$E$32)</f>
        <v>0.31978871744704718</v>
      </c>
      <c r="M21" s="504">
        <f>(H21-L21*$E$28)/$E$31</f>
        <v>0.31978871744704718</v>
      </c>
      <c r="N21" s="345">
        <f t="shared" si="5"/>
        <v>0.16993354382007841</v>
      </c>
      <c r="P21" s="428">
        <v>0.9</v>
      </c>
    </row>
    <row r="22" spans="2:16">
      <c r="B22" s="12"/>
      <c r="C22" s="9" t="s">
        <v>1105</v>
      </c>
      <c r="D22" s="345">
        <f ca="1">AuxData!AN23</f>
        <v>12.983560400443899</v>
      </c>
      <c r="E22" s="345">
        <f ca="1">AuxData!AO23</f>
        <v>1.21290762</v>
      </c>
      <c r="F22" s="345">
        <f t="shared" si="3"/>
        <v>11.7706527804439</v>
      </c>
      <c r="G22" s="345">
        <f ca="1">SIGN($P22)*(F22/(F$16-F$22))^$P22*G$16/F$24</f>
        <v>0</v>
      </c>
      <c r="H22" s="345">
        <f ca="1">(F22-G22)/(H$16-I$16)*H$16</f>
        <v>15.67204547804349</v>
      </c>
      <c r="I22" s="345">
        <f ca="1">I$16/H$16*H22+AuxData!$D$72*0</f>
        <v>3.9013926975995901</v>
      </c>
      <c r="J22" s="345">
        <f t="shared" si="4"/>
        <v>0</v>
      </c>
      <c r="K22" s="285">
        <v>0</v>
      </c>
      <c r="L22" s="504">
        <f ca="1">AuxData!$U$72/$E$32</f>
        <v>0.81778284776979537</v>
      </c>
      <c r="M22" s="504">
        <f>MAX(0,(H22-L22*$E$32)/$E$31)</f>
        <v>0.17898259174298251</v>
      </c>
      <c r="N22" s="345">
        <f t="shared" si="5"/>
        <v>0</v>
      </c>
      <c r="P22" s="429">
        <v>0</v>
      </c>
    </row>
    <row r="23" spans="2:16">
      <c r="B23" s="12"/>
      <c r="C23" s="9" t="s">
        <v>1109</v>
      </c>
      <c r="D23" s="345">
        <f>D16-SUM(D17:D22)</f>
        <v>10.704504507333539</v>
      </c>
      <c r="E23" s="345">
        <f>E16-SUM(E17:E22)</f>
        <v>0.19193523723888006</v>
      </c>
      <c r="F23" s="345">
        <f>F16-SUM(F17:F22)</f>
        <v>10.512569270094673</v>
      </c>
      <c r="G23" s="345">
        <f>(F23/(F$16-F$22))^$P23*(G$16-G$19)/F$24</f>
        <v>4.674992867354173</v>
      </c>
      <c r="H23" s="345">
        <f>(F23-G23)/(H$16-I$16)*H$16</f>
        <v>7.772445978297938</v>
      </c>
      <c r="I23" s="345">
        <f>I$16/H$16*H23</f>
        <v>1.9348695755574383</v>
      </c>
      <c r="J23" s="345">
        <f t="shared" si="4"/>
        <v>0</v>
      </c>
      <c r="K23" s="62">
        <f>G23/G$16</f>
        <v>0.16767408088737798</v>
      </c>
      <c r="L23" s="62">
        <f>1-SUM(L17:L18,L20:L21)</f>
        <v>0.44865149179762498</v>
      </c>
      <c r="M23" s="62">
        <f>(H23-L23*E$28)/E$31</f>
        <v>0.23314510178646045</v>
      </c>
      <c r="N23" s="345">
        <f t="shared" si="5"/>
        <v>0</v>
      </c>
      <c r="O23" s="2"/>
      <c r="P23" s="429">
        <v>1.2</v>
      </c>
    </row>
    <row r="24" spans="2:16">
      <c r="B24" s="12"/>
      <c r="C24" s="12"/>
      <c r="D24" s="12"/>
      <c r="E24" s="12"/>
      <c r="F24" s="343">
        <f t="array" ref="F24">SUM(SIGN(P17:P23)*(F17:F23/(F$16-F$22))^$P17:$P23)</f>
        <v>0.94535476361205095</v>
      </c>
      <c r="G24" s="12"/>
      <c r="H24" s="178">
        <f>SUM(H17:H23)</f>
        <v>42.657675528689708</v>
      </c>
      <c r="I24" s="12"/>
      <c r="J24" s="12"/>
      <c r="K24" s="603">
        <f>SUM(K17:K23)</f>
        <v>1</v>
      </c>
      <c r="L24" s="603">
        <f>SUM(L17:L23)</f>
        <v>2</v>
      </c>
      <c r="M24" s="603">
        <f>SUM(M17:M23)</f>
        <v>1.0000000000000007</v>
      </c>
      <c r="N24" s="603">
        <f>SUM(N17:N23)</f>
        <v>1</v>
      </c>
      <c r="O24" s="47"/>
    </row>
    <row r="26" spans="2:16" ht="13.5" thickBot="1">
      <c r="B26" s="45"/>
      <c r="C26" s="366" t="s">
        <v>1124</v>
      </c>
      <c r="D26" s="481" t="s">
        <v>1329</v>
      </c>
      <c r="E26" s="481" t="s">
        <v>1329</v>
      </c>
      <c r="F26" s="355" t="s">
        <v>89</v>
      </c>
      <c r="G26" s="45" t="s">
        <v>89</v>
      </c>
      <c r="H26" s="355" t="s">
        <v>1125</v>
      </c>
      <c r="I26" s="45" t="s">
        <v>1340</v>
      </c>
      <c r="N26" s="2"/>
      <c r="O26" s="48"/>
    </row>
    <row r="27" spans="2:16">
      <c r="B27" s="12"/>
      <c r="C27" s="9" t="s">
        <v>48</v>
      </c>
      <c r="D27" s="387">
        <f ca="1">ISOI!G24</f>
        <v>30.322016507667538</v>
      </c>
      <c r="E27" s="387">
        <f ca="1">ISOI!H24</f>
        <v>27.88142831982622</v>
      </c>
      <c r="F27" s="502">
        <f ca="1">ISOI!L24</f>
        <v>29.301605151122647</v>
      </c>
      <c r="G27" s="387">
        <f ca="1">ISOI!M24</f>
        <v>26.230989074526477</v>
      </c>
      <c r="H27" s="503">
        <v>1</v>
      </c>
      <c r="I27" s="304">
        <v>1</v>
      </c>
      <c r="N27" s="2"/>
      <c r="O27" s="48"/>
    </row>
    <row r="28" spans="2:16">
      <c r="B28" s="12"/>
      <c r="C28" s="9" t="s">
        <v>57</v>
      </c>
      <c r="D28" s="387">
        <f ca="1">IPOI!G22</f>
        <v>4.1656643323112723</v>
      </c>
      <c r="E28" s="387">
        <f ca="1">IPOI!H22</f>
        <v>5.0627235954098788</v>
      </c>
      <c r="F28" s="502">
        <f ca="1">IPOI!L22</f>
        <v>3.8414409122439572</v>
      </c>
      <c r="G28" s="387">
        <f ca="1">IPOI!M22</f>
        <v>4.5630470459489016</v>
      </c>
      <c r="H28" s="503">
        <v>2</v>
      </c>
      <c r="I28" s="304">
        <v>1</v>
      </c>
      <c r="N28" s="2"/>
      <c r="O28" s="48"/>
    </row>
    <row r="29" spans="2:16">
      <c r="B29" s="12"/>
      <c r="C29" s="9" t="s">
        <v>60</v>
      </c>
      <c r="D29" s="387">
        <f ca="1">IPOI!G42</f>
        <v>10.188861459088109</v>
      </c>
      <c r="E29" s="387">
        <f ca="1">IPOI!H42</f>
        <v>9.822745743978393</v>
      </c>
      <c r="F29" s="502">
        <f ca="1">IPOI!L42</f>
        <v>8.6605322402248923</v>
      </c>
      <c r="G29" s="387">
        <f ca="1">IPOI!M42</f>
        <v>8.3493338823816341</v>
      </c>
      <c r="H29" s="503">
        <v>4</v>
      </c>
      <c r="I29" s="304">
        <v>1</v>
      </c>
      <c r="K29" s="444">
        <v>5.3031213213044275</v>
      </c>
      <c r="N29" s="2"/>
      <c r="O29" s="48"/>
    </row>
    <row r="30" spans="2:16">
      <c r="B30" s="12"/>
      <c r="C30" s="9" t="s">
        <v>61</v>
      </c>
      <c r="D30" s="387">
        <f ca="1">IOOI!G31</f>
        <v>6.3336165826763917</v>
      </c>
      <c r="E30" s="387">
        <f ca="1">IOOI!H31</f>
        <v>6.1060311381487313</v>
      </c>
      <c r="F30" s="502">
        <f ca="1">IOOI!Q31</f>
        <v>6.3336165826763917</v>
      </c>
      <c r="G30" s="387">
        <f ca="1">IOOI!R31</f>
        <v>6.1060311381487313</v>
      </c>
      <c r="H30" s="503">
        <v>4</v>
      </c>
      <c r="I30" s="304">
        <v>1</v>
      </c>
    </row>
    <row r="31" spans="2:16">
      <c r="B31" s="12"/>
      <c r="C31" s="52" t="s">
        <v>75</v>
      </c>
      <c r="D31" s="388">
        <f ca="1">IOOI!G30</f>
        <v>29.104382787566294</v>
      </c>
      <c r="E31" s="388">
        <f ca="1">IOOI!H30</f>
        <v>23.594951995589064</v>
      </c>
      <c r="F31" s="502">
        <f ca="1">IOOI!Q30</f>
        <v>26.882873539940778</v>
      </c>
      <c r="G31" s="388">
        <f ca="1">IOOI!R30</f>
        <v>21.708440480964327</v>
      </c>
      <c r="H31" s="503">
        <v>3</v>
      </c>
      <c r="I31" s="443">
        <f>$M$14</f>
        <v>1</v>
      </c>
    </row>
    <row r="32" spans="2:16">
      <c r="B32" s="12"/>
      <c r="C32" s="9" t="s">
        <v>1332</v>
      </c>
      <c r="D32" s="387">
        <f ca="1">IPOI!G$31</f>
        <v>14.673612931682017</v>
      </c>
      <c r="E32" s="387">
        <f ca="1">IPOI!H$31</f>
        <v>13.999999937690754</v>
      </c>
      <c r="F32" s="502">
        <f ca="1">IPOI!L$31</f>
        <v>12.564628089592322</v>
      </c>
      <c r="G32" s="387">
        <f ca="1">IPOI!M$31</f>
        <v>12.018562322323682</v>
      </c>
      <c r="H32" s="503">
        <v>2</v>
      </c>
      <c r="I32" s="304">
        <v>1</v>
      </c>
    </row>
    <row r="33" spans="2:21">
      <c r="B33" s="12"/>
      <c r="C33" s="604" t="s">
        <v>782</v>
      </c>
      <c r="D33" s="604">
        <f>SUM(D27:D32)</f>
        <v>94.788154600991618</v>
      </c>
      <c r="E33" s="604">
        <f>SUM(E27:E32)</f>
        <v>86.467880730643046</v>
      </c>
      <c r="F33" s="605">
        <f>SUM(F27:F32)</f>
        <v>87.584696515800985</v>
      </c>
      <c r="G33" s="604">
        <f>SUM(G27:G32)</f>
        <v>78.976403944293736</v>
      </c>
      <c r="H33" s="12"/>
      <c r="I33" s="12"/>
    </row>
    <row r="34" spans="2:21">
      <c r="D34" s="403"/>
      <c r="E34" s="403"/>
      <c r="F34" s="342"/>
      <c r="G34" s="403"/>
    </row>
    <row r="36" spans="2:21" ht="18">
      <c r="B36" s="86" t="s">
        <v>90</v>
      </c>
      <c r="C36" s="88"/>
      <c r="E36" s="34" t="s">
        <v>784</v>
      </c>
      <c r="F36" s="225" t="str">
        <f>"~FI_T: "&amp;Region</f>
        <v>~FI_T: FIN</v>
      </c>
    </row>
    <row r="37" spans="2:21" ht="51.75" thickBot="1">
      <c r="B37" s="45" t="s">
        <v>649</v>
      </c>
      <c r="C37" s="45" t="s">
        <v>650</v>
      </c>
      <c r="D37" s="45" t="s">
        <v>648</v>
      </c>
      <c r="E37" s="45" t="s">
        <v>651</v>
      </c>
      <c r="F37" s="45" t="s">
        <v>139</v>
      </c>
      <c r="G37" s="64" t="str">
        <f ca="1">CONCATENATE("\I:",IEAData!$D$2," service demand")</f>
        <v>\I:2010 service demand</v>
      </c>
      <c r="H37" s="64" t="str">
        <f ca="1">CONCATENATE("\I:",AuxData!$D$2," service demand")</f>
        <v>\I:2017 service demand</v>
      </c>
      <c r="I37" s="64" t="str">
        <f ca="1">CONCATENATE("\I:",IEAData!$D$2," service demand")</f>
        <v>\I:2010 service demand</v>
      </c>
      <c r="J37" s="64" t="str">
        <f ca="1">CONCATENATE("\I:",AuxData!$D$2," service demand")</f>
        <v>\I:2017 service demand</v>
      </c>
      <c r="K37" s="45" t="s">
        <v>581</v>
      </c>
      <c r="L37" s="45" t="str">
        <f ca="1">"Input~"&amp;AuxYear</f>
        <v>Input~2017</v>
      </c>
      <c r="M37" s="64" t="s">
        <v>1508</v>
      </c>
      <c r="N37" s="45" t="s">
        <v>564</v>
      </c>
      <c r="O37" s="45" t="s">
        <v>389</v>
      </c>
      <c r="P37" s="45" t="s">
        <v>1278</v>
      </c>
      <c r="Q37" s="45" t="s">
        <v>1267</v>
      </c>
      <c r="R37" s="45" t="str">
        <f ca="1">"FLO_EMIS~"&amp;AuxYear</f>
        <v>FLO_EMIS~2017</v>
      </c>
      <c r="S37" s="64" t="s">
        <v>1509</v>
      </c>
    </row>
    <row r="38" spans="2:21">
      <c r="B38" s="390" t="str">
        <f>INDEX(B$86:B$92,U38)&amp;"000"</f>
        <v>IOT000</v>
      </c>
      <c r="C38" s="390" t="str">
        <f>INDEX(C$86:C$92,$U38)</f>
        <v>Transport equipment</v>
      </c>
      <c r="D38" s="9" t="s">
        <v>48</v>
      </c>
      <c r="E38" s="9" t="str">
        <f>LEFT(B38,3)</f>
        <v>IOT</v>
      </c>
      <c r="F38" s="9"/>
      <c r="G38" s="391">
        <f t="array" ref="G38:G42">F$27:F$31/$I$27:$I$31*INDEX($K$7:$N$13,$U38,$H$27:$H$31)</f>
        <v>0.92033319499151423</v>
      </c>
      <c r="H38" s="391">
        <f t="array" ref="H38:H42">G$27:G$31/$I$27:$I$31*INDEX($K$17:$N$23,$U38,$H$27:$H$31)</f>
        <v>0.54722512800317691</v>
      </c>
      <c r="I38" s="389"/>
      <c r="J38" s="389"/>
      <c r="K38" s="392">
        <f>IF(G38=0,0,G38/I42)/M$76</f>
        <v>0.30839822152102742</v>
      </c>
      <c r="L38" s="392">
        <f>IF(H38=0,0,H38/J42)/M$76</f>
        <v>0.25839506755544739</v>
      </c>
      <c r="M38" s="389"/>
      <c r="N38" s="12">
        <v>2019</v>
      </c>
      <c r="O38" s="303"/>
      <c r="P38" s="303"/>
      <c r="Q38" s="389"/>
      <c r="R38" s="389"/>
      <c r="S38" s="389"/>
      <c r="U38">
        <v>1</v>
      </c>
    </row>
    <row r="39" spans="2:21">
      <c r="B39" s="390"/>
      <c r="C39" s="390"/>
      <c r="D39" s="9" t="s">
        <v>57</v>
      </c>
      <c r="E39" s="9" t="s">
        <v>395</v>
      </c>
      <c r="F39" s="9"/>
      <c r="G39" s="391">
        <v>0.21230186407555673</v>
      </c>
      <c r="H39" s="391">
        <v>0.16852235873390159</v>
      </c>
      <c r="I39" s="389"/>
      <c r="J39" s="389"/>
      <c r="K39" s="392">
        <f>IF(G39=0,0,G39/I42)/M$76</f>
        <v>7.1141101573658092E-2</v>
      </c>
      <c r="L39" s="392">
        <f>IF(H39=0,0,H39/J42)/M$76</f>
        <v>7.9574829519519136E-2</v>
      </c>
      <c r="M39" s="389"/>
      <c r="N39" s="12">
        <v>2019</v>
      </c>
      <c r="O39" s="303">
        <v>0.1</v>
      </c>
      <c r="P39" s="303"/>
      <c r="Q39" s="389"/>
      <c r="R39" s="389"/>
      <c r="S39" s="389"/>
    </row>
    <row r="40" spans="2:21">
      <c r="B40" s="390"/>
      <c r="C40" s="390"/>
      <c r="D40" s="9" t="s">
        <v>60</v>
      </c>
      <c r="E40" s="9"/>
      <c r="F40" s="9"/>
      <c r="G40" s="391">
        <v>0.21133412782226302</v>
      </c>
      <c r="H40" s="391">
        <v>0.34673065821035604</v>
      </c>
      <c r="I40" s="389"/>
      <c r="J40" s="389"/>
      <c r="K40" s="392">
        <f>IF(G40=0,0,G40/I42)/M$76</f>
        <v>7.0816818867089029E-2</v>
      </c>
      <c r="L40" s="392">
        <f>IF(H40=0,0,H40/J42)/M$76</f>
        <v>0.16372327816658586</v>
      </c>
      <c r="M40" s="389"/>
      <c r="N40" s="12">
        <v>2019</v>
      </c>
      <c r="O40" s="303"/>
      <c r="P40" s="303"/>
      <c r="Q40" s="389"/>
      <c r="R40" s="389"/>
      <c r="S40" s="389"/>
    </row>
    <row r="41" spans="2:21">
      <c r="B41" s="390"/>
      <c r="C41" s="390"/>
      <c r="D41" s="9" t="s">
        <v>61</v>
      </c>
      <c r="E41" s="9"/>
      <c r="F41" s="9"/>
      <c r="G41" s="391">
        <v>0.15455278028337199</v>
      </c>
      <c r="H41" s="391">
        <v>0.25357091061488679</v>
      </c>
      <c r="I41" s="389"/>
      <c r="J41" s="389"/>
      <c r="K41" s="392">
        <f>IF(G41=0,0,G41/I42)/M$76</f>
        <v>5.1789724449699447E-2</v>
      </c>
      <c r="L41" s="392">
        <f>IF(H41=0,0,H41/J42)/M$76</f>
        <v>0.11973403490720112</v>
      </c>
      <c r="M41" s="389"/>
      <c r="N41" s="12">
        <v>2019</v>
      </c>
      <c r="O41" s="303"/>
      <c r="P41" s="303"/>
      <c r="Q41" s="389"/>
      <c r="R41" s="389"/>
      <c r="S41" s="389"/>
    </row>
    <row r="42" spans="2:21">
      <c r="B42" s="390"/>
      <c r="C42" s="390"/>
      <c r="D42" s="52" t="s">
        <v>75</v>
      </c>
      <c r="E42" s="52"/>
      <c r="F42" s="52"/>
      <c r="G42" s="391">
        <v>1.4857144219102432</v>
      </c>
      <c r="H42" s="391">
        <v>0.80173567299388937</v>
      </c>
      <c r="I42" s="391">
        <f>SUM(G38:G42)</f>
        <v>2.9842363890829491</v>
      </c>
      <c r="J42" s="391">
        <f>SUM(H38:H42)</f>
        <v>2.1177847285562108</v>
      </c>
      <c r="K42" s="392">
        <f>IF(G42=0,0,G42/I42)/M$76</f>
        <v>0.49785413358852604</v>
      </c>
      <c r="L42" s="392">
        <f>IF(H42=0,0,H42/J42)/M$76</f>
        <v>0.37857278985124643</v>
      </c>
      <c r="M42" s="389"/>
      <c r="N42" s="12">
        <v>2019</v>
      </c>
      <c r="O42" s="303"/>
      <c r="P42" s="303"/>
      <c r="Q42" s="389"/>
      <c r="R42" s="389"/>
      <c r="S42" s="389"/>
    </row>
    <row r="43" spans="2:21">
      <c r="B43" s="390" t="str">
        <f>INDEX($B$86:$B$92,U43)&amp;"000"</f>
        <v>IOM000</v>
      </c>
      <c r="C43" s="390" t="str">
        <f>INDEX(C$86:C$92,$U43)</f>
        <v>Machinery and equipment</v>
      </c>
      <c r="D43" s="9" t="s">
        <v>48</v>
      </c>
      <c r="E43" s="9" t="str">
        <f>LEFT(B43,3)</f>
        <v>IOM</v>
      </c>
      <c r="F43" s="9"/>
      <c r="G43" s="391">
        <f t="array" ref="G43:G47">F$27:F$31/$I$27:$I$31*INDEX($K$7:$N$13,$U43,$H$27:$H$31)</f>
        <v>1.5227778155794913</v>
      </c>
      <c r="H43" s="391">
        <f t="array" ref="H43:H47">G$27:G$31/$I$27:$I$31*INDEX($K$17:$N$23,$U43,$H$27:$H$31)</f>
        <v>1.768930038038073</v>
      </c>
      <c r="I43" s="389"/>
      <c r="J43" s="389"/>
      <c r="K43" s="392">
        <f>IF(G43=0,0,G43/I47)/M$76</f>
        <v>0.159665376130635</v>
      </c>
      <c r="L43" s="392">
        <f>IF(H43=0,0,H43/J47)/M$76</f>
        <v>0.20092064043004376</v>
      </c>
      <c r="M43" s="389"/>
      <c r="N43" s="12">
        <v>2019</v>
      </c>
      <c r="O43" s="303"/>
      <c r="P43" s="303"/>
      <c r="Q43" s="389"/>
      <c r="R43" s="389"/>
      <c r="S43" s="389"/>
      <c r="U43">
        <v>2</v>
      </c>
    </row>
    <row r="44" spans="2:21">
      <c r="B44" s="390"/>
      <c r="C44" s="390"/>
      <c r="D44" s="9" t="s">
        <v>57</v>
      </c>
      <c r="E44" s="9" t="s">
        <v>395</v>
      </c>
      <c r="F44" s="9"/>
      <c r="G44" s="391">
        <v>0.32498566749690305</v>
      </c>
      <c r="H44" s="391">
        <v>0.44931602515547092</v>
      </c>
      <c r="I44" s="389"/>
      <c r="J44" s="389"/>
      <c r="K44" s="392">
        <f>IF(G44=0,0,G44/I47)/M$76</f>
        <v>3.4075200142190294E-2</v>
      </c>
      <c r="L44" s="392">
        <f>IF(H44=0,0,H44/J47)/M$76</f>
        <v>5.1034728105948883E-2</v>
      </c>
      <c r="M44" s="389"/>
      <c r="N44" s="12">
        <v>2019</v>
      </c>
      <c r="O44" s="303">
        <v>0.1</v>
      </c>
      <c r="P44" s="303"/>
      <c r="Q44" s="389"/>
      <c r="R44" s="389"/>
      <c r="S44" s="389"/>
    </row>
    <row r="45" spans="2:21">
      <c r="B45" s="390"/>
      <c r="C45" s="390"/>
      <c r="D45" s="9" t="s">
        <v>60</v>
      </c>
      <c r="E45" s="9"/>
      <c r="F45" s="9"/>
      <c r="G45" s="391">
        <v>3.1278192985384208</v>
      </c>
      <c r="H45" s="391">
        <v>2.5693010622808794</v>
      </c>
      <c r="I45" s="389"/>
      <c r="J45" s="389"/>
      <c r="K45" s="392">
        <f>IF(G45=0,0,G45/I47)/M$76</f>
        <v>0.32795621242994538</v>
      </c>
      <c r="L45" s="392">
        <f>IF(H45=0,0,H45/J47)/M$76</f>
        <v>0.291829300079959</v>
      </c>
      <c r="M45" s="389"/>
      <c r="N45" s="12">
        <v>2019</v>
      </c>
      <c r="O45" s="303"/>
      <c r="P45" s="303"/>
      <c r="Q45" s="389"/>
      <c r="R45" s="389"/>
      <c r="S45" s="389"/>
    </row>
    <row r="46" spans="2:21">
      <c r="B46" s="390"/>
      <c r="C46" s="390"/>
      <c r="D46" s="9" t="s">
        <v>61</v>
      </c>
      <c r="E46" s="9"/>
      <c r="F46" s="9"/>
      <c r="G46" s="391">
        <v>2.287435417055125</v>
      </c>
      <c r="H46" s="391">
        <v>1.8789801091402298</v>
      </c>
      <c r="I46" s="389"/>
      <c r="J46" s="389"/>
      <c r="K46" s="392">
        <f>IF(G46=0,0,G46/I47)/M$76</f>
        <v>0.23984079128422081</v>
      </c>
      <c r="L46" s="392">
        <f>IF(H46=0,0,H46/J47)/M$76</f>
        <v>0.21342047382636112</v>
      </c>
      <c r="M46" s="389"/>
      <c r="N46" s="12">
        <v>2019</v>
      </c>
      <c r="O46" s="303"/>
      <c r="P46" s="303"/>
      <c r="Q46" s="389"/>
      <c r="R46" s="389"/>
      <c r="S46" s="389"/>
    </row>
    <row r="47" spans="2:21">
      <c r="B47" s="390"/>
      <c r="C47" s="390"/>
      <c r="D47" s="52" t="s">
        <v>75</v>
      </c>
      <c r="E47" s="52"/>
      <c r="F47" s="52"/>
      <c r="G47" s="391">
        <v>2.2742894661652047</v>
      </c>
      <c r="H47" s="391">
        <v>2.1375957975034736</v>
      </c>
      <c r="I47" s="391">
        <f>SUM(G43:G47)</f>
        <v>9.5373076648351436</v>
      </c>
      <c r="J47" s="391">
        <f>SUM(H43:H47)</f>
        <v>8.8041230321181274</v>
      </c>
      <c r="K47" s="392">
        <f>IF(G47=0,0,G47/I47)/M$76</f>
        <v>0.23846242001300863</v>
      </c>
      <c r="L47" s="392">
        <f>IF(H47=0,0,H47/J47)/M$76</f>
        <v>0.24279485755768718</v>
      </c>
      <c r="M47" s="389"/>
      <c r="N47" s="12">
        <v>2019</v>
      </c>
      <c r="O47" s="303"/>
      <c r="P47" s="303"/>
      <c r="Q47" s="389"/>
      <c r="R47" s="389"/>
      <c r="S47" s="389"/>
    </row>
    <row r="48" spans="2:21">
      <c r="B48" s="390" t="str">
        <f>INDEX($B$86:$B$92,U48)&amp;"000"</f>
        <v>IOQ000</v>
      </c>
      <c r="C48" s="390" t="str">
        <f>INDEX(C$86:C$92,$U48)</f>
        <v>Mining and quarrying</v>
      </c>
      <c r="D48" s="9" t="s">
        <v>48</v>
      </c>
      <c r="E48" s="9" t="str">
        <f>LEFT(B48,3)</f>
        <v>IOQ</v>
      </c>
      <c r="F48" s="9"/>
      <c r="G48" s="391">
        <f t="array" ref="G48:G53">F$27:F$32/$I$27:$I$32*INDEX($K$7:$N$13,$U48,$H$27:$H$32)</f>
        <v>0.34263616780138273</v>
      </c>
      <c r="H48" s="391">
        <f t="array" ref="H48:H53">G$27:G$32/$I$27:$I$32*INDEX($K$17:$N$23,$U48,$H$27:$H$32)</f>
        <v>0.41240723377604466</v>
      </c>
      <c r="I48" s="389"/>
      <c r="J48" s="389"/>
      <c r="K48" s="392">
        <f>IF(G48=0,0,G48/I53)/M$76</f>
        <v>6.4610282707449604E-2</v>
      </c>
      <c r="L48" s="392">
        <f>IF(H48=0,0,H48/J53)/M$76</f>
        <v>7.7766886478584915E-2</v>
      </c>
      <c r="M48" s="389"/>
      <c r="N48" s="12">
        <v>2019</v>
      </c>
      <c r="O48" s="303"/>
      <c r="P48" s="303"/>
      <c r="Q48" s="389"/>
      <c r="R48" s="389"/>
      <c r="S48" s="389"/>
      <c r="U48">
        <v>3</v>
      </c>
    </row>
    <row r="49" spans="2:21">
      <c r="B49" s="390"/>
      <c r="C49" s="390"/>
      <c r="D49" s="9" t="s">
        <v>57</v>
      </c>
      <c r="E49" s="9" t="s">
        <v>395</v>
      </c>
      <c r="F49" s="9"/>
      <c r="G49" s="391">
        <v>0.55759204609420521</v>
      </c>
      <c r="H49" s="391">
        <v>0.83146543820525654</v>
      </c>
      <c r="I49" s="389"/>
      <c r="J49" s="389"/>
      <c r="K49" s="392">
        <v>0</v>
      </c>
      <c r="L49" s="392">
        <v>0</v>
      </c>
      <c r="M49" s="389"/>
      <c r="N49" s="12">
        <v>2019</v>
      </c>
      <c r="O49" s="303">
        <v>0.1</v>
      </c>
      <c r="P49" s="303"/>
      <c r="Q49" s="389"/>
      <c r="R49" s="389"/>
      <c r="S49" s="389"/>
    </row>
    <row r="50" spans="2:21">
      <c r="B50" s="390"/>
      <c r="C50" s="390"/>
      <c r="D50" s="9" t="s">
        <v>60</v>
      </c>
      <c r="E50" s="9"/>
      <c r="F50" s="9"/>
      <c r="G50" s="391">
        <v>1.3083379216245981</v>
      </c>
      <c r="H50" s="391">
        <v>1.798688432679995</v>
      </c>
      <c r="I50" s="389"/>
      <c r="J50" s="389"/>
      <c r="K50" s="392">
        <f>IF(G50=0,0,G50/I53)/M$76</f>
        <v>0.24671091652543631</v>
      </c>
      <c r="L50" s="392">
        <f>IF(H50=0,0,H50/J53)/M$76</f>
        <v>0.33917542588627131</v>
      </c>
      <c r="M50" s="389"/>
      <c r="N50" s="12">
        <v>2019</v>
      </c>
      <c r="O50" s="303"/>
      <c r="P50" s="303"/>
      <c r="Q50" s="389"/>
      <c r="R50" s="389"/>
      <c r="S50" s="389"/>
    </row>
    <row r="51" spans="2:21">
      <c r="B51" s="390"/>
      <c r="C51" s="390"/>
      <c r="D51" s="9" t="s">
        <v>61</v>
      </c>
      <c r="E51" s="9"/>
      <c r="F51" s="9"/>
      <c r="G51" s="391">
        <v>0.95681310643452311</v>
      </c>
      <c r="H51" s="391">
        <v>1.3154160238995196</v>
      </c>
      <c r="I51" s="389"/>
      <c r="J51" s="389"/>
      <c r="K51" s="392">
        <f>IF(G51=0,0,G51/I53)/M$76</f>
        <v>0.18042451764976261</v>
      </c>
      <c r="L51" s="392">
        <f>IF(H51=0,0,H51/J53)/M$76</f>
        <v>0.24804562147485665</v>
      </c>
      <c r="M51" s="389"/>
      <c r="N51" s="12">
        <v>2019</v>
      </c>
      <c r="O51" s="303"/>
      <c r="P51" s="303"/>
      <c r="Q51" s="389"/>
      <c r="R51" s="389"/>
      <c r="S51" s="389"/>
    </row>
    <row r="52" spans="2:21">
      <c r="B52" s="390"/>
      <c r="C52" s="390"/>
      <c r="D52" s="52" t="s">
        <v>75</v>
      </c>
      <c r="E52" s="52"/>
      <c r="F52" s="52"/>
      <c r="G52" s="391">
        <v>0.6214083252104553</v>
      </c>
      <c r="H52" s="391">
        <v>0.79287470084359046</v>
      </c>
      <c r="I52" s="389"/>
      <c r="J52" s="389"/>
      <c r="K52" s="392">
        <f>IF(G52=0,0,G52/I53)/M$76</f>
        <v>0.11717784443551167</v>
      </c>
      <c r="L52" s="392">
        <f>IF(H52=0,0,H52/J53)/M$76</f>
        <v>0.14951094889312549</v>
      </c>
      <c r="M52" s="389"/>
      <c r="N52" s="12">
        <v>2019</v>
      </c>
      <c r="O52" s="303"/>
      <c r="P52" s="303"/>
      <c r="Q52" s="389"/>
      <c r="R52" s="389"/>
      <c r="S52" s="389"/>
    </row>
    <row r="53" spans="2:21">
      <c r="B53" s="390"/>
      <c r="C53" s="390"/>
      <c r="D53" s="52" t="s">
        <v>1332</v>
      </c>
      <c r="E53" s="52"/>
      <c r="F53" s="52"/>
      <c r="G53" s="391">
        <v>1.823778328220081</v>
      </c>
      <c r="H53" s="391">
        <v>2.1899882002750561</v>
      </c>
      <c r="I53" s="391">
        <f>IF(Region="FIN",$K$29,SUM(G48:G53)-G49)</f>
        <v>5.3031213213044275</v>
      </c>
      <c r="J53" s="391">
        <f>IF(Region="FIN",$K$29,SUM(H48:H53)-H49)</f>
        <v>5.3031213213044275</v>
      </c>
      <c r="K53" s="392">
        <f>IF(G53=0,0,G53/I53)/M$76</f>
        <v>0.34390658212802866</v>
      </c>
      <c r="L53" s="392">
        <f>IF(H53=0,0,H53/J53)/M$76</f>
        <v>0.4129621156274767</v>
      </c>
      <c r="M53" s="389"/>
      <c r="N53" s="12">
        <v>2019</v>
      </c>
      <c r="O53" s="303"/>
      <c r="P53" s="303"/>
      <c r="Q53" s="389"/>
      <c r="R53" s="389"/>
      <c r="S53" s="389"/>
    </row>
    <row r="54" spans="2:21">
      <c r="B54" s="390" t="str">
        <f>INDEX($B$86:$B$92,U54)&amp;"000"</f>
        <v>IOF000</v>
      </c>
      <c r="C54" s="390" t="str">
        <f>INDEX(C$86:C$92,$U54)</f>
        <v>Foodstuff</v>
      </c>
      <c r="D54" s="9" t="s">
        <v>48</v>
      </c>
      <c r="E54" s="9" t="str">
        <f>LEFT(B54,3)</f>
        <v>IOF</v>
      </c>
      <c r="F54" s="9"/>
      <c r="G54" s="391">
        <f t="array" ref="G54:G58">F$27:F$31/$I$27:$I$31*INDEX($K$7:$N$13,$U54,$H$27:$H$31)</f>
        <v>5.7726124814157203</v>
      </c>
      <c r="H54" s="391">
        <f t="array" ref="H54:H58">G$27:G$31/$I$27:$I$31*INDEX($K$17:$N$23,$U54,$H$27:$H$31)</f>
        <v>6.6519147890874066</v>
      </c>
      <c r="I54" s="389"/>
      <c r="J54" s="389"/>
      <c r="K54" s="392">
        <f>IF(G54=0,0,G54/I58)/M$76</f>
        <v>0.47098101427291872</v>
      </c>
      <c r="L54" s="392">
        <f>IF(H54=0,0,H54/J58)/M$76</f>
        <v>0.5111199232858521</v>
      </c>
      <c r="M54" s="389"/>
      <c r="N54" s="12">
        <v>2019</v>
      </c>
      <c r="O54" s="303"/>
      <c r="P54" s="303"/>
      <c r="Q54" s="389"/>
      <c r="R54" s="389"/>
      <c r="S54" s="389"/>
      <c r="U54">
        <v>4</v>
      </c>
    </row>
    <row r="55" spans="2:21">
      <c r="B55" s="390"/>
      <c r="C55" s="390"/>
      <c r="D55" s="9" t="s">
        <v>57</v>
      </c>
      <c r="E55" s="9" t="s">
        <v>395</v>
      </c>
      <c r="F55" s="9"/>
      <c r="G55" s="391">
        <v>0.33055375190080072</v>
      </c>
      <c r="H55" s="391">
        <v>0.43877983527727193</v>
      </c>
      <c r="I55" s="389"/>
      <c r="J55" s="389"/>
      <c r="K55" s="392">
        <f>IF(G55=0,0,G55/I58)/M$76</f>
        <v>2.6969511957223323E-2</v>
      </c>
      <c r="L55" s="392">
        <f>IF(H55=0,0,H55/J58)/M$76</f>
        <v>3.3714971231173285E-2</v>
      </c>
      <c r="M55" s="389"/>
      <c r="N55" s="12">
        <v>2019</v>
      </c>
      <c r="O55" s="303">
        <v>0.1</v>
      </c>
      <c r="P55" s="303"/>
      <c r="Q55" s="389"/>
      <c r="R55" s="389"/>
      <c r="S55" s="389"/>
    </row>
    <row r="56" spans="2:21">
      <c r="B56" s="390"/>
      <c r="C56" s="390"/>
      <c r="D56" s="9" t="s">
        <v>60</v>
      </c>
      <c r="E56" s="9"/>
      <c r="F56" s="9"/>
      <c r="G56" s="391">
        <v>2.2180478838051663</v>
      </c>
      <c r="H56" s="391">
        <v>2.2157818340402393</v>
      </c>
      <c r="I56" s="389"/>
      <c r="J56" s="389"/>
      <c r="K56" s="392">
        <f>IF(G56=0,0,G56/I58)/M$76</f>
        <v>0.18096805309270614</v>
      </c>
      <c r="L56" s="392">
        <f>IF(H56=0,0,H56/J58)/M$76</f>
        <v>0.17025627611627997</v>
      </c>
      <c r="M56" s="389"/>
      <c r="N56" s="12">
        <v>2019</v>
      </c>
      <c r="O56" s="303"/>
      <c r="P56" s="303"/>
      <c r="Q56" s="389"/>
      <c r="R56" s="389"/>
      <c r="S56" s="389"/>
    </row>
    <row r="57" spans="2:21">
      <c r="B57" s="390"/>
      <c r="C57" s="390"/>
      <c r="D57" s="9" t="s">
        <v>61</v>
      </c>
      <c r="E57" s="9"/>
      <c r="F57" s="9"/>
      <c r="G57" s="391">
        <v>1.6221017910180864</v>
      </c>
      <c r="H57" s="391">
        <v>1.6204445845127347</v>
      </c>
      <c r="I57" s="389"/>
      <c r="J57" s="389"/>
      <c r="K57" s="392">
        <f>IF(G57=0,0,G57/I58)/M$76</f>
        <v>0.132345476029642</v>
      </c>
      <c r="L57" s="392">
        <f>IF(H57=0,0,H57/J58)/M$76</f>
        <v>0.12451174405960061</v>
      </c>
      <c r="M57" s="389"/>
      <c r="N57" s="12">
        <v>2019</v>
      </c>
      <c r="O57" s="303"/>
      <c r="P57" s="303"/>
      <c r="Q57" s="389"/>
      <c r="R57" s="389"/>
      <c r="S57" s="389"/>
    </row>
    <row r="58" spans="2:21">
      <c r="B58" s="390"/>
      <c r="C58" s="390"/>
      <c r="D58" s="52" t="s">
        <v>75</v>
      </c>
      <c r="E58" s="52"/>
      <c r="F58" s="52"/>
      <c r="G58" s="391">
        <v>2.3132556021306439</v>
      </c>
      <c r="H58" s="391">
        <v>2.0874704648992251</v>
      </c>
      <c r="I58" s="391">
        <f>SUM(G54:G58)</f>
        <v>12.256571510270417</v>
      </c>
      <c r="J58" s="391">
        <f>SUM(H54:H58)</f>
        <v>13.014391507816876</v>
      </c>
      <c r="K58" s="392">
        <f>IF(G58=0,0,G58/I58)/M$76</f>
        <v>0.18873594464750987</v>
      </c>
      <c r="L58" s="392">
        <f>IF(H58=0,0,H58/J58)/M$76</f>
        <v>0.16039708530709415</v>
      </c>
      <c r="M58" s="389"/>
      <c r="N58" s="12">
        <v>2019</v>
      </c>
      <c r="O58" s="303"/>
      <c r="P58" s="303"/>
      <c r="Q58" s="389"/>
      <c r="R58" s="389"/>
      <c r="S58" s="389"/>
    </row>
    <row r="59" spans="2:21">
      <c r="B59" s="390" t="str">
        <f>INDEX($B$86:$B$92,U59)&amp;"000"</f>
        <v>IOW000</v>
      </c>
      <c r="C59" s="390" t="str">
        <f>INDEX(C$86:C$92,$U59)</f>
        <v>Wood processing</v>
      </c>
      <c r="D59" s="9" t="s">
        <v>48</v>
      </c>
      <c r="E59" s="52"/>
      <c r="F59" s="52" t="s">
        <v>1327</v>
      </c>
      <c r="G59" s="391">
        <f t="array" ref="G59:G63">F$27:F$31/$I$27:$I$31*INDEX($K$7:$N$13,$U59,$H$27:$H$31)</f>
        <v>12.330630764958027</v>
      </c>
      <c r="H59" s="391">
        <f t="array" ref="H59:H63">G$27:G$31/$I$27:$I$31*INDEX($K$17:$N$23,$U59,$H$27:$H$31)</f>
        <v>12.452254901783697</v>
      </c>
      <c r="I59" s="389"/>
      <c r="J59" s="389"/>
      <c r="K59" s="392"/>
      <c r="L59" s="392"/>
      <c r="M59" s="389"/>
      <c r="N59" s="12"/>
      <c r="O59" s="303"/>
      <c r="P59" s="303"/>
      <c r="Q59" s="391">
        <f>IF(G59=0,0,G59/I64)/$M$76</f>
        <v>1.1743658072797647</v>
      </c>
      <c r="R59" s="391">
        <f>IF(H59=0,0,H59/J64)/$M$76</f>
        <v>0.95040870873024696</v>
      </c>
      <c r="S59" s="389"/>
      <c r="U59">
        <v>5</v>
      </c>
    </row>
    <row r="60" spans="2:21">
      <c r="B60" s="390"/>
      <c r="C60" s="390"/>
      <c r="D60" s="9" t="s">
        <v>57</v>
      </c>
      <c r="E60" s="52"/>
      <c r="F60" s="52" t="s">
        <v>1327</v>
      </c>
      <c r="G60" s="391">
        <v>0.78619031745853052</v>
      </c>
      <c r="H60" s="391">
        <v>1.4592109624745366</v>
      </c>
      <c r="I60" s="389"/>
      <c r="J60" s="389"/>
      <c r="K60" s="392"/>
      <c r="L60" s="392"/>
      <c r="M60" s="389"/>
      <c r="N60" s="12"/>
      <c r="O60" s="303"/>
      <c r="P60" s="303"/>
      <c r="Q60" s="391">
        <f>IF(G60=0,0,G60/I64)/M$76</f>
        <v>7.4876544796195141E-2</v>
      </c>
      <c r="R60" s="391">
        <f>IF(H60=0,0,H60/J64)/$M$76</f>
        <v>0.11137314627343434</v>
      </c>
      <c r="S60" s="389"/>
    </row>
    <row r="61" spans="2:21">
      <c r="B61" s="390"/>
      <c r="C61" s="390"/>
      <c r="D61" s="9" t="s">
        <v>60</v>
      </c>
      <c r="E61" s="52"/>
      <c r="F61" s="52" t="s">
        <v>1328</v>
      </c>
      <c r="G61" s="391">
        <v>1.7949930084344443</v>
      </c>
      <c r="H61" s="391">
        <v>1.4188318951701648</v>
      </c>
      <c r="I61" s="389"/>
      <c r="J61" s="389"/>
      <c r="K61" s="392"/>
      <c r="L61" s="392"/>
      <c r="M61" s="389"/>
      <c r="N61" s="12"/>
      <c r="O61" s="303"/>
      <c r="P61" s="303"/>
      <c r="Q61" s="391">
        <f>IF(G61=0,0,G61/I64)/M$76</f>
        <v>0.17095462945839213</v>
      </c>
      <c r="R61" s="391">
        <f>IF(H61=0,0,H61/J64)/$M$76</f>
        <v>0.10829124524272361</v>
      </c>
      <c r="S61" s="389"/>
    </row>
    <row r="62" spans="2:21">
      <c r="B62" s="390"/>
      <c r="C62" s="390"/>
      <c r="D62" s="9" t="s">
        <v>61</v>
      </c>
      <c r="E62" s="52"/>
      <c r="F62" s="52" t="s">
        <v>1328</v>
      </c>
      <c r="G62" s="391">
        <v>1.3127134878852851</v>
      </c>
      <c r="H62" s="391">
        <v>1.0376195099813608</v>
      </c>
      <c r="I62" s="389"/>
      <c r="J62" s="389"/>
      <c r="K62" s="392"/>
      <c r="L62" s="392"/>
      <c r="M62" s="389"/>
      <c r="N62" s="12"/>
      <c r="O62" s="303"/>
      <c r="P62" s="303"/>
      <c r="Q62" s="391">
        <f>IF(G62=0,0,G62/I64)/M$76</f>
        <v>0.12502246351488136</v>
      </c>
      <c r="R62" s="391">
        <f>IF(H62=0,0,H62/J64)/$M$76</f>
        <v>7.9195505264948923E-2</v>
      </c>
      <c r="S62" s="389"/>
    </row>
    <row r="63" spans="2:21">
      <c r="B63" s="390"/>
      <c r="C63" s="390"/>
      <c r="D63" s="52" t="s">
        <v>75</v>
      </c>
      <c r="E63" s="52"/>
      <c r="F63" s="52" t="s">
        <v>1327</v>
      </c>
      <c r="G63" s="391">
        <v>5.5018560392791889</v>
      </c>
      <c r="H63" s="391">
        <v>6.9421143391831421</v>
      </c>
      <c r="I63" s="391">
        <f>SUM(G59:G63)</f>
        <v>21.726383618015475</v>
      </c>
      <c r="J63" s="391">
        <f>SUM(H59:H63)</f>
        <v>23.310031608592901</v>
      </c>
      <c r="K63" s="392"/>
      <c r="L63" s="392"/>
      <c r="M63" s="389"/>
      <c r="N63" s="12"/>
      <c r="O63" s="303"/>
      <c r="P63" s="303"/>
      <c r="Q63" s="391">
        <f>IF(G63=0,0,G63/I64)/M$76</f>
        <v>0.52399522232609375</v>
      </c>
      <c r="R63" s="391">
        <f>IF(H63=0,0,H63/J64)/$M$76</f>
        <v>0.52985149894543904</v>
      </c>
      <c r="S63" s="389"/>
    </row>
    <row r="64" spans="2:21">
      <c r="B64" s="390"/>
      <c r="C64" s="390"/>
      <c r="D64" s="52" t="s">
        <v>459</v>
      </c>
      <c r="E64" s="9"/>
      <c r="F64" s="9" t="s">
        <v>1116</v>
      </c>
      <c r="G64" s="506">
        <f>I64*$Q64</f>
        <v>24.149588300000001</v>
      </c>
      <c r="H64" s="506">
        <f>J64*$Q64</f>
        <v>30.134599999999999</v>
      </c>
      <c r="I64" s="391">
        <f ca="1">Drivers!$L$105</f>
        <v>10.499821000000001</v>
      </c>
      <c r="J64" s="391">
        <f ca="1">Driver2!$L$105</f>
        <v>13.102</v>
      </c>
      <c r="K64" s="392"/>
      <c r="L64" s="392"/>
      <c r="M64" s="389"/>
      <c r="N64" s="12"/>
      <c r="O64" s="303"/>
      <c r="P64" s="415"/>
      <c r="Q64" s="391">
        <f ca="1">Drivers!$P$108</f>
        <v>2.2999999999999998</v>
      </c>
      <c r="R64" s="389">
        <f ca="1">Driver2!$P$108</f>
        <v>2.2999999999999998</v>
      </c>
      <c r="S64" s="389"/>
    </row>
    <row r="65" spans="2:35">
      <c r="B65" s="390"/>
      <c r="C65" s="390"/>
      <c r="D65" s="52" t="s">
        <v>459</v>
      </c>
      <c r="E65" s="9"/>
      <c r="F65" s="9" t="s">
        <v>395</v>
      </c>
      <c r="G65" s="391"/>
      <c r="H65" s="391"/>
      <c r="I65" s="391"/>
      <c r="J65" s="391"/>
      <c r="K65" s="392"/>
      <c r="L65" s="392"/>
      <c r="M65" s="389"/>
      <c r="N65" s="12"/>
      <c r="O65" s="303"/>
      <c r="P65" s="415"/>
      <c r="Q65" s="389">
        <v>-1</v>
      </c>
      <c r="R65" s="389">
        <v>-1</v>
      </c>
      <c r="S65" s="389"/>
    </row>
    <row r="66" spans="2:35">
      <c r="B66" s="390"/>
      <c r="C66" s="390"/>
      <c r="D66" s="52" t="s">
        <v>1328</v>
      </c>
      <c r="E66" s="9" t="s">
        <v>1281</v>
      </c>
      <c r="F66" s="9" t="s">
        <v>1126</v>
      </c>
      <c r="G66" s="391"/>
      <c r="H66" s="391"/>
      <c r="I66" s="391"/>
      <c r="J66" s="391"/>
      <c r="K66" s="392">
        <v>1</v>
      </c>
      <c r="L66" s="392">
        <v>1</v>
      </c>
      <c r="M66" s="389"/>
      <c r="N66" s="12"/>
      <c r="O66" s="303"/>
      <c r="P66" s="303"/>
      <c r="Q66" s="391">
        <f ca="1">Drivers!$P$118*Drivers!$P$115+Drivers!$P$112</f>
        <v>6.7900000000000009</v>
      </c>
      <c r="R66" s="391">
        <f ca="1">Driver2!$P$118*Driver2!$P$115+Driver2!$P$112</f>
        <v>6.7900000000000009</v>
      </c>
      <c r="S66" s="391">
        <v>1.5</v>
      </c>
    </row>
    <row r="67" spans="2:35">
      <c r="B67" s="390"/>
      <c r="C67" s="390"/>
      <c r="D67" s="52" t="s">
        <v>1327</v>
      </c>
      <c r="E67" s="9" t="s">
        <v>1281</v>
      </c>
      <c r="F67" s="9" t="s">
        <v>395</v>
      </c>
      <c r="G67" s="391"/>
      <c r="H67" s="391"/>
      <c r="I67" s="391"/>
      <c r="J67" s="391"/>
      <c r="K67" s="392">
        <v>1</v>
      </c>
      <c r="L67" s="392">
        <v>1</v>
      </c>
      <c r="M67" s="389"/>
      <c r="N67" s="12"/>
      <c r="O67" s="303"/>
      <c r="P67" s="303"/>
      <c r="Q67" s="391">
        <f ca="1">-Drivers!$P$115</f>
        <v>-7</v>
      </c>
      <c r="R67" s="391">
        <f ca="1">-Driver2!$P$115</f>
        <v>-7</v>
      </c>
      <c r="S67" s="391"/>
    </row>
    <row r="68" spans="2:35">
      <c r="B68" s="390"/>
      <c r="C68" s="390"/>
      <c r="D68" s="9" t="s">
        <v>48</v>
      </c>
      <c r="E68" s="9" t="s">
        <v>1280</v>
      </c>
      <c r="F68" s="9" t="s">
        <v>48</v>
      </c>
      <c r="G68" s="391"/>
      <c r="H68" s="391"/>
      <c r="I68" s="391"/>
      <c r="J68" s="391"/>
      <c r="K68" s="392"/>
      <c r="L68" s="392"/>
      <c r="M68" s="389"/>
      <c r="N68" s="12"/>
      <c r="O68" s="415"/>
      <c r="P68" s="415"/>
      <c r="Q68" s="389">
        <v>1</v>
      </c>
      <c r="R68" s="389">
        <v>1</v>
      </c>
      <c r="S68" s="389"/>
    </row>
    <row r="69" spans="2:35">
      <c r="B69" s="390"/>
      <c r="C69" s="390"/>
      <c r="D69" s="9" t="s">
        <v>395</v>
      </c>
      <c r="E69" s="9" t="s">
        <v>1116</v>
      </c>
      <c r="F69" s="9" t="s">
        <v>1116</v>
      </c>
      <c r="G69" s="391"/>
      <c r="H69" s="391"/>
      <c r="I69" s="391"/>
      <c r="J69" s="391"/>
      <c r="K69" s="392"/>
      <c r="L69" s="392"/>
      <c r="M69" s="389"/>
      <c r="N69" s="12"/>
      <c r="O69" s="415"/>
      <c r="P69" s="415">
        <f ca="1">Drivers!$P$118</f>
        <v>0.77</v>
      </c>
      <c r="Q69" s="389"/>
      <c r="R69" s="389"/>
      <c r="S69" s="389"/>
    </row>
    <row r="70" spans="2:35">
      <c r="B70" s="390" t="str">
        <f>INDEX($B$86:$B$92,U70)&amp;"000"</f>
        <v>IOC000</v>
      </c>
      <c r="C70" s="390" t="str">
        <f>INDEX(C$86:C$92,$U70)</f>
        <v>Construction</v>
      </c>
      <c r="D70" s="9" t="s">
        <v>48</v>
      </c>
      <c r="E70" s="9" t="str">
        <f>LEFT(B70,3)</f>
        <v>IOC</v>
      </c>
      <c r="F70" s="9"/>
      <c r="G70" s="391">
        <f t="array" ref="G70:G75">F$27:F$32/$I$27:$I$32*INDEX($K$7:$N$13,$U70,$H$27:$H$32)</f>
        <v>0</v>
      </c>
      <c r="H70" s="391">
        <f t="array" ref="H70:H75">G$27:G$32/$I$27:$I$32*INDEX($K$17:$N$23,$U70,$H$27:$H$32)</f>
        <v>0</v>
      </c>
      <c r="I70" s="389"/>
      <c r="J70" s="389"/>
      <c r="K70" s="392">
        <f>IF(G70=0,0,G70/I75)/M$76</f>
        <v>0</v>
      </c>
      <c r="L70" s="392">
        <f>IF(H70=0,0,H70/J75)/M$76</f>
        <v>0</v>
      </c>
      <c r="M70" s="389"/>
      <c r="N70" s="12">
        <v>2019</v>
      </c>
      <c r="O70" s="303"/>
      <c r="P70" s="303"/>
      <c r="Q70" s="389"/>
      <c r="R70" s="389"/>
      <c r="S70" s="389"/>
      <c r="U70">
        <v>6</v>
      </c>
    </row>
    <row r="71" spans="2:35">
      <c r="B71" s="390"/>
      <c r="C71" s="390"/>
      <c r="D71" s="9" t="s">
        <v>57</v>
      </c>
      <c r="E71" s="9" t="s">
        <v>395</v>
      </c>
      <c r="F71" s="9"/>
      <c r="G71" s="391">
        <v>3.2838488661497518</v>
      </c>
      <c r="H71" s="391">
        <v>3.731581607743645</v>
      </c>
      <c r="I71" s="389"/>
      <c r="J71" s="389"/>
      <c r="K71" s="392">
        <v>0</v>
      </c>
      <c r="L71" s="392">
        <v>0</v>
      </c>
      <c r="M71" s="389"/>
      <c r="N71" s="12">
        <v>2019</v>
      </c>
      <c r="O71" s="303">
        <v>0.1</v>
      </c>
      <c r="P71" s="303"/>
      <c r="Q71" s="389"/>
      <c r="R71" s="389"/>
      <c r="S71" s="389"/>
    </row>
    <row r="72" spans="2:35">
      <c r="B72" s="390"/>
      <c r="C72" s="390"/>
      <c r="D72" s="9" t="s">
        <v>60</v>
      </c>
      <c r="E72" s="9"/>
      <c r="F72" s="9"/>
      <c r="G72" s="391">
        <v>0</v>
      </c>
      <c r="H72" s="391">
        <v>0</v>
      </c>
      <c r="I72" s="389"/>
      <c r="J72" s="389"/>
      <c r="K72" s="392">
        <f>IF(G72=0,0,G72/I75)/M$76</f>
        <v>0</v>
      </c>
      <c r="L72" s="392">
        <f>IF(H72=0,0,H72/J75)/M$76</f>
        <v>0</v>
      </c>
      <c r="M72" s="389"/>
      <c r="N72" s="12">
        <v>2019</v>
      </c>
      <c r="O72" s="303"/>
      <c r="P72" s="303"/>
      <c r="Q72" s="389"/>
      <c r="R72" s="389"/>
      <c r="S72" s="389"/>
    </row>
    <row r="73" spans="2:35">
      <c r="B73" s="390"/>
      <c r="C73" s="390"/>
      <c r="D73" s="9" t="s">
        <v>61</v>
      </c>
      <c r="E73" s="9"/>
      <c r="F73" s="9"/>
      <c r="G73" s="391">
        <v>0</v>
      </c>
      <c r="H73" s="391">
        <v>0</v>
      </c>
      <c r="I73" s="389"/>
      <c r="J73" s="389"/>
      <c r="K73" s="392">
        <f>IF(G73=0,0,G73/I75)/M$76</f>
        <v>0</v>
      </c>
      <c r="L73" s="392">
        <f>IF(H73=0,0,H73/J75)/M$76</f>
        <v>0</v>
      </c>
      <c r="M73" s="389"/>
      <c r="N73" s="12">
        <v>2019</v>
      </c>
      <c r="O73" s="303"/>
      <c r="P73" s="303"/>
      <c r="Q73" s="389"/>
      <c r="R73" s="389"/>
      <c r="S73" s="389"/>
    </row>
    <row r="74" spans="2:35">
      <c r="B74" s="390"/>
      <c r="C74" s="390"/>
      <c r="D74" s="52" t="s">
        <v>75</v>
      </c>
      <c r="E74" s="52"/>
      <c r="F74" s="52"/>
      <c r="G74" s="391">
        <v>4.0075253897036616</v>
      </c>
      <c r="H74" s="391">
        <v>3.885432939981273</v>
      </c>
      <c r="I74" s="389"/>
      <c r="J74" s="389"/>
      <c r="K74" s="392">
        <f>IF(G74=0,0,G74/I75)/M$76</f>
        <v>0.2717265697849644</v>
      </c>
      <c r="L74" s="392">
        <f>IF(H74=0,0,H74/J75)/M$76</f>
        <v>0.28331857511863973</v>
      </c>
      <c r="M74" s="389"/>
      <c r="N74" s="12">
        <v>2019</v>
      </c>
      <c r="O74" s="303"/>
      <c r="P74" s="303"/>
      <c r="Q74" s="389"/>
      <c r="R74" s="389"/>
      <c r="S74" s="389"/>
    </row>
    <row r="75" spans="2:35">
      <c r="B75" s="390"/>
      <c r="C75" s="390"/>
      <c r="D75" s="52" t="s">
        <v>1332</v>
      </c>
      <c r="E75" s="52"/>
      <c r="F75" s="52"/>
      <c r="G75" s="391">
        <v>10.740849761372241</v>
      </c>
      <c r="H75" s="391">
        <v>9.8285741220486251</v>
      </c>
      <c r="I75" s="391">
        <f>SUM(G70:G75)-G71</f>
        <v>14.748375151075903</v>
      </c>
      <c r="J75" s="391">
        <f>SUM(H70:H75)-H71</f>
        <v>13.714007062029896</v>
      </c>
      <c r="K75" s="392">
        <f>IF(G75=0,0,G75/I75)/M$76</f>
        <v>0.72827343021503554</v>
      </c>
      <c r="L75" s="392">
        <f>IF(H75=0,0,H75/J75)/M$76</f>
        <v>0.71668142488136044</v>
      </c>
      <c r="M75" s="389"/>
      <c r="N75" s="12">
        <v>2019</v>
      </c>
      <c r="O75" s="303"/>
      <c r="P75" s="303"/>
      <c r="Q75" s="389"/>
      <c r="R75" s="389"/>
      <c r="S75" s="389"/>
    </row>
    <row r="76" spans="2:35" ht="16.5" customHeight="1">
      <c r="B76" s="35" t="s">
        <v>78</v>
      </c>
      <c r="C76" s="300" t="s">
        <v>1222</v>
      </c>
      <c r="D76" s="9" t="s">
        <v>48</v>
      </c>
      <c r="E76" s="9" t="str">
        <f>LEFT(B76,3)</f>
        <v>IOI</v>
      </c>
      <c r="F76" s="9"/>
      <c r="G76" s="21">
        <f t="array" ref="G76:G80">F$27:F$31/$I$27:$I$31*INDEX($K$7:$N$13,$U76,$H$27:$H$31)</f>
        <v>8.4126147263765105</v>
      </c>
      <c r="H76" s="21">
        <f t="array" ref="H76:H80">G$27:G$31/$I$27:$I$31*INDEX($K$17:$N$23,$U76,$H$27:$H$31)</f>
        <v>4.3982569838380803</v>
      </c>
      <c r="I76" s="31">
        <v>1</v>
      </c>
      <c r="J76" s="31">
        <v>1</v>
      </c>
      <c r="K76" s="62">
        <f>IF(G76=0,0,G76/I80)/M$76</f>
        <v>0.39535103566855029</v>
      </c>
      <c r="L76" s="62">
        <f>IF(H76=0,0,H76/J80)/M$76</f>
        <v>0.38223472114663165</v>
      </c>
      <c r="M76" s="31">
        <v>1</v>
      </c>
      <c r="N76" s="12">
        <v>2019</v>
      </c>
      <c r="O76" s="17"/>
      <c r="P76" s="17"/>
      <c r="Q76" s="12"/>
      <c r="R76" s="12"/>
      <c r="S76" s="12"/>
      <c r="U76">
        <v>7</v>
      </c>
    </row>
    <row r="77" spans="2:35">
      <c r="B77" s="9"/>
      <c r="C77" s="23"/>
      <c r="D77" s="9" t="s">
        <v>57</v>
      </c>
      <c r="E77" s="9" t="s">
        <v>395</v>
      </c>
      <c r="F77" s="9"/>
      <c r="G77" s="21">
        <v>2.1874093113121664</v>
      </c>
      <c r="H77" s="21">
        <v>2.0472178643077203</v>
      </c>
      <c r="I77" s="62"/>
      <c r="J77" s="62"/>
      <c r="K77" s="62">
        <f>IF(G77=0,0,G77/I80)/M$76</f>
        <v>0.10279735430494158</v>
      </c>
      <c r="L77" s="62">
        <f>IF(H77=0,0,H77/J80)/M$76</f>
        <v>0.17791542248793535</v>
      </c>
      <c r="M77" s="62"/>
      <c r="N77" s="12">
        <v>2019</v>
      </c>
      <c r="O77" s="303">
        <v>0.1</v>
      </c>
      <c r="P77" s="542"/>
      <c r="Q77" s="9"/>
      <c r="R77" s="9"/>
      <c r="S77" s="9"/>
    </row>
    <row r="78" spans="2:35">
      <c r="B78" s="9"/>
      <c r="C78" s="23"/>
      <c r="D78" s="9" t="s">
        <v>60</v>
      </c>
      <c r="E78" s="9"/>
      <c r="F78" s="9"/>
      <c r="G78" s="21">
        <v>0</v>
      </c>
      <c r="H78" s="21">
        <v>0</v>
      </c>
      <c r="I78" s="62"/>
      <c r="J78" s="62"/>
      <c r="K78" s="62">
        <f>IF(G78=0,0,G78/I80)/M$76</f>
        <v>0</v>
      </c>
      <c r="L78" s="62">
        <f>IF(H78=0,0,H78/J80)/M$76</f>
        <v>0</v>
      </c>
      <c r="M78" s="62"/>
      <c r="N78" s="12">
        <v>2019</v>
      </c>
      <c r="O78" s="542"/>
      <c r="P78" s="542"/>
      <c r="Q78" s="9"/>
      <c r="R78" s="9"/>
      <c r="S78" s="9"/>
    </row>
    <row r="79" spans="2:35">
      <c r="B79" s="9"/>
      <c r="C79" s="23"/>
      <c r="D79" s="9" t="s">
        <v>61</v>
      </c>
      <c r="E79" s="9"/>
      <c r="F79" s="9"/>
      <c r="G79" s="21">
        <v>0</v>
      </c>
      <c r="H79" s="21">
        <v>0</v>
      </c>
      <c r="I79" s="62"/>
      <c r="J79" s="62"/>
      <c r="K79" s="62">
        <f>IF(G79=0,0,G79/I80)/M$76</f>
        <v>0</v>
      </c>
      <c r="L79" s="62">
        <f>IF(H79=0,0,H79/J80)/M$76</f>
        <v>0</v>
      </c>
      <c r="M79" s="62"/>
      <c r="N79" s="12">
        <v>2019</v>
      </c>
      <c r="O79" s="542"/>
      <c r="P79" s="542"/>
      <c r="Q79" s="9"/>
      <c r="R79" s="9"/>
      <c r="S79" s="9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472"/>
    </row>
    <row r="80" spans="2:35">
      <c r="B80" s="52"/>
      <c r="C80" s="50"/>
      <c r="D80" s="52" t="s">
        <v>75</v>
      </c>
      <c r="E80" s="52"/>
      <c r="F80" s="52"/>
      <c r="G80" s="53">
        <v>10.678824295541386</v>
      </c>
      <c r="H80" s="53">
        <v>5.0612165655597465</v>
      </c>
      <c r="I80" s="391">
        <f>SUM(G76:G80)</f>
        <v>21.278848333230062</v>
      </c>
      <c r="J80" s="391">
        <f>SUM(H76:H80)</f>
        <v>11.506691413705546</v>
      </c>
      <c r="K80" s="62">
        <f>IF(G80=0,0,G80/I80)/M$76</f>
        <v>0.50185161002650813</v>
      </c>
      <c r="L80" s="62">
        <f>IF(H80=0,0,H80/J80)/M$76</f>
        <v>0.43984985636543306</v>
      </c>
      <c r="M80" s="544"/>
      <c r="N80" s="12">
        <v>2019</v>
      </c>
      <c r="O80" s="543"/>
      <c r="P80" s="543"/>
      <c r="Q80" s="52"/>
      <c r="R80" s="52"/>
      <c r="S80" s="52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</row>
    <row r="81" spans="2:34">
      <c r="B81" s="192" t="s">
        <v>902</v>
      </c>
      <c r="C81" s="198"/>
      <c r="D81" s="198"/>
      <c r="E81" s="198"/>
      <c r="F81" s="198"/>
      <c r="G81" s="199">
        <f>SUM(G38:G80)-G64</f>
        <v>91.426137428044953</v>
      </c>
      <c r="H81" s="199">
        <f>SUM(H38:H80)-H64</f>
        <v>83.539450990242671</v>
      </c>
      <c r="I81" s="199"/>
      <c r="J81" s="199"/>
      <c r="K81" s="393">
        <f>SUM(K38:K80)</f>
        <v>7.9528301434461888</v>
      </c>
      <c r="L81" s="393">
        <f>SUM(L38:L80)</f>
        <v>8.2274609983603142</v>
      </c>
      <c r="M81" s="199"/>
      <c r="N81" s="198"/>
      <c r="O81" s="200"/>
      <c r="P81" s="200"/>
      <c r="Q81" s="200"/>
      <c r="R81" s="200"/>
      <c r="S81" s="200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</row>
    <row r="82" spans="2:34">
      <c r="G82" s="2"/>
      <c r="O82" s="77"/>
      <c r="P82" s="77"/>
      <c r="S82" s="77"/>
      <c r="T82" s="77"/>
      <c r="U82" s="81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</row>
    <row r="83" spans="2:34">
      <c r="D83" s="216"/>
      <c r="N83" s="77"/>
      <c r="O83" s="77"/>
      <c r="P83" s="77"/>
      <c r="R83" s="77"/>
      <c r="S83" s="77"/>
      <c r="T83" s="81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</row>
    <row r="84" spans="2:34" ht="18">
      <c r="B84" s="124" t="s">
        <v>89</v>
      </c>
      <c r="C84" s="125"/>
      <c r="D84" s="225"/>
      <c r="M84" s="2"/>
      <c r="N84" s="77"/>
      <c r="O84" s="77"/>
      <c r="P84" s="77"/>
      <c r="R84" s="77"/>
      <c r="S84" s="77"/>
      <c r="T84" s="81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</row>
    <row r="85" spans="2:34" ht="26.25" thickBot="1">
      <c r="B85" s="25" t="s">
        <v>772</v>
      </c>
      <c r="C85" s="25" t="s">
        <v>773</v>
      </c>
      <c r="D85" s="25" t="s">
        <v>778</v>
      </c>
      <c r="E85" s="25" t="s">
        <v>1083</v>
      </c>
      <c r="F85" s="25" t="str">
        <f ca="1">"DEMAND~"&amp;AuxYear</f>
        <v>DEMAND~2017</v>
      </c>
      <c r="G85" s="25"/>
      <c r="M85" s="2"/>
      <c r="N85" s="77"/>
      <c r="O85" s="77"/>
      <c r="P85" s="77"/>
      <c r="R85" s="77"/>
      <c r="S85" s="77"/>
      <c r="T85" s="81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</row>
    <row r="86" spans="2:34">
      <c r="B86" s="27" t="s">
        <v>1112</v>
      </c>
      <c r="C86" s="27" t="s">
        <v>1123</v>
      </c>
      <c r="D86" s="483" t="s">
        <v>783</v>
      </c>
      <c r="E86" s="338">
        <f>I42</f>
        <v>2.9842363890829491</v>
      </c>
      <c r="F86" s="338">
        <f>J42</f>
        <v>2.1177847285562108</v>
      </c>
      <c r="G86" s="12"/>
      <c r="M86" s="2"/>
      <c r="N86" s="77"/>
      <c r="O86" s="77"/>
      <c r="P86" s="77"/>
      <c r="R86" s="77"/>
      <c r="S86" s="77"/>
      <c r="T86" s="81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</row>
    <row r="87" spans="2:34" ht="13.5" customHeight="1">
      <c r="B87" s="27" t="s">
        <v>1113</v>
      </c>
      <c r="C87" s="27" t="s">
        <v>1122</v>
      </c>
      <c r="D87" s="483" t="s">
        <v>783</v>
      </c>
      <c r="E87" s="338">
        <f>I47</f>
        <v>9.5373076648351436</v>
      </c>
      <c r="F87" s="338">
        <f>J47</f>
        <v>8.8041230321181274</v>
      </c>
      <c r="G87" s="12"/>
      <c r="N87" s="77"/>
      <c r="O87" s="77"/>
      <c r="P87" s="77"/>
      <c r="R87" s="77"/>
      <c r="S87" s="77"/>
      <c r="T87" s="81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</row>
    <row r="88" spans="2:34">
      <c r="B88" s="27" t="s">
        <v>1114</v>
      </c>
      <c r="C88" s="27" t="s">
        <v>1121</v>
      </c>
      <c r="D88" s="483" t="s">
        <v>783</v>
      </c>
      <c r="E88" s="338">
        <f>I53</f>
        <v>5.3031213213044275</v>
      </c>
      <c r="F88" s="338">
        <f>J53</f>
        <v>5.3031213213044275</v>
      </c>
      <c r="G88" s="12"/>
      <c r="M88" s="77"/>
      <c r="N88" s="77"/>
      <c r="O88" s="77"/>
      <c r="P88" s="77"/>
      <c r="R88" s="77"/>
      <c r="S88" s="77"/>
      <c r="T88" s="81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</row>
    <row r="89" spans="2:34">
      <c r="B89" s="27" t="s">
        <v>1115</v>
      </c>
      <c r="C89" s="27" t="s">
        <v>1120</v>
      </c>
      <c r="D89" s="483" t="s">
        <v>783</v>
      </c>
      <c r="E89" s="338">
        <f>I58</f>
        <v>12.256571510270417</v>
      </c>
      <c r="F89" s="338">
        <f>J58</f>
        <v>13.014391507816876</v>
      </c>
      <c r="G89" s="12"/>
      <c r="M89" s="77"/>
      <c r="N89" s="77"/>
      <c r="O89" s="77"/>
      <c r="P89" s="77"/>
      <c r="R89" s="77"/>
      <c r="S89" s="77"/>
      <c r="T89" s="81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</row>
    <row r="90" spans="2:34">
      <c r="B90" s="27" t="s">
        <v>1116</v>
      </c>
      <c r="C90" s="27" t="s">
        <v>1119</v>
      </c>
      <c r="D90" s="483" t="s">
        <v>783</v>
      </c>
      <c r="E90" s="338">
        <f>I64</f>
        <v>10.499821000000001</v>
      </c>
      <c r="F90" s="338">
        <f>J64</f>
        <v>13.102</v>
      </c>
      <c r="G90" s="12"/>
      <c r="M90" s="77"/>
      <c r="N90" s="77"/>
      <c r="O90" s="77"/>
      <c r="P90" s="77"/>
      <c r="R90" s="77"/>
      <c r="S90" s="77"/>
      <c r="T90" s="81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</row>
    <row r="91" spans="2:34">
      <c r="B91" s="27" t="s">
        <v>1117</v>
      </c>
      <c r="C91" s="27" t="s">
        <v>1118</v>
      </c>
      <c r="D91" s="483" t="s">
        <v>783</v>
      </c>
      <c r="E91" s="338">
        <f>I75</f>
        <v>14.748375151075903</v>
      </c>
      <c r="F91" s="338">
        <f>J75</f>
        <v>13.714007062029896</v>
      </c>
      <c r="G91" s="12"/>
      <c r="M91" s="77"/>
      <c r="N91" s="77"/>
      <c r="O91" s="77"/>
      <c r="P91" s="77"/>
      <c r="R91" s="77"/>
      <c r="S91" s="77"/>
      <c r="T91" s="81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</row>
    <row r="92" spans="2:34">
      <c r="B92" s="27" t="s">
        <v>722</v>
      </c>
      <c r="C92" s="27" t="s">
        <v>790</v>
      </c>
      <c r="D92" s="483" t="s">
        <v>783</v>
      </c>
      <c r="E92" s="338">
        <f>I80</f>
        <v>21.278848333230062</v>
      </c>
      <c r="F92" s="338">
        <f>J80</f>
        <v>11.506691413705546</v>
      </c>
      <c r="G92" s="12"/>
      <c r="M92" s="77"/>
      <c r="N92" s="77"/>
      <c r="O92" s="77"/>
      <c r="P92" s="77"/>
      <c r="R92" s="77"/>
      <c r="S92" s="77"/>
      <c r="T92" s="81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</row>
    <row r="93" spans="2:34">
      <c r="B93" s="27" t="s">
        <v>151</v>
      </c>
      <c r="C93" s="148" t="s">
        <v>150</v>
      </c>
      <c r="D93" s="483" t="s">
        <v>783</v>
      </c>
      <c r="E93" s="338">
        <f ca="1">ONO!E39</f>
        <v>4.0717095390000004</v>
      </c>
      <c r="F93" s="338">
        <f ca="1">ONO!F39</f>
        <v>4.0717095390000004</v>
      </c>
      <c r="G93" s="12"/>
      <c r="M93" s="77"/>
      <c r="N93" s="77"/>
      <c r="O93" s="77"/>
      <c r="P93" s="77"/>
      <c r="R93" s="77"/>
      <c r="S93" s="77"/>
      <c r="T93" s="81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</row>
    <row r="94" spans="2:34">
      <c r="B94" s="27" t="s">
        <v>21</v>
      </c>
      <c r="C94" s="148" t="s">
        <v>24</v>
      </c>
      <c r="D94" s="483" t="s">
        <v>783</v>
      </c>
      <c r="E94" s="338">
        <f ca="1">ONO!E40</f>
        <v>12.949998600000001</v>
      </c>
      <c r="F94" s="338">
        <f ca="1">ONO!F40</f>
        <v>12.949998600000001</v>
      </c>
      <c r="G94" s="12"/>
      <c r="M94" s="77"/>
      <c r="N94" s="77"/>
      <c r="O94" s="77"/>
      <c r="P94" s="77"/>
      <c r="R94" s="77"/>
      <c r="S94" s="77"/>
      <c r="T94" s="81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</row>
    <row r="95" spans="2:34" ht="13.5" thickBot="1">
      <c r="B95" s="25" t="s">
        <v>177</v>
      </c>
      <c r="C95" s="510" t="s">
        <v>176</v>
      </c>
      <c r="D95" s="507" t="s">
        <v>783</v>
      </c>
      <c r="E95" s="508">
        <v>1</v>
      </c>
      <c r="F95" s="508">
        <v>1</v>
      </c>
      <c r="G95" s="509"/>
      <c r="L95" s="77"/>
      <c r="M95" s="77"/>
      <c r="N95" s="77"/>
      <c r="O95" s="77"/>
      <c r="P95" s="77"/>
      <c r="R95" s="77"/>
      <c r="S95" s="77"/>
      <c r="T95" s="81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</row>
    <row r="96" spans="2:34">
      <c r="B96" s="77"/>
      <c r="C96" s="77"/>
      <c r="D96" s="77"/>
      <c r="E96" s="77"/>
      <c r="F96" s="77"/>
      <c r="K96" s="77"/>
      <c r="L96" s="77"/>
      <c r="M96" s="77"/>
      <c r="N96" s="77"/>
      <c r="O96" s="77"/>
      <c r="P96" s="77"/>
      <c r="R96" s="77"/>
      <c r="S96" s="77"/>
      <c r="T96" s="81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</row>
    <row r="97" spans="2:34"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R97" s="77"/>
      <c r="S97" s="77"/>
      <c r="T97" s="81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</row>
    <row r="98" spans="2:34"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R98" s="77"/>
      <c r="S98" s="77"/>
      <c r="T98" s="81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</row>
    <row r="99" spans="2:34"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R99" s="77"/>
      <c r="S99" s="77"/>
      <c r="T99" s="81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</row>
    <row r="100" spans="2:34"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R100" s="77"/>
      <c r="S100" s="77"/>
      <c r="T100" s="81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</row>
    <row r="101" spans="2:34"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R101" s="77"/>
      <c r="S101" s="77"/>
      <c r="T101" s="81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</row>
    <row r="102" spans="2:34"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R102" s="77"/>
      <c r="S102" s="77"/>
      <c r="T102" s="81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</row>
    <row r="103" spans="2:34"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R103" s="77"/>
      <c r="S103" s="77"/>
      <c r="T103" s="81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</row>
    <row r="104" spans="2:34"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R104" s="77"/>
      <c r="S104" s="77"/>
      <c r="T104" s="81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</row>
    <row r="105" spans="2:34"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R105" s="77"/>
      <c r="S105" s="77"/>
      <c r="T105" s="81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</row>
    <row r="106" spans="2:34"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R106" s="77"/>
      <c r="S106" s="77"/>
      <c r="T106" s="81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5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23.28515625" customWidth="1"/>
    <col min="3" max="3" width="24.28515625" customWidth="1"/>
    <col min="4" max="5" width="10.7109375" customWidth="1"/>
    <col min="6" max="27" width="8.85546875" customWidth="1"/>
    <col min="28" max="28" width="9.7109375" bestFit="1" customWidth="1"/>
  </cols>
  <sheetData>
    <row r="1" spans="1:27">
      <c r="E1" s="216"/>
    </row>
    <row r="2" spans="1:27">
      <c r="E2" s="216"/>
    </row>
    <row r="3" spans="1:27">
      <c r="E3" s="216"/>
    </row>
    <row r="4" spans="1:27">
      <c r="E4" s="216"/>
      <c r="R4" s="12">
        <v>1</v>
      </c>
      <c r="S4" t="s">
        <v>146</v>
      </c>
    </row>
    <row r="5" spans="1:27" ht="18">
      <c r="A5" s="8"/>
      <c r="B5" s="10"/>
      <c r="C5" s="11"/>
      <c r="E5" s="216"/>
      <c r="I5" t="s">
        <v>784</v>
      </c>
    </row>
    <row r="6" spans="1:27" ht="18">
      <c r="B6" s="86" t="s">
        <v>11</v>
      </c>
      <c r="C6" s="88"/>
      <c r="D6" s="123"/>
      <c r="E6" s="225" t="str">
        <f>"~FI_T: "&amp;Region</f>
        <v>~FI_T: FIN</v>
      </c>
      <c r="F6" s="1"/>
      <c r="G6" s="1"/>
      <c r="I6" s="1" t="s">
        <v>784</v>
      </c>
      <c r="J6" s="1" t="s">
        <v>784</v>
      </c>
      <c r="K6" s="1" t="s">
        <v>784</v>
      </c>
      <c r="L6" s="1" t="s">
        <v>784</v>
      </c>
      <c r="Q6" s="1"/>
      <c r="R6" s="1"/>
    </row>
    <row r="7" spans="1:27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CONCATENATE("\I:",IEAData!$D$2," final energy")</f>
        <v>\I:2010 final energy</v>
      </c>
      <c r="H7" s="64" t="str">
        <f ca="1">CONCATENATE("\I:",AuxYear," final energy")</f>
        <v>\I:2017 final energy</v>
      </c>
      <c r="I7" s="64" t="str">
        <f ca="1">CONCATENATE("\I:",IEAData!$D$2," EFF")</f>
        <v>\I:2010 EFF</v>
      </c>
      <c r="J7" s="64" t="s">
        <v>721</v>
      </c>
      <c r="K7" s="45" t="s">
        <v>388</v>
      </c>
      <c r="L7" s="45" t="str">
        <f ca="1">"INPUT~"&amp;AuxYear</f>
        <v>INPUT~2017</v>
      </c>
      <c r="M7" s="64" t="str">
        <f ca="1">CONCATENATE("\I:",AuxData!$D$2," Service Demand")</f>
        <v>\I:2017 Service Demand</v>
      </c>
      <c r="N7" s="45" t="s">
        <v>848</v>
      </c>
      <c r="O7" s="45" t="s">
        <v>79</v>
      </c>
      <c r="P7" s="45" t="s">
        <v>872</v>
      </c>
      <c r="Q7" s="45" t="s">
        <v>556</v>
      </c>
      <c r="R7" s="45" t="str">
        <f ca="1">"RESID~"&amp;BaseYear</f>
        <v>RESID~2010</v>
      </c>
      <c r="S7" s="45" t="str">
        <f ca="1">"RESID~"&amp;AuxYear</f>
        <v>RESID~2017</v>
      </c>
      <c r="T7" s="45" t="str">
        <f ca="1">"RESID~"&amp;CEILING(AuxYear+12,5)</f>
        <v>RESID~2030</v>
      </c>
      <c r="U7" s="45" t="str">
        <f ca="1">"RESID~"&amp;CEILING(AuxYear+27,5)</f>
        <v>RESID~2045</v>
      </c>
      <c r="V7" s="45" t="s">
        <v>1313</v>
      </c>
      <c r="W7" s="45" t="s">
        <v>52</v>
      </c>
      <c r="X7" s="45" t="s">
        <v>51</v>
      </c>
      <c r="Y7" s="45" t="s">
        <v>552</v>
      </c>
      <c r="Z7" s="45" t="s">
        <v>499</v>
      </c>
      <c r="AA7" s="126" t="s">
        <v>959</v>
      </c>
    </row>
    <row r="8" spans="1:27">
      <c r="B8" s="35" t="s">
        <v>152</v>
      </c>
      <c r="C8" s="300" t="s">
        <v>546</v>
      </c>
      <c r="D8" s="9" t="str">
        <f ca="1">IEAData!K38</f>
        <v>INDHFO</v>
      </c>
      <c r="E8" s="52"/>
      <c r="F8" s="340">
        <f ca="1">MATCH(D8,Calibration!$C$3:$T$3,0)</f>
        <v>10</v>
      </c>
      <c r="G8" s="53">
        <f ca="1">INDEX(IEAData!D$64:T$64,$F8)*INDEX(Calibration!$C$95:$T$95,$F8)</f>
        <v>0.32596684670213816</v>
      </c>
      <c r="H8" s="53">
        <f ca="1">INDEX(AuxData!$D$64:$T$64,$F8)*INDEX(Calibrati2!$C$95:$T$95,$F8)</f>
        <v>0.10608653768376893</v>
      </c>
      <c r="I8" s="17">
        <v>0.81</v>
      </c>
      <c r="J8" s="31">
        <v>1</v>
      </c>
      <c r="K8" s="542">
        <f>1/I8</f>
        <v>1.2345679012345678</v>
      </c>
      <c r="L8" s="542">
        <f>1/J8/I8</f>
        <v>1.2345679012345678</v>
      </c>
      <c r="M8" s="62">
        <f>H8/L8</f>
        <v>8.5930095523852834E-2</v>
      </c>
      <c r="N8" s="17">
        <v>1</v>
      </c>
      <c r="O8" s="49">
        <v>0.72</v>
      </c>
      <c r="P8" s="12"/>
      <c r="Q8" s="12">
        <v>30</v>
      </c>
      <c r="R8" s="544">
        <f>G8/K8/O8</f>
        <v>0.36671270253990551</v>
      </c>
      <c r="S8" s="544">
        <f>M8/O8</f>
        <v>0.11934735489424005</v>
      </c>
      <c r="T8" s="49"/>
      <c r="U8" s="52">
        <v>0</v>
      </c>
      <c r="V8" s="12"/>
      <c r="W8" s="12"/>
      <c r="X8" s="12"/>
      <c r="Y8" s="54"/>
      <c r="Z8" s="54"/>
      <c r="AA8" s="128">
        <f>M8/$M$24</f>
        <v>3.2758999395604777E-3</v>
      </c>
    </row>
    <row r="9" spans="1:27">
      <c r="B9" s="9"/>
      <c r="C9" s="300"/>
      <c r="D9" s="9"/>
      <c r="E9" s="52" t="s">
        <v>48</v>
      </c>
      <c r="F9" s="340"/>
      <c r="G9" s="21"/>
      <c r="H9" s="21"/>
      <c r="I9" s="17"/>
      <c r="J9" s="31"/>
      <c r="K9" s="542"/>
      <c r="L9" s="542"/>
      <c r="M9" s="62"/>
      <c r="N9" s="17"/>
      <c r="O9" s="12"/>
      <c r="P9" s="12"/>
      <c r="Q9" s="12"/>
      <c r="R9" s="544"/>
      <c r="S9" s="544"/>
      <c r="T9" s="49"/>
      <c r="U9" s="52"/>
      <c r="V9" s="12"/>
      <c r="W9" s="12"/>
      <c r="X9" s="12"/>
      <c r="Y9" s="55"/>
      <c r="Z9" s="55"/>
    </row>
    <row r="10" spans="1:27">
      <c r="B10" s="35" t="s">
        <v>153</v>
      </c>
      <c r="C10" s="300" t="s">
        <v>47</v>
      </c>
      <c r="D10" s="9" t="s">
        <v>1365</v>
      </c>
      <c r="E10" s="52"/>
      <c r="F10" s="340">
        <f ca="1">MATCH(IF(D10="INDDST","INDOIL",D10),Calibration!$C$3:$T$3,0)</f>
        <v>11</v>
      </c>
      <c r="G10" s="53">
        <f ca="1">INDEX(IEAData!D$64:T$64,$F10)*INDEX(Calibration!$C$95:$T$95,$F10)</f>
        <v>0.93866569402894973</v>
      </c>
      <c r="H10" s="53">
        <f ca="1">INDEX(AuxData!$D$64:$T$64,$F10)*INDEX(Calibrati2!$C$95:$T$95,$F10)</f>
        <v>0.88865229337640583</v>
      </c>
      <c r="I10" s="17">
        <v>0.81</v>
      </c>
      <c r="J10" s="31">
        <v>1</v>
      </c>
      <c r="K10" s="542">
        <f>1/I10</f>
        <v>1.2345679012345678</v>
      </c>
      <c r="L10" s="542">
        <f>1/J10/I10</f>
        <v>1.2345679012345678</v>
      </c>
      <c r="M10" s="62">
        <f>H10/L10</f>
        <v>0.71980835763488882</v>
      </c>
      <c r="N10" s="17">
        <v>1</v>
      </c>
      <c r="O10" s="49">
        <v>0.72</v>
      </c>
      <c r="P10" s="12"/>
      <c r="Q10" s="12">
        <v>30</v>
      </c>
      <c r="R10" s="544">
        <f>G10/K10/O10</f>
        <v>1.0559989057825685</v>
      </c>
      <c r="S10" s="544">
        <f>M10/O10</f>
        <v>0.99973383004845673</v>
      </c>
      <c r="T10" s="49"/>
      <c r="U10" s="52">
        <v>0</v>
      </c>
      <c r="V10" s="12"/>
      <c r="W10" s="12"/>
      <c r="X10" s="12"/>
      <c r="Y10" s="55"/>
      <c r="Z10" s="55"/>
      <c r="AA10" s="128">
        <f>M10/$M$24</f>
        <v>2.7441144349906021E-2</v>
      </c>
    </row>
    <row r="11" spans="1:27">
      <c r="B11" s="9"/>
      <c r="C11" s="300"/>
      <c r="D11" s="9"/>
      <c r="E11" s="52" t="s">
        <v>48</v>
      </c>
      <c r="F11" s="340"/>
      <c r="G11" s="21"/>
      <c r="H11" s="21"/>
      <c r="I11" s="17"/>
      <c r="J11" s="31"/>
      <c r="K11" s="542"/>
      <c r="L11" s="542"/>
      <c r="M11" s="62"/>
      <c r="N11" s="17"/>
      <c r="O11" s="12"/>
      <c r="P11" s="12"/>
      <c r="Q11" s="12"/>
      <c r="R11" s="544"/>
      <c r="S11" s="544"/>
      <c r="T11" s="49"/>
      <c r="U11" s="52"/>
      <c r="V11" s="12"/>
      <c r="W11" s="12"/>
      <c r="X11" s="12"/>
      <c r="Y11" s="55"/>
      <c r="Z11" s="55"/>
    </row>
    <row r="12" spans="1:27">
      <c r="B12" s="35" t="s">
        <v>154</v>
      </c>
      <c r="C12" s="300" t="s">
        <v>547</v>
      </c>
      <c r="D12" s="9" t="str">
        <f ca="1">IEAData!C38</f>
        <v>INDNGA</v>
      </c>
      <c r="E12" s="52"/>
      <c r="F12" s="340">
        <f ca="1">MATCH(D12,Calibration!$C$3:$T$3,0)</f>
        <v>2</v>
      </c>
      <c r="G12" s="53">
        <f ca="1">INDEX(IEAData!D$64:T$64,$F12)*INDEX(Calibration!$C$95:$T$95,$F12)</f>
        <v>0.21847280135018077</v>
      </c>
      <c r="H12" s="53">
        <f ca="1">INDEX(AuxData!$D$64:$T$64,$F12)*INDEX(Calibrati2!$C$95:$T$95,$F12)</f>
        <v>0.12453355114554923</v>
      </c>
      <c r="I12" s="17">
        <v>0.81</v>
      </c>
      <c r="J12" s="31">
        <v>1</v>
      </c>
      <c r="K12" s="542">
        <f>1/I12</f>
        <v>1.2345679012345678</v>
      </c>
      <c r="L12" s="542">
        <f>1/J12/I12</f>
        <v>1.2345679012345678</v>
      </c>
      <c r="M12" s="62">
        <f>H12/L12</f>
        <v>0.10087217642789488</v>
      </c>
      <c r="N12" s="17">
        <v>1</v>
      </c>
      <c r="O12" s="49">
        <v>0.72</v>
      </c>
      <c r="P12" s="12"/>
      <c r="Q12" s="12">
        <v>30</v>
      </c>
      <c r="R12" s="544">
        <f>G12/K12/O12</f>
        <v>0.24578190151895338</v>
      </c>
      <c r="S12" s="544">
        <f>M12/O12</f>
        <v>0.14010024503874288</v>
      </c>
      <c r="T12" s="49"/>
      <c r="U12" s="52">
        <v>0</v>
      </c>
      <c r="V12" s="12"/>
      <c r="W12" s="12"/>
      <c r="X12" s="12"/>
      <c r="Y12" s="55"/>
      <c r="Z12" s="55"/>
      <c r="AA12" s="128">
        <f>M12/$M$24</f>
        <v>3.8455346133270361E-3</v>
      </c>
    </row>
    <row r="13" spans="1:27">
      <c r="B13" s="9"/>
      <c r="C13" s="300"/>
      <c r="D13" s="9"/>
      <c r="E13" s="52" t="s">
        <v>48</v>
      </c>
      <c r="F13" s="340"/>
      <c r="G13" s="21"/>
      <c r="H13" s="21"/>
      <c r="I13" s="17"/>
      <c r="J13" s="31"/>
      <c r="K13" s="542"/>
      <c r="L13" s="542"/>
      <c r="M13" s="62"/>
      <c r="N13" s="17"/>
      <c r="O13" s="12"/>
      <c r="P13" s="12"/>
      <c r="Q13" s="12"/>
      <c r="R13" s="544"/>
      <c r="S13" s="544"/>
      <c r="T13" s="49"/>
      <c r="U13" s="52"/>
      <c r="V13" s="12"/>
      <c r="W13" s="12"/>
      <c r="X13" s="12"/>
      <c r="Y13" s="55"/>
      <c r="Z13" s="55"/>
    </row>
    <row r="14" spans="1:27">
      <c r="A14" s="65"/>
      <c r="B14" s="264" t="s">
        <v>155</v>
      </c>
      <c r="C14" s="520" t="s">
        <v>548</v>
      </c>
      <c r="D14" s="52" t="str">
        <f ca="1">IEAData!F38</f>
        <v>INDCOA</v>
      </c>
      <c r="E14" s="52"/>
      <c r="F14" s="340">
        <f ca="1">MATCH(D14,Calibration!$C$3:$T$3,0)</f>
        <v>5</v>
      </c>
      <c r="G14" s="53">
        <f ca="1">INDEX(IEAData!D$64:T$64,$F14)*INDEX(Calibration!$C$95:$T$95,$F14)</f>
        <v>0</v>
      </c>
      <c r="H14" s="53">
        <f ca="1">INDEX(AuxData!$D$64:$T$64,$F14)*INDEX(Calibrati2!$C$95:$T$95,$F14)</f>
        <v>0.13502041702271925</v>
      </c>
      <c r="I14" s="57">
        <v>0.81</v>
      </c>
      <c r="J14" s="55">
        <v>1</v>
      </c>
      <c r="K14" s="542">
        <f>1/I14</f>
        <v>1.2345679012345678</v>
      </c>
      <c r="L14" s="542">
        <f>1/J14/I14</f>
        <v>1.2345679012345678</v>
      </c>
      <c r="M14" s="62">
        <f>H14/L14</f>
        <v>0.10936653778840259</v>
      </c>
      <c r="N14" s="57">
        <v>1</v>
      </c>
      <c r="O14" s="49">
        <v>0.72</v>
      </c>
      <c r="P14" s="49"/>
      <c r="Q14" s="49">
        <v>30</v>
      </c>
      <c r="R14" s="544">
        <f>G14/K14/O14</f>
        <v>0</v>
      </c>
      <c r="S14" s="544">
        <f>M14/O14</f>
        <v>0.15189796915055917</v>
      </c>
      <c r="T14" s="49"/>
      <c r="U14" s="52">
        <v>0</v>
      </c>
      <c r="V14" s="49"/>
      <c r="W14" s="49"/>
      <c r="X14" s="49"/>
      <c r="Y14" s="55"/>
      <c r="Z14" s="55"/>
      <c r="AA14" s="128">
        <f>M14/$M$24</f>
        <v>4.1693638572939283E-3</v>
      </c>
    </row>
    <row r="15" spans="1:27">
      <c r="A15" s="6"/>
      <c r="B15" s="52"/>
      <c r="C15" s="520"/>
      <c r="D15" s="52"/>
      <c r="E15" s="52" t="s">
        <v>48</v>
      </c>
      <c r="F15" s="340"/>
      <c r="G15" s="53"/>
      <c r="H15" s="53"/>
      <c r="I15" s="55"/>
      <c r="J15" s="55"/>
      <c r="K15" s="543"/>
      <c r="L15" s="543"/>
      <c r="M15" s="544"/>
      <c r="N15" s="57"/>
      <c r="O15" s="49"/>
      <c r="P15" s="49"/>
      <c r="Q15" s="49"/>
      <c r="R15" s="544"/>
      <c r="S15" s="544"/>
      <c r="T15" s="49"/>
      <c r="U15" s="52"/>
      <c r="V15" s="49"/>
      <c r="W15" s="49"/>
      <c r="X15" s="49"/>
      <c r="Y15" s="55"/>
      <c r="Z15" s="55"/>
      <c r="AA15" s="6"/>
    </row>
    <row r="16" spans="1:27">
      <c r="B16" s="264" t="s">
        <v>741</v>
      </c>
      <c r="C16" s="520" t="s">
        <v>740</v>
      </c>
      <c r="D16" s="59" t="str">
        <f ca="1">IEAData!H38</f>
        <v>INDCOG</v>
      </c>
      <c r="E16" s="52"/>
      <c r="F16" s="340">
        <f ca="1">MATCH(D16,Calibration!$C$3:$T$3,0)</f>
        <v>7</v>
      </c>
      <c r="G16" s="53">
        <f ca="1">INDEX(IEAData!D$64:T$64,$F16)*INDEX(Calibration!$C$95:$T$95,$F16)</f>
        <v>0</v>
      </c>
      <c r="H16" s="53">
        <f ca="1">INDEX(AuxData!$D$64:$T$64,$F16)*INDEX(Calibrati2!$C$95:$T$95,$F16)</f>
        <v>0</v>
      </c>
      <c r="I16" s="57">
        <v>0.81</v>
      </c>
      <c r="J16" s="55">
        <v>1</v>
      </c>
      <c r="K16" s="542">
        <f>1/I16</f>
        <v>1.2345679012345678</v>
      </c>
      <c r="L16" s="542">
        <f>1/J16/I16</f>
        <v>1.2345679012345678</v>
      </c>
      <c r="M16" s="62">
        <f>H16/L16</f>
        <v>0</v>
      </c>
      <c r="N16" s="57">
        <v>1</v>
      </c>
      <c r="O16" s="49">
        <v>0.72</v>
      </c>
      <c r="P16" s="49"/>
      <c r="Q16" s="49">
        <v>30</v>
      </c>
      <c r="R16" s="544">
        <f>G16/K16/O16</f>
        <v>0</v>
      </c>
      <c r="S16" s="544">
        <f>M16/O16</f>
        <v>0</v>
      </c>
      <c r="T16" s="49"/>
      <c r="U16" s="52">
        <v>0</v>
      </c>
      <c r="V16" s="49"/>
      <c r="W16" s="49"/>
      <c r="X16" s="49"/>
      <c r="Y16" s="55"/>
      <c r="Z16" s="55"/>
      <c r="AA16" s="128">
        <f>M16/$M$24</f>
        <v>0</v>
      </c>
    </row>
    <row r="17" spans="1:27">
      <c r="A17" s="6"/>
      <c r="B17" s="52"/>
      <c r="C17" s="520"/>
      <c r="D17" s="59"/>
      <c r="E17" s="52" t="s">
        <v>48</v>
      </c>
      <c r="F17" s="340"/>
      <c r="G17" s="53"/>
      <c r="H17" s="53"/>
      <c r="I17" s="57"/>
      <c r="J17" s="55"/>
      <c r="K17" s="542"/>
      <c r="L17" s="542"/>
      <c r="M17" s="544"/>
      <c r="N17" s="57"/>
      <c r="O17" s="49"/>
      <c r="P17" s="49"/>
      <c r="Q17" s="49"/>
      <c r="R17" s="544"/>
      <c r="S17" s="544"/>
      <c r="T17" s="49"/>
      <c r="U17" s="52"/>
      <c r="V17" s="49"/>
      <c r="W17" s="49"/>
      <c r="X17" s="49"/>
      <c r="Y17" s="55"/>
      <c r="Z17" s="55"/>
    </row>
    <row r="18" spans="1:27">
      <c r="B18" s="264" t="s">
        <v>156</v>
      </c>
      <c r="C18" s="520" t="s">
        <v>553</v>
      </c>
      <c r="D18" s="59" t="str">
        <f ca="1">IEAData!D38</f>
        <v>INDLPG</v>
      </c>
      <c r="E18" s="52"/>
      <c r="F18" s="340">
        <f ca="1">MATCH(D18,Calibration!$C$3:$T$3,0)</f>
        <v>3</v>
      </c>
      <c r="G18" s="53">
        <f ca="1">INDEX(IEAData!D$64:T$64,$F18)*INDEX(Calibration!$C$95:$T$95,$F18)</f>
        <v>0.14742477339234175</v>
      </c>
      <c r="H18" s="53">
        <f ca="1">INDEX(AuxData!$D$64:$T$64,$F18)*INDEX(Calibrati2!$C$95:$T$95,$F18)</f>
        <v>0.35758622433403631</v>
      </c>
      <c r="I18" s="57">
        <v>0.81</v>
      </c>
      <c r="J18" s="55">
        <v>1</v>
      </c>
      <c r="K18" s="542">
        <f>1/I18</f>
        <v>1.2345679012345678</v>
      </c>
      <c r="L18" s="542">
        <f>1/J18/I18</f>
        <v>1.2345679012345678</v>
      </c>
      <c r="M18" s="62">
        <f>H18/L18</f>
        <v>0.28964484171056942</v>
      </c>
      <c r="N18" s="57">
        <v>1</v>
      </c>
      <c r="O18" s="49">
        <v>0.72</v>
      </c>
      <c r="P18" s="49"/>
      <c r="Q18" s="49">
        <v>30</v>
      </c>
      <c r="R18" s="544">
        <f>G18/K18/O18</f>
        <v>0.16585287006638449</v>
      </c>
      <c r="S18" s="544">
        <f>M18/O18</f>
        <v>0.40228450237579089</v>
      </c>
      <c r="T18" s="49"/>
      <c r="U18" s="52">
        <v>0</v>
      </c>
      <c r="V18" s="49"/>
      <c r="W18" s="49"/>
      <c r="X18" s="49"/>
      <c r="Y18" s="55"/>
      <c r="Z18" s="55"/>
      <c r="AA18" s="128">
        <f>M18/$M$24</f>
        <v>1.1042086170965252E-2</v>
      </c>
    </row>
    <row r="19" spans="1:27">
      <c r="A19" s="128"/>
      <c r="B19" s="52"/>
      <c r="C19" s="520"/>
      <c r="D19" s="59"/>
      <c r="E19" s="52" t="s">
        <v>48</v>
      </c>
      <c r="F19" s="340"/>
      <c r="G19" s="53"/>
      <c r="H19" s="53"/>
      <c r="I19" s="57"/>
      <c r="J19" s="55"/>
      <c r="K19" s="543"/>
      <c r="L19" s="543"/>
      <c r="M19" s="544"/>
      <c r="N19" s="57"/>
      <c r="O19" s="49"/>
      <c r="P19" s="49"/>
      <c r="Q19" s="49"/>
      <c r="R19" s="544"/>
      <c r="S19" s="544"/>
      <c r="T19" s="49"/>
      <c r="U19" s="52"/>
      <c r="V19" s="49"/>
      <c r="W19" s="49"/>
      <c r="X19" s="49"/>
      <c r="Y19" s="55"/>
      <c r="Z19" s="55"/>
    </row>
    <row r="20" spans="1:27">
      <c r="B20" s="264" t="s">
        <v>726</v>
      </c>
      <c r="C20" s="520" t="s">
        <v>727</v>
      </c>
      <c r="D20" s="59" t="str">
        <f ca="1">IEAData!$P$38</f>
        <v>INDBIO</v>
      </c>
      <c r="E20" s="52"/>
      <c r="F20" s="340">
        <f ca="1">MATCH(D20,Calibration!$C$3:$T$3,0)</f>
        <v>15</v>
      </c>
      <c r="G20" s="53">
        <f ca="1">INDEX(IEAData!D$64:T$64,$F20)*INDEX(Calibration!$C$95:$T$95,$F20)</f>
        <v>3.7400559716047614</v>
      </c>
      <c r="H20" s="53">
        <f ca="1">INDEX(AuxData!$D$64:$T$64,$F20)*INDEX(Calibrati2!$C$95:$T$95,$F20)</f>
        <v>7.0746433201203862</v>
      </c>
      <c r="I20" s="57">
        <v>0.81</v>
      </c>
      <c r="J20" s="55">
        <v>1</v>
      </c>
      <c r="K20" s="542">
        <f>1/I20</f>
        <v>1.2345679012345678</v>
      </c>
      <c r="L20" s="542">
        <f>1/J20/I20</f>
        <v>1.2345679012345678</v>
      </c>
      <c r="M20" s="62">
        <f>H20/L20</f>
        <v>5.7304610892975134</v>
      </c>
      <c r="N20" s="57">
        <v>1</v>
      </c>
      <c r="O20" s="49">
        <v>0.72</v>
      </c>
      <c r="P20" s="49"/>
      <c r="Q20" s="49">
        <v>30</v>
      </c>
      <c r="R20" s="544">
        <f>G20/K20/O20</f>
        <v>4.207562968055357</v>
      </c>
      <c r="S20" s="544">
        <f>M20/O20</f>
        <v>7.9589737351354355</v>
      </c>
      <c r="T20" s="49"/>
      <c r="U20" s="52">
        <v>0</v>
      </c>
      <c r="V20" s="49"/>
      <c r="W20" s="49"/>
      <c r="X20" s="49"/>
      <c r="Y20" s="55"/>
      <c r="Z20" s="55"/>
      <c r="AA20" s="128">
        <f>M20/$M$24</f>
        <v>0.21846149502850801</v>
      </c>
    </row>
    <row r="21" spans="1:27">
      <c r="A21" s="128"/>
      <c r="B21" s="52"/>
      <c r="C21" s="520"/>
      <c r="D21" s="59"/>
      <c r="E21" s="52" t="s">
        <v>48</v>
      </c>
      <c r="F21" s="340"/>
      <c r="G21" s="53"/>
      <c r="H21" s="53"/>
      <c r="I21" s="57"/>
      <c r="J21" s="55"/>
      <c r="K21" s="543"/>
      <c r="L21" s="543"/>
      <c r="M21" s="544"/>
      <c r="N21" s="57"/>
      <c r="O21" s="49"/>
      <c r="P21" s="49"/>
      <c r="Q21" s="49"/>
      <c r="R21" s="544"/>
      <c r="S21" s="544"/>
      <c r="T21" s="49"/>
      <c r="U21" s="52"/>
      <c r="V21" s="49"/>
      <c r="W21" s="49"/>
      <c r="X21" s="49"/>
      <c r="Y21" s="55"/>
      <c r="Z21" s="55"/>
    </row>
    <row r="22" spans="1:27">
      <c r="A22" s="221"/>
      <c r="B22" s="827" t="s">
        <v>760</v>
      </c>
      <c r="C22" s="520" t="s">
        <v>764</v>
      </c>
      <c r="D22" s="52" t="str">
        <f ca="1">IEAData!R$38</f>
        <v>INDHET</v>
      </c>
      <c r="E22" s="826"/>
      <c r="F22" s="340">
        <f ca="1">MATCH(D22,Calibration!$C$3:$T$3,0)</f>
        <v>17</v>
      </c>
      <c r="G22" s="53">
        <f ca="1">VLOOKUP(LEFT(B22,4),IEAData!$BF$34:$BJ$39,5,0)*INDEX(Calibration!$C$95:$T$95,$F22)</f>
        <v>24.951430420589165</v>
      </c>
      <c r="H22" s="53">
        <f ca="1">VLOOKUP(LEFT(B22,4),AuxData!$BF$34:$BJ$39,5,0)*INDEX(Calibrati2!$C$95:$T$95,$F22)</f>
        <v>19.194905976143353</v>
      </c>
      <c r="I22" s="57">
        <v>1</v>
      </c>
      <c r="J22" s="55">
        <v>1</v>
      </c>
      <c r="K22" s="542">
        <f>1/I22</f>
        <v>1</v>
      </c>
      <c r="L22" s="542">
        <f>1/J22/I22</f>
        <v>1</v>
      </c>
      <c r="M22" s="62">
        <f>H22/L22</f>
        <v>19.194905976143353</v>
      </c>
      <c r="N22" s="57">
        <v>1</v>
      </c>
      <c r="O22" s="49">
        <v>0.72</v>
      </c>
      <c r="P22" s="49"/>
      <c r="Q22" s="49">
        <v>30</v>
      </c>
      <c r="R22" s="288">
        <f ca="1">(G22/K22-CHP!I114)/$O22</f>
        <v>28.104678994297114</v>
      </c>
      <c r="S22" s="288">
        <f ca="1">(M22-CHP!J114)/$O22</f>
        <v>20.370588641841337</v>
      </c>
      <c r="T22" s="49"/>
      <c r="U22" s="544">
        <f ca="1">S22</f>
        <v>20.370588641841337</v>
      </c>
      <c r="V22" s="55">
        <f ca="1">U22</f>
        <v>20.370588641841337</v>
      </c>
      <c r="W22" s="49"/>
      <c r="X22" s="49"/>
      <c r="Y22" s="55"/>
      <c r="Z22" s="55"/>
      <c r="AA22" s="128">
        <f>M22/$M$24</f>
        <v>0.73176447604043926</v>
      </c>
    </row>
    <row r="23" spans="1:27" ht="13.5" thickBot="1">
      <c r="B23" s="187"/>
      <c r="C23" s="828"/>
      <c r="D23" s="828"/>
      <c r="E23" s="22" t="s">
        <v>48</v>
      </c>
      <c r="F23" s="340"/>
      <c r="G23" s="28"/>
      <c r="H23" s="28"/>
      <c r="I23" s="32"/>
      <c r="J23" s="29"/>
      <c r="K23" s="545"/>
      <c r="L23" s="545"/>
      <c r="M23" s="541"/>
      <c r="N23" s="32"/>
      <c r="O23" s="13"/>
      <c r="P23" s="13"/>
      <c r="Q23" s="13"/>
      <c r="R23" s="541"/>
      <c r="S23" s="541"/>
      <c r="T23" s="13"/>
      <c r="U23" s="22"/>
      <c r="V23" s="13"/>
      <c r="W23" s="13"/>
      <c r="X23" s="13"/>
      <c r="Y23" s="29"/>
      <c r="Z23" s="29"/>
    </row>
    <row r="24" spans="1:27">
      <c r="B24" s="192" t="s">
        <v>902</v>
      </c>
      <c r="C24" s="198"/>
      <c r="D24" s="198"/>
      <c r="E24" s="198"/>
      <c r="F24" s="200"/>
      <c r="G24" s="199">
        <f>SUM(G8:G23)</f>
        <v>30.322016507667538</v>
      </c>
      <c r="H24" s="199">
        <f>SUM(H8:H23)</f>
        <v>27.88142831982622</v>
      </c>
      <c r="I24" s="199"/>
      <c r="J24" s="198"/>
      <c r="K24" s="200"/>
      <c r="L24" s="199">
        <f>SUMPRODUCT(G8:G23,I8:I23)</f>
        <v>29.301605151122647</v>
      </c>
      <c r="M24" s="199">
        <f>SUM(M8:M23)</f>
        <v>26.230989074526477</v>
      </c>
      <c r="N24" s="200" t="s">
        <v>784</v>
      </c>
      <c r="O24" s="201"/>
      <c r="P24" s="201"/>
      <c r="Q24" s="198"/>
      <c r="R24" s="199">
        <f ca="1">SUM(R8:R23)</f>
        <v>34.14658834226028</v>
      </c>
      <c r="S24" s="199">
        <f ca="1">SUM(S8:S23)</f>
        <v>30.142926278484563</v>
      </c>
      <c r="T24" s="198"/>
      <c r="U24" s="198"/>
      <c r="V24" s="198"/>
      <c r="W24" s="198"/>
      <c r="X24" s="198"/>
      <c r="Y24" s="198"/>
      <c r="Z24" s="198"/>
    </row>
    <row r="25" spans="1:27">
      <c r="I25" s="2"/>
      <c r="J25" s="2"/>
      <c r="O25" s="4"/>
      <c r="P25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47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5.42578125" customWidth="1"/>
    <col min="3" max="3" width="29.28515625" customWidth="1"/>
    <col min="4" max="5" width="10.7109375" customWidth="1"/>
    <col min="11" max="11" width="9.28515625" bestFit="1" customWidth="1"/>
  </cols>
  <sheetData>
    <row r="1" spans="1:28">
      <c r="E1" s="216"/>
    </row>
    <row r="2" spans="1:28">
      <c r="E2" s="216"/>
    </row>
    <row r="3" spans="1:28">
      <c r="E3" s="216"/>
    </row>
    <row r="4" spans="1:28">
      <c r="E4" s="216"/>
      <c r="Q4" s="12">
        <v>1</v>
      </c>
      <c r="R4" t="s">
        <v>146</v>
      </c>
    </row>
    <row r="5" spans="1:28" ht="18">
      <c r="A5" s="8"/>
      <c r="B5" s="10"/>
      <c r="C5" s="11"/>
      <c r="E5" s="216"/>
      <c r="I5" t="s">
        <v>784</v>
      </c>
    </row>
    <row r="6" spans="1:28" ht="18">
      <c r="B6" s="86" t="s">
        <v>11</v>
      </c>
      <c r="C6" s="88"/>
      <c r="D6" s="123"/>
      <c r="E6" s="225" t="str">
        <f>"~FI_T: "&amp;Region&amp;"~EUR10"</f>
        <v>~FI_T: FIN~EUR10</v>
      </c>
      <c r="F6" s="1"/>
      <c r="G6" s="1"/>
      <c r="I6" s="1" t="s">
        <v>784</v>
      </c>
      <c r="J6" s="1" t="s">
        <v>784</v>
      </c>
      <c r="K6" s="1" t="s">
        <v>784</v>
      </c>
      <c r="M6" s="1" t="s">
        <v>784</v>
      </c>
      <c r="P6" s="1"/>
      <c r="Q6" s="1"/>
    </row>
    <row r="7" spans="1:28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CONCATENATE("\I:",IEAData!$D$2," final energy")</f>
        <v>\I:2010 final energy</v>
      </c>
      <c r="H7" s="64" t="str">
        <f ca="1">CONCATENATE("\I:",AuxYear," final energy")</f>
        <v>\I:2017 final energy</v>
      </c>
      <c r="I7" s="64" t="str">
        <f ca="1">CONCATENATE("\I:",IEAData!$D$2," EFF")</f>
        <v>\I:2010 EFF</v>
      </c>
      <c r="J7" s="64" t="s">
        <v>721</v>
      </c>
      <c r="K7" s="45" t="s">
        <v>388</v>
      </c>
      <c r="L7" s="45" t="str">
        <f ca="1">"INPUT~"&amp;AuxYear</f>
        <v>INPUT~2017</v>
      </c>
      <c r="M7" s="64" t="str">
        <f ca="1">CONCATENATE("\I:",AuxData!$D$2," Service Demand")</f>
        <v>\I:2017 Service Demand</v>
      </c>
      <c r="N7" s="45" t="s">
        <v>848</v>
      </c>
      <c r="O7" s="45" t="s">
        <v>872</v>
      </c>
      <c r="P7" s="45" t="s">
        <v>556</v>
      </c>
      <c r="Q7" s="45" t="str">
        <f ca="1">"RESID~"&amp;BaseYear</f>
        <v>RESID~2010</v>
      </c>
      <c r="R7" s="45" t="str">
        <f ca="1">"RESID~"&amp;AuxYear</f>
        <v>RESID~2017</v>
      </c>
      <c r="S7" s="45" t="str">
        <f ca="1">"RESID~"&amp;CEILING(AuxYear+12,5)</f>
        <v>RESID~2030</v>
      </c>
      <c r="T7" s="45" t="str">
        <f ca="1">"RESID~"&amp;CEILING(AuxYear+27,5)</f>
        <v>RESID~2045</v>
      </c>
      <c r="U7" s="45" t="s">
        <v>1382</v>
      </c>
      <c r="V7" s="398" t="s">
        <v>849</v>
      </c>
      <c r="W7" s="45" t="s">
        <v>52</v>
      </c>
      <c r="X7" s="45" t="s">
        <v>51</v>
      </c>
      <c r="Y7" s="45" t="str">
        <f ca="1">"FLO_MARK~UP~"&amp;AuxYear</f>
        <v>FLO_MARK~UP~2017</v>
      </c>
      <c r="Z7" s="45" t="s">
        <v>1339</v>
      </c>
      <c r="AA7" s="45" t="s">
        <v>1338</v>
      </c>
      <c r="AB7" s="126" t="s">
        <v>959</v>
      </c>
    </row>
    <row r="8" spans="1:28" ht="21" customHeight="1">
      <c r="B8" s="35" t="s">
        <v>162</v>
      </c>
      <c r="C8" s="300" t="s">
        <v>49</v>
      </c>
      <c r="D8" s="52" t="str">
        <f ca="1">IEAData!K$38</f>
        <v>INDHFO</v>
      </c>
      <c r="E8" s="52"/>
      <c r="F8" s="340">
        <f ca="1">MATCH(D8,Calibration!$C$3:$T$3,0)</f>
        <v>10</v>
      </c>
      <c r="G8" s="53">
        <f ca="1">INDEX(IEAData!$D$65:T$65,$F8)*INDEX(Calibration!$C$95:$T$95,$F8)</f>
        <v>0.65193369340427632</v>
      </c>
      <c r="H8" s="53">
        <f ca="1">INDEX(AuxData!$D$65:U$65,$F8)*INDEX(Calibrati2!$C$95:$T$95,$F8)</f>
        <v>0.21217307536753785</v>
      </c>
      <c r="I8" s="55">
        <v>0.82</v>
      </c>
      <c r="J8" s="55">
        <v>1</v>
      </c>
      <c r="K8" s="542">
        <f>1/I8</f>
        <v>1.2195121951219512</v>
      </c>
      <c r="L8" s="542">
        <f>1/J8/I8</f>
        <v>1.2195121951219512</v>
      </c>
      <c r="M8" s="544">
        <f>H8/L8</f>
        <v>0.17398192180138103</v>
      </c>
      <c r="N8" s="57">
        <v>1</v>
      </c>
      <c r="O8" s="49">
        <v>1</v>
      </c>
      <c r="P8" s="410">
        <v>30</v>
      </c>
      <c r="Q8" s="544">
        <f>G8/K8/MAX($O8,$V8)</f>
        <v>0.5345856285915066</v>
      </c>
      <c r="R8" s="544">
        <f>M8/MAX($O8,$V8)</f>
        <v>0.17398192180138103</v>
      </c>
      <c r="S8" s="49"/>
      <c r="T8" s="386">
        <v>0</v>
      </c>
      <c r="U8" s="410"/>
      <c r="V8" s="436"/>
      <c r="W8" s="12"/>
      <c r="X8" s="12"/>
      <c r="Y8" s="54"/>
      <c r="Z8" s="54"/>
      <c r="AA8" s="54"/>
      <c r="AB8" s="128">
        <f>M8/$M$22</f>
        <v>3.8128452336655863E-2</v>
      </c>
    </row>
    <row r="9" spans="1:28">
      <c r="B9" s="9"/>
      <c r="C9" s="300"/>
      <c r="D9" s="52"/>
      <c r="E9" s="52" t="s">
        <v>57</v>
      </c>
      <c r="F9" s="340"/>
      <c r="G9" s="53"/>
      <c r="H9" s="53"/>
      <c r="I9" s="55"/>
      <c r="J9" s="55"/>
      <c r="K9" s="542"/>
      <c r="L9" s="9"/>
      <c r="M9" s="544"/>
      <c r="N9" s="57"/>
      <c r="O9" s="49"/>
      <c r="P9" s="410"/>
      <c r="Q9" s="544"/>
      <c r="R9" s="544"/>
      <c r="S9" s="49"/>
      <c r="T9" s="386"/>
      <c r="U9" s="410"/>
      <c r="V9" s="436"/>
      <c r="W9" s="12"/>
      <c r="X9" s="12"/>
      <c r="Y9" s="55"/>
      <c r="Z9" s="55"/>
      <c r="AA9" s="55"/>
    </row>
    <row r="10" spans="1:28" ht="16.5" customHeight="1">
      <c r="B10" s="35" t="s">
        <v>163</v>
      </c>
      <c r="C10" s="300" t="s">
        <v>56</v>
      </c>
      <c r="D10" s="52" t="s">
        <v>1365</v>
      </c>
      <c r="E10" s="52"/>
      <c r="F10" s="340">
        <f ca="1">MATCH(IF(D10="INDDST","INDOIL",D10),Calibration!$C$3:$T$3,0)</f>
        <v>11</v>
      </c>
      <c r="G10" s="53">
        <f ca="1">INDEX(IEAData!$D$65:T$65,$F10)*INDEX(Calibration!$C$95:$T$95,$F10)-G23</f>
        <v>0</v>
      </c>
      <c r="H10" s="53">
        <f ca="1">INDEX(AuxData!$D$65:U$65,$F10)*INDEX(Calibrati2!$C$95:$T$95,$F10)-H23</f>
        <v>0.13546392667090679</v>
      </c>
      <c r="I10" s="55">
        <v>0.83</v>
      </c>
      <c r="J10" s="55">
        <v>1</v>
      </c>
      <c r="K10" s="542">
        <f>1/I10</f>
        <v>1.2048192771084338</v>
      </c>
      <c r="L10" s="542">
        <f>1/J10/I10</f>
        <v>1.2048192771084338</v>
      </c>
      <c r="M10" s="544">
        <f>H10/L10</f>
        <v>0.11243505913685262</v>
      </c>
      <c r="N10" s="57">
        <v>1</v>
      </c>
      <c r="O10" s="49"/>
      <c r="P10" s="410">
        <v>30</v>
      </c>
      <c r="Q10" s="544">
        <f>G10/K10/MAX($O10,$V10)</f>
        <v>0</v>
      </c>
      <c r="R10" s="544">
        <f>M10/MAX($O10,$V10)</f>
        <v>0.11243505913685262</v>
      </c>
      <c r="S10" s="49"/>
      <c r="T10" s="606">
        <f>MAX(G$22*0.05,0.3*Q10)</f>
        <v>0.20828321661556362</v>
      </c>
      <c r="U10" s="410"/>
      <c r="V10" s="436">
        <v>1</v>
      </c>
      <c r="W10" s="12"/>
      <c r="X10" s="12"/>
      <c r="Y10" s="55"/>
      <c r="Z10" s="55"/>
      <c r="AA10" s="55"/>
      <c r="AB10" s="128">
        <f>M10/$M$22</f>
        <v>2.4640346243344803E-2</v>
      </c>
    </row>
    <row r="11" spans="1:28">
      <c r="B11" s="9"/>
      <c r="C11" s="300"/>
      <c r="D11" s="52"/>
      <c r="E11" s="52" t="s">
        <v>57</v>
      </c>
      <c r="F11" s="340"/>
      <c r="G11" s="53"/>
      <c r="H11" s="53"/>
      <c r="I11" s="55"/>
      <c r="J11" s="55"/>
      <c r="K11" s="542"/>
      <c r="L11" s="9"/>
      <c r="M11" s="544"/>
      <c r="N11" s="57"/>
      <c r="O11" s="49"/>
      <c r="P11" s="410"/>
      <c r="Q11" s="544"/>
      <c r="R11" s="544"/>
      <c r="S11" s="49"/>
      <c r="T11" s="386"/>
      <c r="U11" s="410"/>
      <c r="V11" s="436"/>
      <c r="W11" s="12"/>
      <c r="X11" s="12"/>
      <c r="Y11" s="55"/>
      <c r="Z11" s="55"/>
      <c r="AA11" s="55"/>
    </row>
    <row r="12" spans="1:28" ht="18" customHeight="1">
      <c r="B12" s="35" t="s">
        <v>164</v>
      </c>
      <c r="C12" s="300" t="s">
        <v>889</v>
      </c>
      <c r="D12" s="52" t="str">
        <f ca="1">IEAData!C$38</f>
        <v>INDNGA</v>
      </c>
      <c r="E12" s="52"/>
      <c r="F12" s="340">
        <f ca="1">MATCH(D12,Calibration!$C$3:$T$3,0)</f>
        <v>2</v>
      </c>
      <c r="G12" s="53">
        <f ca="1">INDEX(IEAData!$D$65:T$65,$F12)*INDEX(Calibration!$C$95:$T$95,$F12)</f>
        <v>1.0923640067509037</v>
      </c>
      <c r="H12" s="53">
        <f ca="1">INDEX(AuxData!$D$65:U$65,$F12)*INDEX(Calibrati2!$C$95:$T$95,$F12)</f>
        <v>0.62266775572774613</v>
      </c>
      <c r="I12" s="55">
        <v>0.85</v>
      </c>
      <c r="J12" s="55">
        <v>1</v>
      </c>
      <c r="K12" s="542">
        <f>1/I12</f>
        <v>1.1764705882352942</v>
      </c>
      <c r="L12" s="542">
        <f>1/J12/I12</f>
        <v>1.1764705882352942</v>
      </c>
      <c r="M12" s="544">
        <f>H12/L12</f>
        <v>0.52926759236858423</v>
      </c>
      <c r="N12" s="57">
        <v>1</v>
      </c>
      <c r="O12" s="49">
        <v>1</v>
      </c>
      <c r="P12" s="410">
        <v>30</v>
      </c>
      <c r="Q12" s="544">
        <f>G12/K12/MAX($O12,$V12)</f>
        <v>0.92850940573826812</v>
      </c>
      <c r="R12" s="544">
        <f>M12/MAX($O12,$V12)</f>
        <v>0.52926759236858423</v>
      </c>
      <c r="S12" s="49"/>
      <c r="T12" s="386">
        <v>0</v>
      </c>
      <c r="U12" s="410"/>
      <c r="V12" s="436"/>
      <c r="W12" s="12"/>
      <c r="X12" s="12"/>
      <c r="Y12" s="55"/>
      <c r="Z12" s="55"/>
      <c r="AA12" s="55"/>
      <c r="AB12" s="128">
        <f>M12/$M$22</f>
        <v>0.11598994861086759</v>
      </c>
    </row>
    <row r="13" spans="1:28">
      <c r="B13" s="9"/>
      <c r="C13" s="300"/>
      <c r="D13" s="52"/>
      <c r="E13" s="52" t="s">
        <v>57</v>
      </c>
      <c r="F13" s="340"/>
      <c r="G13" s="53"/>
      <c r="H13" s="53"/>
      <c r="I13" s="55"/>
      <c r="J13" s="55"/>
      <c r="K13" s="542"/>
      <c r="L13" s="9"/>
      <c r="M13" s="544"/>
      <c r="N13" s="57"/>
      <c r="O13" s="49"/>
      <c r="P13" s="410"/>
      <c r="Q13" s="544"/>
      <c r="R13" s="544"/>
      <c r="S13" s="49"/>
      <c r="T13" s="386"/>
      <c r="U13" s="410"/>
      <c r="V13" s="436"/>
      <c r="W13" s="12"/>
      <c r="X13" s="12"/>
      <c r="Y13" s="55"/>
      <c r="Z13" s="55"/>
      <c r="AA13" s="55"/>
    </row>
    <row r="14" spans="1:28">
      <c r="B14" s="35" t="s">
        <v>165</v>
      </c>
      <c r="C14" s="300" t="s">
        <v>758</v>
      </c>
      <c r="D14" s="52" t="str">
        <f ca="1">IEAData!F$38</f>
        <v>INDCOA</v>
      </c>
      <c r="E14" s="52"/>
      <c r="F14" s="340">
        <f ca="1">MATCH(D14,Calibration!$C$3:$T$3,0)</f>
        <v>5</v>
      </c>
      <c r="G14" s="53">
        <f ca="1">INDEX(IEAData!$D$65:T$65,$F14)*INDEX(Calibration!$C$95:$T$95,$F14)</f>
        <v>0</v>
      </c>
      <c r="H14" s="53">
        <f ca="1">INDEX(AuxData!$D$65:U$65,$F14)*INDEX(Calibrati2!$C$95:$T$95,$F14)</f>
        <v>0.25075220304219292</v>
      </c>
      <c r="I14" s="55">
        <v>0.81</v>
      </c>
      <c r="J14" s="55">
        <v>1</v>
      </c>
      <c r="K14" s="542">
        <f>1/I14</f>
        <v>1.2345679012345678</v>
      </c>
      <c r="L14" s="542">
        <f>1/J14/I14</f>
        <v>1.2345679012345678</v>
      </c>
      <c r="M14" s="544">
        <f>H14/L14</f>
        <v>0.20310928446417628</v>
      </c>
      <c r="N14" s="57">
        <v>1</v>
      </c>
      <c r="O14" s="49">
        <v>1</v>
      </c>
      <c r="P14" s="410">
        <v>30</v>
      </c>
      <c r="Q14" s="544">
        <f>G14/K14/MAX($O14,$V14)</f>
        <v>0</v>
      </c>
      <c r="R14" s="544">
        <f>M14/MAX($O14,$V14)</f>
        <v>0.20310928446417628</v>
      </c>
      <c r="S14" s="49"/>
      <c r="T14" s="386">
        <v>0</v>
      </c>
      <c r="U14" s="410"/>
      <c r="V14" s="436"/>
      <c r="W14" s="12"/>
      <c r="X14" s="12"/>
      <c r="Y14" s="55"/>
      <c r="Z14" s="55"/>
      <c r="AA14" s="55"/>
      <c r="AB14" s="128">
        <f>M14/$M$22</f>
        <v>4.4511766461951742E-2</v>
      </c>
    </row>
    <row r="15" spans="1:28">
      <c r="B15" s="9"/>
      <c r="C15" s="300"/>
      <c r="D15" s="52"/>
      <c r="E15" s="52" t="s">
        <v>57</v>
      </c>
      <c r="F15" s="340"/>
      <c r="G15" s="53"/>
      <c r="H15" s="53"/>
      <c r="I15" s="55"/>
      <c r="J15" s="55"/>
      <c r="K15" s="543"/>
      <c r="L15" s="9"/>
      <c r="M15" s="544"/>
      <c r="N15" s="57"/>
      <c r="O15" s="49"/>
      <c r="P15" s="410"/>
      <c r="Q15" s="544"/>
      <c r="R15" s="544"/>
      <c r="S15" s="49"/>
      <c r="T15" s="386"/>
      <c r="U15" s="410"/>
      <c r="V15" s="436"/>
      <c r="W15" s="12"/>
      <c r="X15" s="12"/>
      <c r="Y15" s="55"/>
      <c r="Z15" s="55"/>
      <c r="AA15" s="55"/>
    </row>
    <row r="16" spans="1:28">
      <c r="B16" s="35" t="s">
        <v>765</v>
      </c>
      <c r="C16" s="300" t="s">
        <v>766</v>
      </c>
      <c r="D16" s="52" t="str">
        <f ca="1">IEAData!G$38</f>
        <v>INDCOK</v>
      </c>
      <c r="E16" s="52"/>
      <c r="F16" s="340">
        <f ca="1">MATCH(D16,Calibration!$C$3:$T$3,0)</f>
        <v>6</v>
      </c>
      <c r="G16" s="53">
        <f ca="1">INDEX(IEAData!$D$65:T$65,$F16)*INDEX(Calibration!$C$95:$T$95,$F16)</f>
        <v>2.0515319999998203E-2</v>
      </c>
      <c r="H16" s="53">
        <f ca="1">INDEX(AuxData!$D$65:U$65,$F16)*INDEX(Calibrati2!$C$95:$T$95,$F16)</f>
        <v>2.0512450000000102E-2</v>
      </c>
      <c r="I16" s="55">
        <v>0.81</v>
      </c>
      <c r="J16" s="55">
        <v>1</v>
      </c>
      <c r="K16" s="542">
        <f>1/I16</f>
        <v>1.2345679012345678</v>
      </c>
      <c r="L16" s="542">
        <f>1/J16/I16</f>
        <v>1.2345679012345678</v>
      </c>
      <c r="M16" s="544">
        <f>H16/L16</f>
        <v>1.6615084500000085E-2</v>
      </c>
      <c r="N16" s="57">
        <v>1</v>
      </c>
      <c r="O16" s="49">
        <v>1</v>
      </c>
      <c r="P16" s="410">
        <v>30</v>
      </c>
      <c r="Q16" s="544">
        <f>G16/K16/MAX($O16,$V16)</f>
        <v>1.6617409199998545E-2</v>
      </c>
      <c r="R16" s="544">
        <f>M16/MAX($O16,$V16)</f>
        <v>1.6615084500000085E-2</v>
      </c>
      <c r="S16" s="49"/>
      <c r="T16" s="386">
        <v>0</v>
      </c>
      <c r="U16" s="410"/>
      <c r="V16" s="436"/>
      <c r="W16" s="12"/>
      <c r="X16" s="12"/>
      <c r="Y16" s="55"/>
      <c r="Z16" s="55"/>
      <c r="AA16" s="55"/>
      <c r="AB16" s="128">
        <f>M16/$M$22</f>
        <v>3.6412257714395139E-3</v>
      </c>
    </row>
    <row r="17" spans="2:28">
      <c r="B17" s="9"/>
      <c r="C17" s="300"/>
      <c r="D17" s="52"/>
      <c r="E17" s="52" t="s">
        <v>57</v>
      </c>
      <c r="F17" s="340"/>
      <c r="G17" s="53"/>
      <c r="H17" s="53"/>
      <c r="I17" s="55"/>
      <c r="J17" s="55"/>
      <c r="K17" s="543"/>
      <c r="L17" s="9"/>
      <c r="M17" s="544"/>
      <c r="N17" s="57"/>
      <c r="O17" s="49"/>
      <c r="P17" s="410"/>
      <c r="Q17" s="544"/>
      <c r="R17" s="544"/>
      <c r="S17" s="49"/>
      <c r="T17" s="386"/>
      <c r="U17" s="410"/>
      <c r="V17" s="436"/>
      <c r="W17" s="12"/>
      <c r="X17" s="12"/>
      <c r="Y17" s="55"/>
      <c r="Z17" s="55"/>
      <c r="AA17" s="55"/>
    </row>
    <row r="18" spans="2:28">
      <c r="B18" s="35" t="s">
        <v>166</v>
      </c>
      <c r="C18" s="300" t="s">
        <v>759</v>
      </c>
      <c r="D18" s="52" t="s">
        <v>1349</v>
      </c>
      <c r="E18" s="52"/>
      <c r="F18" s="340">
        <f ca="1">MATCH("IND"&amp;RIGHT(D18,3),Calibration!$C$3:$T$3,0)</f>
        <v>1</v>
      </c>
      <c r="G18" s="53">
        <f ca="1">INDEX(IEAData!$D$65:T$65,$F18)*INDEX(Calibration!$C$95:$T$95,$F18)-G27</f>
        <v>2.140032355876694</v>
      </c>
      <c r="H18" s="53">
        <f ca="1">INDEX(AuxData!$D$65:U$65,$F18)*INDEX(Calibrati2!$C$95:$T$95,$F18)-H27</f>
        <v>1.8643803117775797</v>
      </c>
      <c r="I18" s="55">
        <v>1</v>
      </c>
      <c r="J18" s="55">
        <v>1</v>
      </c>
      <c r="K18" s="542">
        <f>1/I18</f>
        <v>1</v>
      </c>
      <c r="L18" s="542">
        <f>1/J18/I18</f>
        <v>1</v>
      </c>
      <c r="M18" s="544">
        <f>H18/L18</f>
        <v>1.8643803117775797</v>
      </c>
      <c r="N18" s="57">
        <v>1</v>
      </c>
      <c r="O18" s="49"/>
      <c r="P18" s="410">
        <v>30</v>
      </c>
      <c r="Q18" s="544">
        <f>G18/K18/MAX($O18,$V18)</f>
        <v>2.140032355876694</v>
      </c>
      <c r="R18" s="544">
        <f>M18/MAX($O18,$V18)</f>
        <v>1.8643803117775797</v>
      </c>
      <c r="S18" s="49"/>
      <c r="T18" s="386">
        <v>0</v>
      </c>
      <c r="U18" s="410"/>
      <c r="V18" s="436">
        <v>1</v>
      </c>
      <c r="W18" s="12"/>
      <c r="X18" s="12"/>
      <c r="Y18" s="55"/>
      <c r="Z18" s="55"/>
      <c r="AA18" s="55"/>
      <c r="AB18" s="128">
        <f>M18/$M$22</f>
        <v>0.40858231199539941</v>
      </c>
    </row>
    <row r="19" spans="2:28">
      <c r="B19" s="9"/>
      <c r="C19" s="300"/>
      <c r="D19" s="52"/>
      <c r="E19" s="52" t="s">
        <v>57</v>
      </c>
      <c r="F19" s="340"/>
      <c r="G19" s="53"/>
      <c r="H19" s="53"/>
      <c r="I19" s="55"/>
      <c r="J19" s="55"/>
      <c r="K19" s="542"/>
      <c r="L19" s="9"/>
      <c r="M19" s="544"/>
      <c r="N19" s="57"/>
      <c r="O19" s="49"/>
      <c r="P19" s="410"/>
      <c r="Q19" s="544"/>
      <c r="R19" s="544"/>
      <c r="S19" s="49"/>
      <c r="T19" s="386"/>
      <c r="U19" s="410"/>
      <c r="V19" s="436"/>
      <c r="W19" s="12"/>
      <c r="X19" s="12"/>
      <c r="Y19" s="55"/>
      <c r="Z19" s="55"/>
      <c r="AA19" s="55"/>
    </row>
    <row r="20" spans="2:28">
      <c r="B20" s="264" t="s">
        <v>167</v>
      </c>
      <c r="C20" s="520" t="s">
        <v>769</v>
      </c>
      <c r="D20" s="52" t="str">
        <f ca="1">IEAData!D$38</f>
        <v>INDLPG</v>
      </c>
      <c r="E20" s="52"/>
      <c r="F20" s="340">
        <f ca="1">MATCH(D20,Calibration!$C$3:$T$3,0)</f>
        <v>3</v>
      </c>
      <c r="G20" s="53">
        <f ca="1">INDEX(IEAData!$D$65:T$65,$F20)*INDEX(Calibration!$C$95:$T$95,$F20)-G29</f>
        <v>0.26081895627939999</v>
      </c>
      <c r="H20" s="53">
        <f ca="1">INDEX(AuxData!$D$65:U$65,$F20)*INDEX(Calibrati2!$C$95:$T$95,$F20)-H29</f>
        <v>1.9567738728239152</v>
      </c>
      <c r="I20" s="55">
        <v>0.85</v>
      </c>
      <c r="J20" s="55">
        <v>1</v>
      </c>
      <c r="K20" s="542">
        <f>1/I20</f>
        <v>1.1764705882352942</v>
      </c>
      <c r="L20" s="542">
        <f>1/J20/I20</f>
        <v>1.1764705882352942</v>
      </c>
      <c r="M20" s="544">
        <f>H20/L20</f>
        <v>1.663257791900328</v>
      </c>
      <c r="N20" s="57">
        <v>1</v>
      </c>
      <c r="O20" s="49">
        <v>1</v>
      </c>
      <c r="P20" s="434">
        <v>30</v>
      </c>
      <c r="Q20" s="544">
        <f>G20/K20/$O20</f>
        <v>0.22169611283748999</v>
      </c>
      <c r="R20" s="544">
        <f>M20/$O20</f>
        <v>1.663257791900328</v>
      </c>
      <c r="S20" s="49"/>
      <c r="T20" s="386">
        <v>0</v>
      </c>
      <c r="U20" s="434"/>
      <c r="V20" s="436"/>
      <c r="W20" s="49"/>
      <c r="X20" s="49"/>
      <c r="Y20" s="55"/>
      <c r="Z20" s="55"/>
      <c r="AA20" s="55"/>
      <c r="AB20" s="128">
        <f>M20/$M$22</f>
        <v>0.36450594858034113</v>
      </c>
    </row>
    <row r="21" spans="2:28" ht="13.5" thickBot="1">
      <c r="B21" s="22"/>
      <c r="C21" s="609"/>
      <c r="D21" s="22"/>
      <c r="E21" s="22" t="s">
        <v>57</v>
      </c>
      <c r="F21" s="340"/>
      <c r="G21" s="28"/>
      <c r="H21" s="28"/>
      <c r="I21" s="29"/>
      <c r="J21" s="29"/>
      <c r="K21" s="545"/>
      <c r="L21" s="545"/>
      <c r="M21" s="541"/>
      <c r="N21" s="32"/>
      <c r="O21" s="13"/>
      <c r="P21" s="435"/>
      <c r="Q21" s="541"/>
      <c r="R21" s="541"/>
      <c r="S21" s="13"/>
      <c r="T21" s="607"/>
      <c r="U21" s="435"/>
      <c r="V21" s="437"/>
      <c r="W21" s="13"/>
      <c r="X21" s="13"/>
      <c r="Y21" s="29"/>
      <c r="Z21" s="29"/>
      <c r="AA21" s="29"/>
    </row>
    <row r="22" spans="2:28">
      <c r="B22" s="482" t="s">
        <v>1380</v>
      </c>
      <c r="C22" s="537" t="s">
        <v>57</v>
      </c>
      <c r="D22" s="198"/>
      <c r="E22" s="198"/>
      <c r="F22" s="200"/>
      <c r="G22" s="199">
        <f ca="1">SUM(G8:G21)</f>
        <v>4.1656643323112723</v>
      </c>
      <c r="H22" s="199">
        <f ca="1">SUM(H8:H21)</f>
        <v>5.0627235954098788</v>
      </c>
      <c r="I22" s="199"/>
      <c r="J22" s="198"/>
      <c r="K22" s="200"/>
      <c r="L22" s="200">
        <f>SUMPRODUCT(G8:G21,I8:I21)</f>
        <v>3.8414409122439572</v>
      </c>
      <c r="M22" s="199">
        <f>SUM(M8:M20)</f>
        <v>4.5630470459489016</v>
      </c>
      <c r="N22" s="200" t="s">
        <v>784</v>
      </c>
      <c r="O22" s="201"/>
      <c r="P22" s="439"/>
      <c r="Q22" s="199">
        <f>SUM(Q8:Q20)</f>
        <v>3.8414409122439572</v>
      </c>
      <c r="R22" s="199">
        <f>SUM(R8:R20)</f>
        <v>4.5630470459489016</v>
      </c>
      <c r="S22" s="198"/>
      <c r="T22" s="198"/>
      <c r="U22" s="198"/>
      <c r="V22" s="438"/>
      <c r="W22" s="198"/>
      <c r="X22" s="198"/>
      <c r="Y22" s="198"/>
      <c r="Z22" s="198"/>
      <c r="AA22" s="198"/>
      <c r="AB22" s="198"/>
    </row>
    <row r="23" spans="2:28" ht="22.5" customHeight="1">
      <c r="B23" s="35" t="s">
        <v>1334</v>
      </c>
      <c r="C23" s="300" t="s">
        <v>1354</v>
      </c>
      <c r="D23" s="52" t="s">
        <v>1365</v>
      </c>
      <c r="E23" s="52"/>
      <c r="F23" s="340">
        <f>$F$10</f>
        <v>11</v>
      </c>
      <c r="G23" s="53">
        <f ca="1">INDEX(IEAData!$D$73:T$73,$F23)</f>
        <v>13.141319716405294</v>
      </c>
      <c r="H23" s="53">
        <f ca="1">INDEX(AuxData!$D$73:U$73,$F23)</f>
        <v>12.305668180598772</v>
      </c>
      <c r="I23" s="55">
        <v>0.85</v>
      </c>
      <c r="J23" s="55">
        <v>1</v>
      </c>
      <c r="K23" s="542">
        <f>1/I23</f>
        <v>1.1764705882352942</v>
      </c>
      <c r="L23" s="542">
        <f>1/J23/I23</f>
        <v>1.1764705882352942</v>
      </c>
      <c r="M23" s="544">
        <f>H23/L23</f>
        <v>10.459817953508956</v>
      </c>
      <c r="N23" s="57"/>
      <c r="O23" s="49"/>
      <c r="P23" s="410"/>
      <c r="Q23" s="55"/>
      <c r="R23" s="49"/>
      <c r="S23" s="49"/>
      <c r="T23" s="386"/>
      <c r="U23" s="410"/>
      <c r="V23" s="436"/>
      <c r="W23" s="12"/>
      <c r="X23" s="12"/>
      <c r="Y23" s="55"/>
      <c r="Z23" s="55"/>
      <c r="AA23" s="55"/>
    </row>
    <row r="24" spans="2:28">
      <c r="B24" s="9"/>
      <c r="C24" s="300"/>
      <c r="D24" s="52"/>
      <c r="E24" s="52" t="s">
        <v>1332</v>
      </c>
      <c r="F24" s="340"/>
      <c r="G24" s="53"/>
      <c r="H24" s="53"/>
      <c r="I24" s="55"/>
      <c r="J24" s="55"/>
      <c r="K24" s="542"/>
      <c r="L24" s="9"/>
      <c r="M24" s="544"/>
      <c r="N24" s="57"/>
      <c r="O24" s="49"/>
      <c r="P24" s="410"/>
      <c r="Q24" s="55"/>
      <c r="R24" s="49"/>
      <c r="S24" s="49"/>
      <c r="T24" s="386"/>
      <c r="U24" s="410"/>
      <c r="V24" s="436"/>
      <c r="W24" s="12"/>
      <c r="X24" s="12"/>
      <c r="Y24" s="55"/>
      <c r="Z24" s="55"/>
      <c r="AA24" s="55"/>
    </row>
    <row r="25" spans="2:28" ht="19.5" customHeight="1">
      <c r="B25" s="35" t="s">
        <v>1337</v>
      </c>
      <c r="C25" s="300" t="s">
        <v>1355</v>
      </c>
      <c r="D25" s="52" t="s">
        <v>1365</v>
      </c>
      <c r="E25" s="52"/>
      <c r="F25" s="340"/>
      <c r="G25" s="53">
        <v>0</v>
      </c>
      <c r="H25" s="53">
        <v>0</v>
      </c>
      <c r="I25" s="55">
        <v>0.85</v>
      </c>
      <c r="J25" s="55">
        <v>1</v>
      </c>
      <c r="K25" s="542">
        <f>1/I25</f>
        <v>1.1764705882352942</v>
      </c>
      <c r="L25" s="542">
        <f>1/J25/I25</f>
        <v>1.1764705882352942</v>
      </c>
      <c r="M25" s="544">
        <f>H25/L25</f>
        <v>0</v>
      </c>
      <c r="N25" s="57"/>
      <c r="O25" s="49"/>
      <c r="P25" s="410"/>
      <c r="Q25" s="55"/>
      <c r="R25" s="49"/>
      <c r="S25" s="49"/>
      <c r="T25" s="386"/>
      <c r="U25" s="410"/>
      <c r="V25" s="436"/>
      <c r="W25" s="12"/>
      <c r="X25" s="12"/>
      <c r="Y25" s="55"/>
      <c r="Z25" s="55"/>
      <c r="AA25" s="55"/>
    </row>
    <row r="26" spans="2:28">
      <c r="B26" s="9"/>
      <c r="C26" s="300"/>
      <c r="D26" s="52"/>
      <c r="E26" s="52" t="s">
        <v>1332</v>
      </c>
      <c r="F26" s="340"/>
      <c r="G26" s="53"/>
      <c r="H26" s="53"/>
      <c r="I26" s="55"/>
      <c r="J26" s="55"/>
      <c r="K26" s="542"/>
      <c r="L26" s="9"/>
      <c r="M26" s="544"/>
      <c r="N26" s="57"/>
      <c r="O26" s="49"/>
      <c r="P26" s="410"/>
      <c r="Q26" s="55"/>
      <c r="R26" s="49"/>
      <c r="S26" s="49"/>
      <c r="T26" s="386"/>
      <c r="U26" s="410"/>
      <c r="V26" s="436"/>
      <c r="W26" s="12"/>
      <c r="X26" s="178">
        <v>0.85</v>
      </c>
      <c r="Y26" s="55">
        <f ca="1">MAX(G25/K25/(L$31+Tiny),M25/(M$31+Tiny)+0.002)</f>
        <v>2E-3</v>
      </c>
      <c r="Z26" s="55">
        <f ca="1">(1-Y28)*0.8</f>
        <v>0.74578699594977715</v>
      </c>
      <c r="AA26" s="55"/>
    </row>
    <row r="27" spans="2:28">
      <c r="B27" s="35" t="s">
        <v>1335</v>
      </c>
      <c r="C27" s="300" t="s">
        <v>1356</v>
      </c>
      <c r="D27" s="52" t="s">
        <v>1349</v>
      </c>
      <c r="E27" s="52"/>
      <c r="F27" s="340">
        <f ca="1">MATCH("IND"&amp;RIGHT(D27,3),Calibration!$C$3:$T$3,0)</f>
        <v>1</v>
      </c>
      <c r="G27" s="53">
        <f ca="1">INDEX(IEAData!$D$73:T$73,$F27)</f>
        <v>0.61371398441738889</v>
      </c>
      <c r="H27" s="53">
        <f ca="1">INDEX(AuxData!$D$73:U$73,$F27)</f>
        <v>0.7904158352436077</v>
      </c>
      <c r="I27" s="55">
        <v>1</v>
      </c>
      <c r="J27" s="55">
        <v>1</v>
      </c>
      <c r="K27" s="542">
        <f>1/I27</f>
        <v>1</v>
      </c>
      <c r="L27" s="542">
        <f>1/J27/I27</f>
        <v>1</v>
      </c>
      <c r="M27" s="544">
        <f>H27/L27</f>
        <v>0.7904158352436077</v>
      </c>
      <c r="N27" s="57"/>
      <c r="O27" s="49"/>
      <c r="P27" s="410"/>
      <c r="Q27" s="55"/>
      <c r="R27" s="49"/>
      <c r="S27" s="49"/>
      <c r="T27" s="386"/>
      <c r="U27" s="410"/>
      <c r="V27" s="436"/>
      <c r="W27" s="12"/>
      <c r="X27" s="12"/>
      <c r="Y27" s="55"/>
      <c r="Z27" s="55"/>
      <c r="AA27" s="55"/>
    </row>
    <row r="28" spans="2:28">
      <c r="B28" s="9"/>
      <c r="C28" s="300"/>
      <c r="D28" s="52"/>
      <c r="E28" s="52" t="s">
        <v>1332</v>
      </c>
      <c r="F28" s="340"/>
      <c r="G28" s="53"/>
      <c r="H28" s="53"/>
      <c r="I28" s="55"/>
      <c r="J28" s="55"/>
      <c r="K28" s="542"/>
      <c r="L28" s="9"/>
      <c r="M28" s="544"/>
      <c r="N28" s="57"/>
      <c r="O28" s="49"/>
      <c r="P28" s="410"/>
      <c r="Q28" s="55"/>
      <c r="R28" s="49"/>
      <c r="S28" s="49"/>
      <c r="T28" s="386"/>
      <c r="U28" s="410"/>
      <c r="V28" s="436"/>
      <c r="W28" s="12"/>
      <c r="X28" s="12"/>
      <c r="Y28" s="57">
        <f ca="1">MAX(AA28,M27/(M$31+Tiny)+0.002)</f>
        <v>6.7766255062778724E-2</v>
      </c>
      <c r="Z28" s="55">
        <f ca="1">(Y28+(1-Y28)*0.05)^0.7</f>
        <v>0.21919951830508005</v>
      </c>
      <c r="AA28" s="55">
        <f ca="1">MIN(G27/K27/(L$31+Tiny),M27/(M$31+Tiny)-0.002)</f>
        <v>4.8844580197077457E-2</v>
      </c>
    </row>
    <row r="29" spans="2:28">
      <c r="B29" s="264" t="s">
        <v>1336</v>
      </c>
      <c r="C29" s="520" t="s">
        <v>1357</v>
      </c>
      <c r="D29" s="52" t="str">
        <f ca="1">IEAData!D$38</f>
        <v>INDLPG</v>
      </c>
      <c r="E29" s="52"/>
      <c r="F29" s="340">
        <f ca="1">MATCH(D29,Calibration!$C$3:$T$3,0)</f>
        <v>3</v>
      </c>
      <c r="G29" s="53">
        <f ca="1">INDEX(IEAData!$D$73:T$73,$F29)</f>
        <v>0.91857923085933402</v>
      </c>
      <c r="H29" s="53">
        <f ca="1">INDEX(AuxData!$D$73:U$73,$F29)</f>
        <v>0.90391592184837521</v>
      </c>
      <c r="I29" s="55">
        <v>0.85</v>
      </c>
      <c r="J29" s="55">
        <v>1</v>
      </c>
      <c r="K29" s="542">
        <f>1/I29</f>
        <v>1.1764705882352942</v>
      </c>
      <c r="L29" s="542">
        <f>1/J29/I29</f>
        <v>1.1764705882352942</v>
      </c>
      <c r="M29" s="544">
        <f>H29/L29</f>
        <v>0.76832853357111885</v>
      </c>
      <c r="N29" s="57"/>
      <c r="O29" s="49"/>
      <c r="P29" s="434"/>
      <c r="Q29" s="55"/>
      <c r="R29" s="49"/>
      <c r="S29" s="49"/>
      <c r="T29" s="386"/>
      <c r="U29" s="434"/>
      <c r="V29" s="436"/>
      <c r="W29" s="49"/>
      <c r="X29" s="49"/>
      <c r="Y29" s="55"/>
      <c r="Z29" s="55"/>
      <c r="AA29" s="55"/>
    </row>
    <row r="30" spans="2:28" ht="13.5" thickBot="1">
      <c r="B30" s="22"/>
      <c r="C30" s="609"/>
      <c r="D30" s="22"/>
      <c r="E30" s="22" t="s">
        <v>1332</v>
      </c>
      <c r="F30" s="340"/>
      <c r="G30" s="28"/>
      <c r="H30" s="28"/>
      <c r="I30" s="29"/>
      <c r="J30" s="29"/>
      <c r="K30" s="545"/>
      <c r="L30" s="545"/>
      <c r="M30" s="541"/>
      <c r="N30" s="32"/>
      <c r="O30" s="13"/>
      <c r="P30" s="435"/>
      <c r="Q30" s="29"/>
      <c r="R30" s="13"/>
      <c r="S30" s="13"/>
      <c r="T30" s="607"/>
      <c r="U30" s="435"/>
      <c r="V30" s="437"/>
      <c r="W30" s="13"/>
      <c r="X30" s="13"/>
      <c r="Y30" s="32">
        <f ca="1">MAX(G29/K29/(L$31+Tiny),M29/(M$31+Tiny)+0.002)</f>
        <v>6.5928489356840217E-2</v>
      </c>
      <c r="Z30" s="29">
        <f ca="1">(Y30+(1-Y30)*0.05)^0.75</f>
        <v>0.19442250508070383</v>
      </c>
      <c r="AA30" s="29"/>
    </row>
    <row r="31" spans="2:28">
      <c r="B31" s="192" t="s">
        <v>1380</v>
      </c>
      <c r="C31" s="537" t="s">
        <v>1332</v>
      </c>
      <c r="D31" s="198"/>
      <c r="E31" s="198"/>
      <c r="F31" s="200"/>
      <c r="G31" s="199">
        <f ca="1">SUM(G23:G30)</f>
        <v>14.673612931682017</v>
      </c>
      <c r="H31" s="199">
        <f ca="1">SUM(H23:H30)</f>
        <v>13.999999937690754</v>
      </c>
      <c r="I31" s="199"/>
      <c r="J31" s="198"/>
      <c r="K31" s="200"/>
      <c r="L31" s="200">
        <f>SUMPRODUCT(G23:G30,I23:I30)</f>
        <v>12.564628089592322</v>
      </c>
      <c r="M31" s="199">
        <f>SUM(M23:M30)</f>
        <v>12.018562322323682</v>
      </c>
      <c r="N31" s="200" t="s">
        <v>784</v>
      </c>
      <c r="O31" s="201"/>
      <c r="P31" s="439"/>
      <c r="Q31" s="199">
        <f>SUM(Q23:Q30)</f>
        <v>0</v>
      </c>
      <c r="R31" s="198"/>
      <c r="S31" s="198"/>
      <c r="T31" s="198"/>
      <c r="U31" s="198"/>
      <c r="V31" s="438"/>
      <c r="W31" s="198"/>
      <c r="X31" s="198"/>
      <c r="Y31" s="198"/>
      <c r="Z31" s="198"/>
      <c r="AA31" s="198"/>
      <c r="AB31" s="198"/>
    </row>
    <row r="32" spans="2:28">
      <c r="B32" s="264" t="s">
        <v>157</v>
      </c>
      <c r="C32" s="520" t="s">
        <v>554</v>
      </c>
      <c r="D32" s="52" t="str">
        <f ca="1">IEAData!K$38</f>
        <v>INDHFO</v>
      </c>
      <c r="E32" s="52"/>
      <c r="F32" s="340">
        <f ca="1">MATCH(D32,Calibration!$C$3:$T$3,0)</f>
        <v>10</v>
      </c>
      <c r="G32" s="53">
        <f ca="1">INDEX(IEAData!$D$66:T$66,$F32)*INDEX(Calibration!$C$95:$T$95,$F32)</f>
        <v>0</v>
      </c>
      <c r="H32" s="53">
        <f ca="1">INDEX(AuxData!$D$66:U$66,$F32)*INDEX(Calibrati2!$C$95:$T$95,$F32)</f>
        <v>0</v>
      </c>
      <c r="I32" s="55">
        <v>0.35</v>
      </c>
      <c r="J32" s="55">
        <v>1</v>
      </c>
      <c r="K32" s="542">
        <f>1/I32</f>
        <v>2.8571428571428572</v>
      </c>
      <c r="L32" s="542">
        <f>1/J32/I32</f>
        <v>2.8571428571428572</v>
      </c>
      <c r="M32" s="544">
        <f>H32/L32</f>
        <v>0</v>
      </c>
      <c r="N32" s="57">
        <v>1</v>
      </c>
      <c r="O32" s="49">
        <v>1</v>
      </c>
      <c r="P32" s="12">
        <v>30</v>
      </c>
      <c r="Q32" s="544">
        <f>G32/K32/$O32</f>
        <v>0</v>
      </c>
      <c r="R32" s="544">
        <f>H32/L32/$O32</f>
        <v>0</v>
      </c>
      <c r="S32" s="49"/>
      <c r="T32" s="52">
        <v>0</v>
      </c>
      <c r="U32" s="410"/>
      <c r="V32" s="436"/>
      <c r="W32" s="12"/>
      <c r="X32" s="12"/>
      <c r="Y32" s="12"/>
      <c r="Z32" s="12"/>
      <c r="AA32" s="55"/>
      <c r="AB32" s="128">
        <f ca="1">G32/($G$42+Tiny)</f>
        <v>0</v>
      </c>
    </row>
    <row r="33" spans="2:37">
      <c r="B33" s="52"/>
      <c r="C33" s="520"/>
      <c r="D33" s="52"/>
      <c r="E33" s="52" t="s">
        <v>60</v>
      </c>
      <c r="F33" s="340"/>
      <c r="G33" s="53"/>
      <c r="H33" s="53"/>
      <c r="I33" s="55"/>
      <c r="J33" s="55"/>
      <c r="K33" s="542"/>
      <c r="L33" s="9"/>
      <c r="M33" s="544"/>
      <c r="N33" s="57"/>
      <c r="O33" s="49"/>
      <c r="P33" s="12"/>
      <c r="Q33" s="544"/>
      <c r="R33" s="544"/>
      <c r="S33" s="49"/>
      <c r="T33" s="52"/>
      <c r="U33" s="410"/>
      <c r="V33" s="436"/>
      <c r="W33" s="12"/>
      <c r="X33" s="12"/>
      <c r="Y33" s="12"/>
      <c r="Z33" s="55"/>
      <c r="AA33" s="55"/>
    </row>
    <row r="34" spans="2:37">
      <c r="B34" s="264" t="s">
        <v>158</v>
      </c>
      <c r="C34" s="520" t="s">
        <v>58</v>
      </c>
      <c r="D34" s="52" t="s">
        <v>1365</v>
      </c>
      <c r="E34" s="52"/>
      <c r="F34" s="340">
        <f ca="1">MATCH(IF(D34="INDDST","INDOIL",D34),Calibration!$C$3:$T$3,0)</f>
        <v>11</v>
      </c>
      <c r="G34" s="53">
        <f ca="1">INDEX(IEAData!$D$66:T$66,$F34)*INDEX(Calibration!$C$95:$T$95,$F34)</f>
        <v>0</v>
      </c>
      <c r="H34" s="53">
        <f ca="1">INDEX(AuxData!$D$66:U$66,$F34)*INDEX(Calibrati2!$C$95:$T$95,$F34)</f>
        <v>0</v>
      </c>
      <c r="I34" s="55">
        <v>0.35</v>
      </c>
      <c r="J34" s="55">
        <v>1</v>
      </c>
      <c r="K34" s="542">
        <f>1/I34</f>
        <v>2.8571428571428572</v>
      </c>
      <c r="L34" s="542">
        <f>1/J34/I34</f>
        <v>2.8571428571428572</v>
      </c>
      <c r="M34" s="544">
        <f>H34/L34</f>
        <v>0</v>
      </c>
      <c r="N34" s="57">
        <v>1</v>
      </c>
      <c r="O34" s="49">
        <v>1</v>
      </c>
      <c r="P34" s="12">
        <v>30</v>
      </c>
      <c r="Q34" s="544">
        <f>G34/K34/$O34</f>
        <v>0</v>
      </c>
      <c r="R34" s="544">
        <f>H34/L34/$O34</f>
        <v>0</v>
      </c>
      <c r="S34" s="49"/>
      <c r="T34" s="52">
        <v>0</v>
      </c>
      <c r="U34" s="410"/>
      <c r="V34" s="436"/>
      <c r="W34" s="12"/>
      <c r="X34" s="12"/>
      <c r="Y34" s="12"/>
      <c r="Z34" s="55"/>
      <c r="AA34" s="55"/>
      <c r="AB34" s="128">
        <f ca="1">G34/($G$42+Tiny)</f>
        <v>0</v>
      </c>
    </row>
    <row r="35" spans="2:37">
      <c r="B35" s="52"/>
      <c r="C35" s="520"/>
      <c r="D35" s="52"/>
      <c r="E35" s="52" t="s">
        <v>60</v>
      </c>
      <c r="F35" s="340"/>
      <c r="G35" s="53"/>
      <c r="H35" s="53"/>
      <c r="I35" s="55"/>
      <c r="J35" s="55"/>
      <c r="K35" s="542"/>
      <c r="L35" s="9"/>
      <c r="M35" s="544"/>
      <c r="N35" s="57"/>
      <c r="O35" s="49"/>
      <c r="P35" s="12"/>
      <c r="Q35" s="544"/>
      <c r="R35" s="544"/>
      <c r="S35" s="49"/>
      <c r="T35" s="52"/>
      <c r="U35" s="410"/>
      <c r="V35" s="436"/>
      <c r="W35" s="12"/>
      <c r="X35" s="12"/>
      <c r="Y35" s="12"/>
      <c r="Z35" s="55"/>
      <c r="AA35" s="55"/>
      <c r="AC35" s="77"/>
      <c r="AD35" s="77"/>
      <c r="AE35" s="77"/>
      <c r="AF35" s="77"/>
      <c r="AG35" s="77"/>
      <c r="AH35" s="77"/>
      <c r="AI35" s="77"/>
      <c r="AJ35" s="77"/>
      <c r="AK35" s="77"/>
    </row>
    <row r="36" spans="2:37">
      <c r="B36" s="264" t="s">
        <v>159</v>
      </c>
      <c r="C36" s="520" t="s">
        <v>59</v>
      </c>
      <c r="D36" s="52" t="str">
        <f ca="1">IEAData!C$38</f>
        <v>INDNGA</v>
      </c>
      <c r="E36" s="52"/>
      <c r="F36" s="340">
        <f ca="1">MATCH(D36,Calibration!$C$3:$T$3,0)</f>
        <v>2</v>
      </c>
      <c r="G36" s="53">
        <f ca="1">INDEX(IEAData!$D$66:T$66,$F36)*INDEX(Calibration!$C$95:$T$95,$F36)</f>
        <v>0</v>
      </c>
      <c r="H36" s="53">
        <f ca="1">INDEX(AuxData!$D$66:U$66,$F36)*INDEX(Calibrati2!$C$95:$T$95,$F36)</f>
        <v>0</v>
      </c>
      <c r="I36" s="55">
        <v>0.35</v>
      </c>
      <c r="J36" s="55">
        <v>1</v>
      </c>
      <c r="K36" s="542">
        <f>1/I36</f>
        <v>2.8571428571428572</v>
      </c>
      <c r="L36" s="542">
        <f>1/J36/I36</f>
        <v>2.8571428571428572</v>
      </c>
      <c r="M36" s="544">
        <f>H36/L36</f>
        <v>0</v>
      </c>
      <c r="N36" s="57">
        <v>1</v>
      </c>
      <c r="O36" s="49">
        <v>1</v>
      </c>
      <c r="P36" s="12">
        <v>30</v>
      </c>
      <c r="Q36" s="544">
        <f>G36/K36/$O36</f>
        <v>0</v>
      </c>
      <c r="R36" s="544">
        <f>H36/L36/$O36</f>
        <v>0</v>
      </c>
      <c r="S36" s="49"/>
      <c r="T36" s="52">
        <v>0</v>
      </c>
      <c r="U36" s="410"/>
      <c r="V36" s="436"/>
      <c r="W36" s="12"/>
      <c r="X36" s="12"/>
      <c r="Y36" s="12"/>
      <c r="Z36" s="55"/>
      <c r="AA36" s="55"/>
      <c r="AB36" s="128">
        <f ca="1">G36/($G$42+Tiny)</f>
        <v>0</v>
      </c>
      <c r="AC36" s="77"/>
      <c r="AD36" s="77"/>
      <c r="AE36" s="77"/>
      <c r="AF36" s="77"/>
      <c r="AG36" s="77"/>
      <c r="AH36" s="77"/>
      <c r="AI36" s="77"/>
      <c r="AJ36" s="77"/>
      <c r="AK36" s="77"/>
    </row>
    <row r="37" spans="2:37">
      <c r="B37" s="52"/>
      <c r="C37" s="520"/>
      <c r="D37" s="52"/>
      <c r="E37" s="52" t="s">
        <v>60</v>
      </c>
      <c r="F37" s="340"/>
      <c r="G37" s="53"/>
      <c r="H37" s="53"/>
      <c r="I37" s="55"/>
      <c r="J37" s="55"/>
      <c r="K37" s="542"/>
      <c r="L37" s="9"/>
      <c r="M37" s="544"/>
      <c r="N37" s="57"/>
      <c r="O37" s="49"/>
      <c r="P37" s="12"/>
      <c r="Q37" s="544"/>
      <c r="R37" s="544"/>
      <c r="S37" s="49"/>
      <c r="T37" s="52"/>
      <c r="U37" s="410"/>
      <c r="V37" s="436"/>
      <c r="W37" s="12"/>
      <c r="X37" s="12"/>
      <c r="Y37" s="12"/>
      <c r="Z37" s="55"/>
      <c r="AA37" s="55"/>
      <c r="AC37" s="77"/>
      <c r="AD37" s="77"/>
      <c r="AE37" s="77"/>
      <c r="AF37" s="77"/>
      <c r="AG37" s="77"/>
      <c r="AH37" s="77"/>
      <c r="AI37" s="77"/>
      <c r="AJ37" s="77"/>
      <c r="AK37" s="77"/>
    </row>
    <row r="38" spans="2:37">
      <c r="B38" s="264" t="s">
        <v>160</v>
      </c>
      <c r="C38" s="520" t="s">
        <v>776</v>
      </c>
      <c r="D38" s="52" t="s">
        <v>1349</v>
      </c>
      <c r="E38" s="52"/>
      <c r="F38" s="340">
        <f ca="1">MATCH("IND"&amp;RIGHT(D38,3),Calibration!$C$3:$T$3,0)</f>
        <v>1</v>
      </c>
      <c r="G38" s="53">
        <f ca="1">INDEX(IEAData!$D$66:T$66,$F38)*INDEX(Calibration!$C$95:$T$95,$F38)</f>
        <v>10.188861459088109</v>
      </c>
      <c r="H38" s="53">
        <f ca="1">INDEX(AuxData!$D$66:U$66,$F38)*INDEX(Calibrati2!$C$95:$T$95,$F38)</f>
        <v>9.822745743978393</v>
      </c>
      <c r="I38" s="55">
        <v>0.85</v>
      </c>
      <c r="J38" s="55">
        <v>1</v>
      </c>
      <c r="K38" s="542">
        <f>1/I38</f>
        <v>1.1764705882352942</v>
      </c>
      <c r="L38" s="542">
        <f>1/J38/I38</f>
        <v>1.1764705882352942</v>
      </c>
      <c r="M38" s="544">
        <f>H38/L38</f>
        <v>8.3493338823816341</v>
      </c>
      <c r="N38" s="57">
        <v>1</v>
      </c>
      <c r="O38" s="49">
        <v>1</v>
      </c>
      <c r="P38" s="12">
        <v>30</v>
      </c>
      <c r="Q38" s="544">
        <f>G38/K38/$O38</f>
        <v>8.6605322402248923</v>
      </c>
      <c r="R38" s="544">
        <f>H38/L38/$O38</f>
        <v>8.3493338823816341</v>
      </c>
      <c r="S38" s="49"/>
      <c r="T38" s="52">
        <v>0</v>
      </c>
      <c r="U38" s="410"/>
      <c r="V38" s="436"/>
      <c r="W38" s="12"/>
      <c r="X38" s="12"/>
      <c r="Y38" s="12"/>
      <c r="Z38" s="55"/>
      <c r="AA38" s="55"/>
      <c r="AB38" s="128">
        <f ca="1">G38/($G$42+Tiny)</f>
        <v>0.99999999990185362</v>
      </c>
      <c r="AC38" s="77"/>
      <c r="AD38" s="77"/>
      <c r="AE38" s="77"/>
      <c r="AF38" s="77"/>
      <c r="AG38" s="77"/>
      <c r="AH38" s="77"/>
      <c r="AI38" s="77"/>
      <c r="AJ38" s="77"/>
      <c r="AK38" s="77"/>
    </row>
    <row r="39" spans="2:37">
      <c r="B39" s="52"/>
      <c r="C39" s="520"/>
      <c r="D39" s="52"/>
      <c r="E39" s="52" t="s">
        <v>60</v>
      </c>
      <c r="F39" s="340"/>
      <c r="G39" s="53"/>
      <c r="H39" s="53"/>
      <c r="I39" s="55"/>
      <c r="J39" s="55"/>
      <c r="K39" s="542"/>
      <c r="L39" s="9"/>
      <c r="M39" s="544"/>
      <c r="N39" s="57"/>
      <c r="O39" s="49"/>
      <c r="P39" s="12"/>
      <c r="Q39" s="544"/>
      <c r="R39" s="544"/>
      <c r="S39" s="49"/>
      <c r="T39" s="52"/>
      <c r="U39" s="410"/>
      <c r="V39" s="436"/>
      <c r="W39" s="12"/>
      <c r="X39" s="12"/>
      <c r="Y39" s="12"/>
      <c r="Z39" s="55"/>
      <c r="AA39" s="55"/>
      <c r="AC39" s="77"/>
      <c r="AD39" s="77"/>
      <c r="AE39" s="77"/>
      <c r="AF39" s="77"/>
      <c r="AG39" s="77"/>
      <c r="AH39" s="77"/>
      <c r="AI39" s="77"/>
      <c r="AJ39" s="77"/>
      <c r="AK39" s="77"/>
    </row>
    <row r="40" spans="2:37">
      <c r="B40" s="264" t="s">
        <v>161</v>
      </c>
      <c r="C40" s="520" t="s">
        <v>777</v>
      </c>
      <c r="D40" s="52" t="str">
        <f ca="1">IEAData!D$38</f>
        <v>INDLPG</v>
      </c>
      <c r="E40" s="52"/>
      <c r="F40" s="340">
        <f ca="1">MATCH(D40,Calibration!$C$3:$T$3,0)</f>
        <v>3</v>
      </c>
      <c r="G40" s="53">
        <f ca="1">INDEX(IEAData!$D$66:T$66,$F40)*INDEX(Calibration!$C$95:$T$95,$F40)</f>
        <v>0</v>
      </c>
      <c r="H40" s="53">
        <f ca="1">INDEX(AuxData!$D$66:U$66,$F40)*INDEX(Calibrati2!$C$95:$T$95,$F40)</f>
        <v>0</v>
      </c>
      <c r="I40" s="55">
        <v>0.35</v>
      </c>
      <c r="J40" s="55">
        <v>1</v>
      </c>
      <c r="K40" s="542">
        <f>1/I40</f>
        <v>2.8571428571428572</v>
      </c>
      <c r="L40" s="542">
        <f>1/J40/I40</f>
        <v>2.8571428571428572</v>
      </c>
      <c r="M40" s="544">
        <f>H40/L40</f>
        <v>0</v>
      </c>
      <c r="N40" s="57">
        <v>1</v>
      </c>
      <c r="O40" s="49">
        <v>1</v>
      </c>
      <c r="P40" s="49">
        <v>30</v>
      </c>
      <c r="Q40" s="544">
        <f>G40/K40/$O40</f>
        <v>0</v>
      </c>
      <c r="R40" s="544">
        <f>H40/L40/$O40</f>
        <v>0</v>
      </c>
      <c r="S40" s="49"/>
      <c r="T40" s="52">
        <v>0</v>
      </c>
      <c r="U40" s="410"/>
      <c r="V40" s="436"/>
      <c r="W40" s="49"/>
      <c r="X40" s="49"/>
      <c r="Y40" s="49"/>
      <c r="Z40" s="55"/>
      <c r="AA40" s="55"/>
      <c r="AB40" s="128">
        <f ca="1">G40/($G$42+Tiny)</f>
        <v>0</v>
      </c>
      <c r="AC40" s="77"/>
      <c r="AD40" s="77"/>
      <c r="AE40" s="77"/>
      <c r="AF40" s="77"/>
      <c r="AG40" s="77"/>
      <c r="AH40" s="77"/>
      <c r="AI40" s="77"/>
      <c r="AJ40" s="77"/>
      <c r="AK40" s="77"/>
    </row>
    <row r="41" spans="2:37" ht="13.5" thickBot="1">
      <c r="B41" s="22"/>
      <c r="C41" s="24"/>
      <c r="D41" s="22"/>
      <c r="E41" s="22" t="s">
        <v>60</v>
      </c>
      <c r="F41" s="341"/>
      <c r="G41" s="28"/>
      <c r="H41" s="28"/>
      <c r="I41" s="29"/>
      <c r="J41" s="29"/>
      <c r="K41" s="545"/>
      <c r="L41" s="545"/>
      <c r="M41" s="541"/>
      <c r="N41" s="32"/>
      <c r="O41" s="13"/>
      <c r="P41" s="13"/>
      <c r="Q41" s="541"/>
      <c r="R41" s="541"/>
      <c r="S41" s="13"/>
      <c r="T41" s="22"/>
      <c r="U41" s="13"/>
      <c r="V41" s="437"/>
      <c r="W41" s="13"/>
      <c r="X41" s="13"/>
      <c r="Y41" s="13"/>
      <c r="Z41" s="29"/>
      <c r="AA41" s="29"/>
      <c r="AC41" s="77"/>
      <c r="AD41" s="77"/>
      <c r="AE41" s="77"/>
      <c r="AF41" s="77"/>
      <c r="AG41" s="77"/>
      <c r="AH41" s="77"/>
      <c r="AI41" s="77"/>
      <c r="AJ41" s="77"/>
      <c r="AK41" s="77"/>
    </row>
    <row r="42" spans="2:37">
      <c r="B42" s="192" t="s">
        <v>902</v>
      </c>
      <c r="C42" s="198" t="s">
        <v>60</v>
      </c>
      <c r="D42" s="198"/>
      <c r="E42" s="198"/>
      <c r="F42" s="200"/>
      <c r="G42" s="199">
        <f>SUM(G32:G41)</f>
        <v>10.188861459088109</v>
      </c>
      <c r="H42" s="199">
        <f>SUM(H32:H41)</f>
        <v>9.822745743978393</v>
      </c>
      <c r="I42" s="199"/>
      <c r="J42" s="198"/>
      <c r="K42" s="200"/>
      <c r="L42" s="200">
        <f>SUMPRODUCT(G32:G41,I32:I41)</f>
        <v>8.6605322402248923</v>
      </c>
      <c r="M42" s="199">
        <f>SUM(M32:M40)</f>
        <v>8.3493338823816341</v>
      </c>
      <c r="N42" s="200" t="s">
        <v>784</v>
      </c>
      <c r="O42" s="201"/>
      <c r="P42" s="198"/>
      <c r="Q42" s="199">
        <f>SUM(Q32:Q40)</f>
        <v>8.6605322402248923</v>
      </c>
      <c r="R42" s="199">
        <f>SUM(R32:R40)</f>
        <v>8.3493338823816341</v>
      </c>
      <c r="S42" s="198"/>
      <c r="T42" s="198"/>
      <c r="U42" s="198"/>
      <c r="V42" s="198"/>
      <c r="W42" s="198"/>
      <c r="X42" s="198"/>
      <c r="Y42" s="198"/>
      <c r="Z42" s="198"/>
      <c r="AA42" s="198"/>
      <c r="AB42" s="198"/>
      <c r="AC42" s="77"/>
      <c r="AD42" s="77"/>
      <c r="AE42" s="77"/>
      <c r="AF42" s="77"/>
      <c r="AG42" s="77"/>
      <c r="AH42" s="77"/>
      <c r="AI42" s="77"/>
      <c r="AJ42" s="77"/>
      <c r="AK42" s="77"/>
    </row>
    <row r="43" spans="2:37">
      <c r="G43" s="2"/>
      <c r="I43" s="2"/>
      <c r="M43" s="2"/>
      <c r="O43" s="4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</row>
    <row r="44" spans="2:37"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</row>
    <row r="45" spans="2:37"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81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</row>
    <row r="46" spans="2:37"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81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</row>
    <row r="47" spans="2:37"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81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H73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5.42578125" customWidth="1"/>
    <col min="3" max="3" width="37" customWidth="1"/>
    <col min="4" max="5" width="10.7109375" customWidth="1"/>
  </cols>
  <sheetData>
    <row r="1" spans="1:27">
      <c r="E1" s="216"/>
    </row>
    <row r="2" spans="1:27">
      <c r="E2" s="216"/>
    </row>
    <row r="3" spans="1:27">
      <c r="E3" s="216"/>
    </row>
    <row r="4" spans="1:27">
      <c r="E4" s="216"/>
      <c r="Q4" s="12">
        <v>1</v>
      </c>
      <c r="R4" t="s">
        <v>146</v>
      </c>
    </row>
    <row r="5" spans="1:27" ht="18">
      <c r="A5" s="8"/>
      <c r="B5" s="10"/>
      <c r="C5" s="11"/>
      <c r="E5" s="216"/>
      <c r="I5" t="s">
        <v>784</v>
      </c>
    </row>
    <row r="6" spans="1:27" ht="18">
      <c r="B6" s="86" t="s">
        <v>11</v>
      </c>
      <c r="C6" s="88"/>
      <c r="D6" s="123"/>
      <c r="E6" s="225" t="str">
        <f>"~FI_T: "&amp;Region&amp;"~EUR10"</f>
        <v>~FI_T: FIN~EUR10</v>
      </c>
      <c r="F6" s="1"/>
      <c r="G6" s="1"/>
      <c r="I6" s="1" t="s">
        <v>784</v>
      </c>
      <c r="J6" s="1" t="s">
        <v>784</v>
      </c>
      <c r="K6" s="1" t="s">
        <v>784</v>
      </c>
      <c r="M6" s="1" t="s">
        <v>784</v>
      </c>
      <c r="P6" s="1"/>
      <c r="Q6" s="1"/>
    </row>
    <row r="7" spans="1:27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CONCATENATE("\I:",IEAData!$D$2," final energy")</f>
        <v>\I:2010 final energy</v>
      </c>
      <c r="H7" s="64" t="str">
        <f ca="1">CONCATENATE("\I:",AuxYear," final energy")</f>
        <v>\I:2017 final energy</v>
      </c>
      <c r="I7" s="64" t="str">
        <f ca="1">CONCATENATE("\I:",IEAData!$D$2," EFF")</f>
        <v>\I:2010 EFF</v>
      </c>
      <c r="J7" s="64" t="s">
        <v>721</v>
      </c>
      <c r="K7" s="45" t="s">
        <v>388</v>
      </c>
      <c r="L7" s="45" t="str">
        <f ca="1">"INPUT~"&amp;AuxYear</f>
        <v>INPUT~2017</v>
      </c>
      <c r="M7" s="64" t="str">
        <f ca="1">CONCATENATE("\I:",IEAData!$D$2," Service Demand")</f>
        <v>\I:2010 Service Demand</v>
      </c>
      <c r="N7" s="45" t="s">
        <v>848</v>
      </c>
      <c r="O7" s="45" t="s">
        <v>872</v>
      </c>
      <c r="P7" s="45" t="s">
        <v>556</v>
      </c>
      <c r="Q7" s="45" t="str">
        <f ca="1">"RESID~"&amp;BaseYear</f>
        <v>RESID~2010</v>
      </c>
      <c r="R7" s="45" t="str">
        <f ca="1">"RESID~"&amp;AuxYear</f>
        <v>RESID~2017</v>
      </c>
      <c r="S7" s="45" t="str">
        <f ca="1">"RESID~"&amp;CEILING(AuxYear+12,5)</f>
        <v>RESID~2030</v>
      </c>
      <c r="T7" s="45" t="str">
        <f ca="1">"RESID~"&amp;CEILING(AuxYear+27,5)</f>
        <v>RESID~2045</v>
      </c>
      <c r="U7" s="45" t="s">
        <v>1382</v>
      </c>
      <c r="V7" s="45" t="s">
        <v>849</v>
      </c>
      <c r="W7" s="45" t="s">
        <v>52</v>
      </c>
      <c r="X7" s="45" t="s">
        <v>51</v>
      </c>
      <c r="Y7" s="45" t="s">
        <v>552</v>
      </c>
      <c r="Z7" s="45" t="s">
        <v>499</v>
      </c>
      <c r="AA7" s="126" t="s">
        <v>959</v>
      </c>
    </row>
    <row r="8" spans="1:27">
      <c r="A8" s="128"/>
      <c r="B8" s="264" t="s">
        <v>169</v>
      </c>
      <c r="C8" s="520" t="s">
        <v>62</v>
      </c>
      <c r="D8" s="52" t="str">
        <f ca="1">IEAData!K$38</f>
        <v>INDHFO</v>
      </c>
      <c r="E8" s="52"/>
      <c r="F8" s="340">
        <f ca="1">MATCH(D8,Calibration!$C$3:$T$3,0)</f>
        <v>10</v>
      </c>
      <c r="G8" s="53">
        <f ca="1">INDEX(IEAData!$D$69:T$69,$F8)*INDEX(Calibration!$C$95:$T$95,$F8)</f>
        <v>2.2817679269149664</v>
      </c>
      <c r="H8" s="53">
        <f ca="1">INDEX(AuxData!$D$69:U$69,$F8)*INDEX(Calibrati2!$C$95:$T$95,$F8)</f>
        <v>0.74260576378638243</v>
      </c>
      <c r="I8" s="55">
        <v>0.81</v>
      </c>
      <c r="J8" s="55">
        <v>1</v>
      </c>
      <c r="K8" s="542">
        <f>1/I8</f>
        <v>1.2345679012345678</v>
      </c>
      <c r="L8" s="542">
        <f>1/J8/I8</f>
        <v>1.2345679012345678</v>
      </c>
      <c r="M8" s="544">
        <f>H8/L8</f>
        <v>0.60151066866696978</v>
      </c>
      <c r="N8" s="57">
        <v>1</v>
      </c>
      <c r="O8" s="49">
        <v>1</v>
      </c>
      <c r="P8" s="12">
        <v>30</v>
      </c>
      <c r="Q8" s="544">
        <f>G8/K8/MAX($O8,$V8)</f>
        <v>1.8482320208011229</v>
      </c>
      <c r="R8" s="544">
        <f>M8/MAX($O8,$V8)</f>
        <v>0.60151066866696978</v>
      </c>
      <c r="S8" s="49"/>
      <c r="T8" s="52">
        <v>0</v>
      </c>
      <c r="U8" s="9"/>
      <c r="V8" s="12"/>
      <c r="W8" s="12"/>
      <c r="X8" s="12"/>
      <c r="Y8" s="12"/>
      <c r="Z8" s="54"/>
      <c r="AA8" s="127">
        <f>G8/$G$30</f>
        <v>7.8399461124795344E-2</v>
      </c>
    </row>
    <row r="9" spans="1:27">
      <c r="B9" s="52"/>
      <c r="C9" s="520"/>
      <c r="D9" s="52"/>
      <c r="E9" s="52" t="s">
        <v>75</v>
      </c>
      <c r="F9" s="57"/>
      <c r="G9" s="53"/>
      <c r="H9" s="53"/>
      <c r="I9" s="55"/>
      <c r="J9" s="55"/>
      <c r="K9" s="542"/>
      <c r="L9" s="9"/>
      <c r="M9" s="544"/>
      <c r="N9" s="57"/>
      <c r="O9" s="49"/>
      <c r="P9" s="12"/>
      <c r="Q9" s="544"/>
      <c r="R9" s="544"/>
      <c r="S9" s="49"/>
      <c r="T9" s="52"/>
      <c r="U9" s="9"/>
      <c r="V9" s="12"/>
      <c r="W9" s="12"/>
      <c r="X9" s="12"/>
      <c r="Y9" s="12"/>
      <c r="Z9" s="55"/>
      <c r="AA9" s="127"/>
    </row>
    <row r="10" spans="1:27">
      <c r="A10" s="128"/>
      <c r="B10" s="264" t="s">
        <v>170</v>
      </c>
      <c r="C10" s="520" t="s">
        <v>71</v>
      </c>
      <c r="D10" s="52" t="s">
        <v>1365</v>
      </c>
      <c r="E10" s="52"/>
      <c r="F10" s="340">
        <f ca="1">MATCH(IF($D10="INDDST","INDOIL",$D10),Calibration!$C$3:$T$3,0)</f>
        <v>11</v>
      </c>
      <c r="G10" s="53">
        <f ca="1">INDEX(IEAData!$D$69:T$69,$F10)*INDEX(Calibration!$C$95:$T$95,$F10)</f>
        <v>4.6933284701447482</v>
      </c>
      <c r="H10" s="53">
        <f ca="1">INDEX(AuxData!$D$69:U$69,$F10)*INDEX(Calibrati2!$C$95:$T$95,$F10)</f>
        <v>4.4432614668820287</v>
      </c>
      <c r="I10" s="55">
        <v>0.81</v>
      </c>
      <c r="J10" s="55">
        <v>1</v>
      </c>
      <c r="K10" s="542">
        <f>1/I10</f>
        <v>1.2345679012345678</v>
      </c>
      <c r="L10" s="542">
        <f>1/J10/I10</f>
        <v>1.2345679012345678</v>
      </c>
      <c r="M10" s="544">
        <f>H10/L10</f>
        <v>3.5990417881744436</v>
      </c>
      <c r="N10" s="57">
        <v>1</v>
      </c>
      <c r="O10" s="49"/>
      <c r="P10" s="12">
        <v>30</v>
      </c>
      <c r="Q10" s="544">
        <f>G10/K10/MAX($O10,$V10)</f>
        <v>3.8015960608172463</v>
      </c>
      <c r="R10" s="544">
        <f>M10/MAX($O10,$V10)</f>
        <v>3.5990417881744436</v>
      </c>
      <c r="S10" s="49"/>
      <c r="T10" s="52">
        <v>0.12</v>
      </c>
      <c r="U10" s="9"/>
      <c r="V10" s="304">
        <v>1</v>
      </c>
      <c r="W10" s="12"/>
      <c r="X10" s="12"/>
      <c r="Y10" s="12"/>
      <c r="Z10" s="55"/>
      <c r="AA10" s="127">
        <f>G10/$G$30</f>
        <v>0.16125847795507242</v>
      </c>
    </row>
    <row r="11" spans="1:27">
      <c r="B11" s="52"/>
      <c r="C11" s="520"/>
      <c r="D11" s="52"/>
      <c r="E11" s="52" t="s">
        <v>75</v>
      </c>
      <c r="F11" s="57"/>
      <c r="G11" s="53"/>
      <c r="H11" s="53"/>
      <c r="I11" s="55"/>
      <c r="J11" s="55"/>
      <c r="K11" s="542"/>
      <c r="L11" s="9"/>
      <c r="M11" s="544"/>
      <c r="N11" s="57"/>
      <c r="O11" s="49"/>
      <c r="P11" s="12"/>
      <c r="Q11" s="544"/>
      <c r="R11" s="544"/>
      <c r="S11" s="49"/>
      <c r="T11" s="52"/>
      <c r="U11" s="9"/>
      <c r="V11" s="12"/>
      <c r="W11" s="12"/>
      <c r="X11" s="12"/>
      <c r="Y11" s="12"/>
      <c r="Z11" s="55"/>
      <c r="AA11" s="127"/>
    </row>
    <row r="12" spans="1:27">
      <c r="A12" s="128"/>
      <c r="B12" s="264" t="s">
        <v>171</v>
      </c>
      <c r="C12" s="520" t="s">
        <v>72</v>
      </c>
      <c r="D12" s="52" t="str">
        <f ca="1">IEAData!C$38</f>
        <v>INDNGA</v>
      </c>
      <c r="E12" s="52"/>
      <c r="F12" s="340">
        <f ca="1">MATCH(D12,Calibration!$C$3:$T$3,0)</f>
        <v>2</v>
      </c>
      <c r="G12" s="53">
        <f ca="1">INDEX(IEAData!$D$69:T$69,$F12)*INDEX(Calibration!$C$95:$T$95,$F12)</f>
        <v>0.87389120540072307</v>
      </c>
      <c r="H12" s="53">
        <f ca="1">INDEX(AuxData!$D$69:U$69,$F12)*INDEX(Calibrati2!$C$95:$T$95,$F12)</f>
        <v>0.49813420458219693</v>
      </c>
      <c r="I12" s="55">
        <v>0.81</v>
      </c>
      <c r="J12" s="55">
        <v>1</v>
      </c>
      <c r="K12" s="542">
        <f>1/I12</f>
        <v>1.2345679012345678</v>
      </c>
      <c r="L12" s="542">
        <f>1/J12/I12</f>
        <v>1.2345679012345678</v>
      </c>
      <c r="M12" s="544">
        <f>H12/L12</f>
        <v>0.40348870571157952</v>
      </c>
      <c r="N12" s="57">
        <v>1</v>
      </c>
      <c r="O12" s="49">
        <v>1</v>
      </c>
      <c r="P12" s="12">
        <v>30</v>
      </c>
      <c r="Q12" s="544">
        <f>G12/K12/MAX($O12,$V12)</f>
        <v>0.70785187637458569</v>
      </c>
      <c r="R12" s="544">
        <f>M12/MAX($O12,$V12)</f>
        <v>0.40348870571157952</v>
      </c>
      <c r="S12" s="49"/>
      <c r="T12" s="52">
        <v>0</v>
      </c>
      <c r="U12" s="9"/>
      <c r="V12" s="12"/>
      <c r="W12" s="12"/>
      <c r="X12" s="12"/>
      <c r="Y12" s="12"/>
      <c r="Z12" s="55"/>
      <c r="AA12" s="127">
        <f>G12/$G$30</f>
        <v>3.0026103345990172E-2</v>
      </c>
    </row>
    <row r="13" spans="1:27">
      <c r="B13" s="52"/>
      <c r="C13" s="520"/>
      <c r="D13" s="52"/>
      <c r="E13" s="52" t="s">
        <v>75</v>
      </c>
      <c r="F13" s="57"/>
      <c r="G13" s="53"/>
      <c r="H13" s="53"/>
      <c r="I13" s="55"/>
      <c r="J13" s="55"/>
      <c r="K13" s="542"/>
      <c r="L13" s="9"/>
      <c r="M13" s="544"/>
      <c r="N13" s="57"/>
      <c r="O13" s="49"/>
      <c r="P13" s="12"/>
      <c r="Q13" s="544"/>
      <c r="R13" s="544"/>
      <c r="S13" s="49"/>
      <c r="T13" s="52"/>
      <c r="U13" s="9"/>
      <c r="V13" s="12"/>
      <c r="W13" s="12"/>
      <c r="X13" s="12"/>
      <c r="Y13" s="12"/>
      <c r="Z13" s="55"/>
      <c r="AA13" s="127"/>
    </row>
    <row r="14" spans="1:27">
      <c r="A14" s="128"/>
      <c r="B14" s="264" t="s">
        <v>172</v>
      </c>
      <c r="C14" s="520" t="s">
        <v>76</v>
      </c>
      <c r="D14" s="52" t="str">
        <f ca="1">IEAData!F$38</f>
        <v>INDCOA</v>
      </c>
      <c r="E14" s="52"/>
      <c r="F14" s="340">
        <f ca="1">MATCH(D14,Calibration!$C$3:$T$3,0)</f>
        <v>5</v>
      </c>
      <c r="G14" s="53">
        <f ca="1">INDEX(IEAData!$D$69:T$69,$F14)*INDEX(Calibration!$C$95:$T$95,$F14)</f>
        <v>0</v>
      </c>
      <c r="H14" s="53">
        <f ca="1">INDEX(AuxData!$D$69:U$69,$F14)*INDEX(Calibrati2!$C$95:$T$95,$F14)</f>
        <v>0</v>
      </c>
      <c r="I14" s="55">
        <v>0.81</v>
      </c>
      <c r="J14" s="55">
        <v>1</v>
      </c>
      <c r="K14" s="542">
        <f>1/I14</f>
        <v>1.2345679012345678</v>
      </c>
      <c r="L14" s="542">
        <f>1/J14/I14</f>
        <v>1.2345679012345678</v>
      </c>
      <c r="M14" s="544">
        <f>H14/L14</f>
        <v>0</v>
      </c>
      <c r="N14" s="57">
        <v>1</v>
      </c>
      <c r="O14" s="49">
        <v>1</v>
      </c>
      <c r="P14" s="12">
        <v>30</v>
      </c>
      <c r="Q14" s="544">
        <f>G14/K14/MAX($O14,$V14)</f>
        <v>0</v>
      </c>
      <c r="R14" s="544">
        <f>M14/MAX($O14,$V14)</f>
        <v>0</v>
      </c>
      <c r="S14" s="49"/>
      <c r="T14" s="52">
        <v>0</v>
      </c>
      <c r="U14" s="9"/>
      <c r="V14" s="12"/>
      <c r="W14" s="12"/>
      <c r="X14" s="12"/>
      <c r="Y14" s="12"/>
      <c r="Z14" s="55"/>
      <c r="AA14" s="127">
        <f>G14/$G$30</f>
        <v>0</v>
      </c>
    </row>
    <row r="15" spans="1:27">
      <c r="B15" s="52"/>
      <c r="C15" s="520"/>
      <c r="D15" s="52"/>
      <c r="E15" s="52" t="s">
        <v>75</v>
      </c>
      <c r="F15" s="57"/>
      <c r="G15" s="53"/>
      <c r="H15" s="53"/>
      <c r="I15" s="55"/>
      <c r="J15" s="55"/>
      <c r="K15" s="543"/>
      <c r="L15" s="9"/>
      <c r="M15" s="544"/>
      <c r="N15" s="57"/>
      <c r="O15" s="49"/>
      <c r="P15" s="12"/>
      <c r="Q15" s="544"/>
      <c r="R15" s="544"/>
      <c r="S15" s="49"/>
      <c r="T15" s="52"/>
      <c r="U15" s="9"/>
      <c r="V15" s="12"/>
      <c r="W15" s="12"/>
      <c r="X15" s="12"/>
      <c r="Y15" s="12"/>
      <c r="Z15" s="55"/>
      <c r="AA15" s="127"/>
    </row>
    <row r="16" spans="1:27">
      <c r="B16" s="264" t="s">
        <v>767</v>
      </c>
      <c r="C16" s="520" t="s">
        <v>768</v>
      </c>
      <c r="D16" s="52" t="str">
        <f ca="1">IEAData!G$38</f>
        <v>INDCOK</v>
      </c>
      <c r="E16" s="52"/>
      <c r="F16" s="340">
        <f ca="1">MATCH(D16,Calibration!$C$3:$T$3,0)</f>
        <v>6</v>
      </c>
      <c r="G16" s="53">
        <f ca="1">INDEX(IEAData!$D$69:T$69,$F16)*INDEX(Calibration!$C$95:$T$95,$F16)</f>
        <v>8.7922799999992328E-3</v>
      </c>
      <c r="H16" s="53">
        <f ca="1">INDEX(AuxData!$D$69:U$69,$F16)*INDEX(Calibrati2!$C$95:$T$95,$F16)</f>
        <v>8.7910500000000467E-3</v>
      </c>
      <c r="I16" s="55">
        <v>0.81</v>
      </c>
      <c r="J16" s="55">
        <v>1</v>
      </c>
      <c r="K16" s="542">
        <f>1/I16</f>
        <v>1.2345679012345678</v>
      </c>
      <c r="L16" s="542">
        <f>1/J16/I16</f>
        <v>1.2345679012345678</v>
      </c>
      <c r="M16" s="544">
        <f>H16/L16</f>
        <v>7.1207505000000382E-3</v>
      </c>
      <c r="N16" s="57">
        <v>1</v>
      </c>
      <c r="O16" s="49">
        <v>1</v>
      </c>
      <c r="P16" s="12">
        <v>30</v>
      </c>
      <c r="Q16" s="544">
        <f>G16/K16/MAX($O16,$V16)</f>
        <v>7.1217467999993792E-3</v>
      </c>
      <c r="R16" s="544">
        <f>M16/MAX($O16,$V16)</f>
        <v>7.1207505000000382E-3</v>
      </c>
      <c r="S16" s="49"/>
      <c r="T16" s="52">
        <v>0</v>
      </c>
      <c r="U16" s="9"/>
      <c r="V16" s="12"/>
      <c r="W16" s="12"/>
      <c r="X16" s="12"/>
      <c r="Y16" s="12"/>
      <c r="Z16" s="55"/>
      <c r="AA16" s="127">
        <f>G16/$G$30</f>
        <v>3.0209470732206662E-4</v>
      </c>
    </row>
    <row r="17" spans="1:27">
      <c r="B17" s="52"/>
      <c r="C17" s="520"/>
      <c r="D17" s="52"/>
      <c r="E17" s="52" t="s">
        <v>75</v>
      </c>
      <c r="F17" s="57"/>
      <c r="G17" s="53"/>
      <c r="H17" s="53"/>
      <c r="I17" s="55"/>
      <c r="J17" s="55"/>
      <c r="K17" s="543"/>
      <c r="L17" s="9"/>
      <c r="M17" s="544"/>
      <c r="N17" s="57"/>
      <c r="O17" s="49"/>
      <c r="P17" s="12"/>
      <c r="Q17" s="544"/>
      <c r="R17" s="544"/>
      <c r="S17" s="49"/>
      <c r="T17" s="52"/>
      <c r="U17" s="9"/>
      <c r="V17" s="12"/>
      <c r="W17" s="12"/>
      <c r="X17" s="12"/>
      <c r="Y17" s="12"/>
      <c r="Z17" s="55"/>
      <c r="AA17" s="127"/>
    </row>
    <row r="18" spans="1:27">
      <c r="B18" s="264" t="s">
        <v>542</v>
      </c>
      <c r="C18" s="520" t="s">
        <v>543</v>
      </c>
      <c r="D18" s="52" t="str">
        <f ca="1">IEAData!O$38</f>
        <v>INDPTC</v>
      </c>
      <c r="E18" s="52"/>
      <c r="F18" s="340">
        <f ca="1">MATCH(D18,Calibration!$C$3:$T$3,0)</f>
        <v>14</v>
      </c>
      <c r="G18" s="53">
        <f ca="1">INDEX(IEAData!$D$69:T$69,$F18)*INDEX(Calibration!$C$95:$T$95,$F18)</f>
        <v>0</v>
      </c>
      <c r="H18" s="53">
        <f ca="1">INDEX(AuxData!$D$69:U$69,$F18)*INDEX(Calibrati2!$C$95:$T$95,$F18)</f>
        <v>0</v>
      </c>
      <c r="I18" s="55">
        <v>0.81</v>
      </c>
      <c r="J18" s="55">
        <v>1</v>
      </c>
      <c r="K18" s="542">
        <f>1/I18</f>
        <v>1.2345679012345678</v>
      </c>
      <c r="L18" s="542">
        <f>1/J18/I18</f>
        <v>1.2345679012345678</v>
      </c>
      <c r="M18" s="544">
        <f>H18/L18</f>
        <v>0</v>
      </c>
      <c r="N18" s="57">
        <v>1</v>
      </c>
      <c r="O18" s="49">
        <v>1</v>
      </c>
      <c r="P18" s="12">
        <v>30</v>
      </c>
      <c r="Q18" s="544">
        <f>G18/K18/MAX($O18,$V18)</f>
        <v>0</v>
      </c>
      <c r="R18" s="544">
        <f>M18/MAX($O18,$V18)</f>
        <v>0</v>
      </c>
      <c r="S18" s="49"/>
      <c r="T18" s="52">
        <v>0</v>
      </c>
      <c r="U18" s="9"/>
      <c r="V18" s="12"/>
      <c r="W18" s="12"/>
      <c r="X18" s="12"/>
      <c r="Y18" s="12"/>
      <c r="Z18" s="55"/>
      <c r="AA18" s="127">
        <f>G18/$G$30</f>
        <v>0</v>
      </c>
    </row>
    <row r="19" spans="1:27">
      <c r="B19" s="52"/>
      <c r="C19" s="520"/>
      <c r="D19" s="52"/>
      <c r="E19" s="52" t="s">
        <v>75</v>
      </c>
      <c r="F19" s="57"/>
      <c r="G19" s="53"/>
      <c r="H19" s="53"/>
      <c r="I19" s="55"/>
      <c r="J19" s="55"/>
      <c r="K19" s="543"/>
      <c r="L19" s="9"/>
      <c r="M19" s="544"/>
      <c r="N19" s="57"/>
      <c r="O19" s="49"/>
      <c r="P19" s="12"/>
      <c r="Q19" s="544"/>
      <c r="R19" s="544"/>
      <c r="S19" s="49"/>
      <c r="T19" s="52"/>
      <c r="U19" s="9"/>
      <c r="V19" s="12"/>
      <c r="W19" s="12"/>
      <c r="X19" s="12"/>
      <c r="Y19" s="12"/>
      <c r="Z19" s="55"/>
      <c r="AA19" s="127"/>
    </row>
    <row r="20" spans="1:27">
      <c r="A20" s="128"/>
      <c r="B20" s="264" t="s">
        <v>173</v>
      </c>
      <c r="C20" s="520" t="s">
        <v>73</v>
      </c>
      <c r="D20" s="52" t="s">
        <v>1351</v>
      </c>
      <c r="E20" s="52"/>
      <c r="F20" s="340">
        <f ca="1">MATCH("IND"&amp;RIGHT(D20,3),Calibration!$C$3:$T$3,0)</f>
        <v>1</v>
      </c>
      <c r="G20" s="53">
        <f ca="1">INDEX(IEAData!$D$69:T$69,$F20)*INDEX(Calibration!$C$95:$T$95,$F20)</f>
        <v>8.2612390208822504</v>
      </c>
      <c r="H20" s="53">
        <f ca="1">INDEX(AuxData!$D$69:U$69,$F20)*INDEX(Calibrati2!$C$95:$T$95,$F20)</f>
        <v>7.964388441063563</v>
      </c>
      <c r="I20" s="55">
        <v>1</v>
      </c>
      <c r="J20" s="55">
        <v>1</v>
      </c>
      <c r="K20" s="542">
        <f>1/I20</f>
        <v>1</v>
      </c>
      <c r="L20" s="542">
        <f>1/J20/I20</f>
        <v>1</v>
      </c>
      <c r="M20" s="544">
        <f>H20/L20</f>
        <v>7.964388441063563</v>
      </c>
      <c r="N20" s="57">
        <v>1</v>
      </c>
      <c r="O20" s="49"/>
      <c r="P20" s="49">
        <v>30</v>
      </c>
      <c r="Q20" s="544">
        <f>G20/K20/MAX($O20,$V20)</f>
        <v>8.2612390208822504</v>
      </c>
      <c r="R20" s="544">
        <f>M20/MAX($O20,$V20)</f>
        <v>7.964388441063563</v>
      </c>
      <c r="S20" s="49"/>
      <c r="T20" s="52">
        <v>0</v>
      </c>
      <c r="U20" s="9"/>
      <c r="V20" s="386">
        <v>1</v>
      </c>
      <c r="W20" s="49"/>
      <c r="X20" s="49"/>
      <c r="Y20" s="49"/>
      <c r="Z20" s="55"/>
      <c r="AA20" s="127">
        <f>G20/$G$30</f>
        <v>0.28384862449003867</v>
      </c>
    </row>
    <row r="21" spans="1:27">
      <c r="B21" s="52"/>
      <c r="C21" s="520"/>
      <c r="D21" s="52"/>
      <c r="E21" s="52" t="s">
        <v>75</v>
      </c>
      <c r="F21" s="57"/>
      <c r="G21" s="53"/>
      <c r="H21" s="53"/>
      <c r="I21" s="55"/>
      <c r="J21" s="55"/>
      <c r="K21" s="542"/>
      <c r="L21" s="9"/>
      <c r="M21" s="544"/>
      <c r="N21" s="57"/>
      <c r="O21" s="49"/>
      <c r="P21" s="49"/>
      <c r="Q21" s="544"/>
      <c r="R21" s="544"/>
      <c r="S21" s="49"/>
      <c r="T21" s="52"/>
      <c r="U21" s="9"/>
      <c r="V21" s="49"/>
      <c r="W21" s="49"/>
      <c r="X21" s="49"/>
      <c r="Y21" s="49"/>
      <c r="Z21" s="55"/>
      <c r="AA21" s="127"/>
    </row>
    <row r="22" spans="1:27">
      <c r="A22" s="7"/>
      <c r="B22" s="264" t="s">
        <v>144</v>
      </c>
      <c r="C22" s="520" t="s">
        <v>145</v>
      </c>
      <c r="D22" s="52" t="str">
        <f ca="1">IEAData!Q$38</f>
        <v>INDGEO</v>
      </c>
      <c r="E22" s="52"/>
      <c r="F22" s="340">
        <f ca="1">MATCH(D22,Calibration!$C$3:$T$3,0)</f>
        <v>16</v>
      </c>
      <c r="G22" s="53">
        <f ca="1">INDEX(IEAData!$D$69:T$69,$F22)*INDEX(Calibration!$C$95:$T$95,$F22)</f>
        <v>0</v>
      </c>
      <c r="H22" s="53">
        <f ca="1">INDEX(AuxData!$D$69:U$69,$F22)*INDEX(Calibrati2!$C$95:$T$95,$F22)</f>
        <v>0</v>
      </c>
      <c r="I22" s="55">
        <v>0.96</v>
      </c>
      <c r="J22" s="55">
        <v>1</v>
      </c>
      <c r="K22" s="542">
        <f>1/I22</f>
        <v>1.0416666666666667</v>
      </c>
      <c r="L22" s="542">
        <f>1/J22/I22</f>
        <v>1.0416666666666667</v>
      </c>
      <c r="M22" s="544">
        <f>H22/L22</f>
        <v>0</v>
      </c>
      <c r="N22" s="57">
        <v>1</v>
      </c>
      <c r="O22" s="49">
        <v>1</v>
      </c>
      <c r="P22" s="12">
        <v>30</v>
      </c>
      <c r="Q22" s="544">
        <f>G22/K22/MAX($O22,$V22)</f>
        <v>0</v>
      </c>
      <c r="R22" s="544">
        <f>M22/MAX($O22,$V22)</f>
        <v>0</v>
      </c>
      <c r="S22" s="49"/>
      <c r="T22" s="52">
        <v>0</v>
      </c>
      <c r="U22" s="9"/>
      <c r="V22" s="49"/>
      <c r="W22" s="49"/>
      <c r="X22" s="49"/>
      <c r="Y22" s="49"/>
      <c r="Z22" s="55"/>
      <c r="AA22" s="127">
        <f>G22/$G$30</f>
        <v>0</v>
      </c>
    </row>
    <row r="23" spans="1:27">
      <c r="B23" s="52"/>
      <c r="C23" s="520"/>
      <c r="D23" s="52"/>
      <c r="E23" s="52" t="s">
        <v>75</v>
      </c>
      <c r="F23" s="57"/>
      <c r="G23" s="53"/>
      <c r="H23" s="53"/>
      <c r="I23" s="55"/>
      <c r="J23" s="55"/>
      <c r="K23" s="543"/>
      <c r="L23" s="9"/>
      <c r="M23" s="544"/>
      <c r="N23" s="57"/>
      <c r="O23" s="49"/>
      <c r="P23" s="12"/>
      <c r="Q23" s="544"/>
      <c r="R23" s="544"/>
      <c r="S23" s="49"/>
      <c r="T23" s="52"/>
      <c r="U23" s="9"/>
      <c r="V23" s="49"/>
      <c r="W23" s="49"/>
      <c r="X23" s="49"/>
      <c r="Y23" s="49"/>
      <c r="Z23" s="55"/>
      <c r="AA23" s="127"/>
    </row>
    <row r="24" spans="1:27">
      <c r="A24" s="128"/>
      <c r="B24" s="264" t="s">
        <v>174</v>
      </c>
      <c r="C24" s="520" t="s">
        <v>74</v>
      </c>
      <c r="D24" s="52" t="str">
        <f ca="1">IEAData!D$38</f>
        <v>INDLPG</v>
      </c>
      <c r="E24" s="52"/>
      <c r="F24" s="340">
        <f ca="1">MATCH(D24,Calibration!$C$3:$T$3,0)</f>
        <v>3</v>
      </c>
      <c r="G24" s="53">
        <f ca="1">INDEX(IEAData!$D$69:T$69,$F24)*INDEX(Calibration!$C$95:$T$95,$F24)</f>
        <v>0.14742477339234172</v>
      </c>
      <c r="H24" s="53">
        <f ca="1">INDEX(AuxData!$D$69:U$69,$F24)*INDEX(Calibrati2!$C$95:$T$95,$F24)</f>
        <v>0.3575862243340362</v>
      </c>
      <c r="I24" s="55">
        <v>0.81</v>
      </c>
      <c r="J24" s="55">
        <v>1</v>
      </c>
      <c r="K24" s="542">
        <f>1/I24</f>
        <v>1.2345679012345678</v>
      </c>
      <c r="L24" s="542">
        <f>1/J24/I24</f>
        <v>1.2345679012345678</v>
      </c>
      <c r="M24" s="544">
        <f>H24/L24</f>
        <v>0.28964484171056931</v>
      </c>
      <c r="N24" s="57">
        <v>1</v>
      </c>
      <c r="O24" s="49">
        <v>1</v>
      </c>
      <c r="P24" s="49">
        <v>30</v>
      </c>
      <c r="Q24" s="544">
        <f>G24/K24/MAX($O24,$V24)</f>
        <v>0.1194140664477968</v>
      </c>
      <c r="R24" s="544">
        <f>M24/MAX($O24,$V24)</f>
        <v>0.28964484171056931</v>
      </c>
      <c r="S24" s="49"/>
      <c r="T24" s="52">
        <v>0</v>
      </c>
      <c r="U24" s="9"/>
      <c r="V24" s="49"/>
      <c r="W24" s="49"/>
      <c r="X24" s="49"/>
      <c r="Y24" s="49"/>
      <c r="Z24" s="55"/>
      <c r="AA24" s="127">
        <f>G24/$G$30</f>
        <v>5.0653805122204201E-3</v>
      </c>
    </row>
    <row r="25" spans="1:27">
      <c r="B25" s="52"/>
      <c r="C25" s="520"/>
      <c r="D25" s="52"/>
      <c r="E25" s="52" t="s">
        <v>75</v>
      </c>
      <c r="F25" s="57"/>
      <c r="G25" s="53"/>
      <c r="H25" s="53"/>
      <c r="I25" s="55"/>
      <c r="J25" s="55"/>
      <c r="K25" s="543"/>
      <c r="L25" s="9"/>
      <c r="M25" s="544"/>
      <c r="N25" s="57"/>
      <c r="O25" s="49"/>
      <c r="P25" s="49"/>
      <c r="Q25" s="544"/>
      <c r="R25" s="544"/>
      <c r="S25" s="49"/>
      <c r="T25" s="52"/>
      <c r="U25" s="9"/>
      <c r="V25" s="49"/>
      <c r="W25" s="49"/>
      <c r="X25" s="49"/>
      <c r="Y25" s="49"/>
      <c r="Z25" s="55"/>
    </row>
    <row r="26" spans="1:27">
      <c r="A26" s="128"/>
      <c r="B26" s="264" t="s">
        <v>865</v>
      </c>
      <c r="C26" s="520" t="s">
        <v>866</v>
      </c>
      <c r="D26" s="52" t="s">
        <v>917</v>
      </c>
      <c r="E26" s="52"/>
      <c r="F26" s="340">
        <f ca="1">MATCH(D26,Calibration!$C$3:$T$3,0)</f>
        <v>15</v>
      </c>
      <c r="G26" s="53">
        <f ca="1">INDEX(IEAData!$D$69:T$69,$F26)*INDEX(Calibration!$C$95:$T$95,$F26)</f>
        <v>1.2466853238682538</v>
      </c>
      <c r="H26" s="53">
        <f ca="1">INDEX(AuxData!$D$69:U$69,$F26)*INDEX(Calibrati2!$C$95:$T$95,$F26)</f>
        <v>2.3582144400401286</v>
      </c>
      <c r="I26" s="55">
        <v>0.81</v>
      </c>
      <c r="J26" s="55">
        <v>1</v>
      </c>
      <c r="K26" s="542">
        <f>1/I26</f>
        <v>1.2345679012345678</v>
      </c>
      <c r="L26" s="542">
        <f>1/J26/I26</f>
        <v>1.2345679012345678</v>
      </c>
      <c r="M26" s="544">
        <f>H26/L26</f>
        <v>1.9101536964325043</v>
      </c>
      <c r="N26" s="57">
        <v>1</v>
      </c>
      <c r="O26" s="49">
        <v>1</v>
      </c>
      <c r="P26" s="49">
        <v>30</v>
      </c>
      <c r="Q26" s="544">
        <f>G26/K26/MAX($O26,$V26)</f>
        <v>1.0098151123332857</v>
      </c>
      <c r="R26" s="544">
        <f>M26/MAX($O26,$V26)</f>
        <v>1.9101536964325043</v>
      </c>
      <c r="S26" s="49"/>
      <c r="T26" s="52">
        <v>0</v>
      </c>
      <c r="U26" s="9"/>
      <c r="V26" s="49"/>
      <c r="W26" s="49"/>
      <c r="X26" s="49"/>
      <c r="Y26" s="49"/>
      <c r="Z26" s="55"/>
      <c r="AA26" s="127">
        <f>G26/$G$30</f>
        <v>4.2834968635749635E-2</v>
      </c>
    </row>
    <row r="27" spans="1:27">
      <c r="A27" s="128"/>
      <c r="B27" s="264"/>
      <c r="C27" s="520"/>
      <c r="D27" s="52"/>
      <c r="E27" s="52" t="s">
        <v>75</v>
      </c>
      <c r="F27" s="340"/>
      <c r="G27" s="53"/>
      <c r="H27" s="53"/>
      <c r="I27" s="55"/>
      <c r="J27" s="55"/>
      <c r="K27" s="542"/>
      <c r="L27" s="9"/>
      <c r="M27" s="544"/>
      <c r="N27" s="57"/>
      <c r="O27" s="49"/>
      <c r="P27" s="49"/>
      <c r="Q27" s="544"/>
      <c r="R27" s="544"/>
      <c r="S27" s="49"/>
      <c r="T27" s="52"/>
      <c r="U27" s="9"/>
      <c r="V27" s="49"/>
      <c r="W27" s="49"/>
      <c r="X27" s="49"/>
      <c r="Y27" s="49"/>
      <c r="Z27" s="55"/>
      <c r="AA27" s="127"/>
    </row>
    <row r="28" spans="1:27">
      <c r="B28" s="264" t="s">
        <v>742</v>
      </c>
      <c r="C28" s="520" t="s">
        <v>743</v>
      </c>
      <c r="D28" s="52" t="s">
        <v>993</v>
      </c>
      <c r="E28" s="52"/>
      <c r="F28" s="340">
        <v>17</v>
      </c>
      <c r="G28" s="53">
        <f ca="1">INDEX(IEAData!$D$69:T$69,$F28)</f>
        <v>11.591253786963012</v>
      </c>
      <c r="H28" s="53">
        <f ca="1">INDEX(AuxData!$D$69:U$69,$F28)</f>
        <v>7.2219704049007261</v>
      </c>
      <c r="I28" s="55">
        <v>0.96</v>
      </c>
      <c r="J28" s="55">
        <v>1</v>
      </c>
      <c r="K28" s="542">
        <f>1/I28</f>
        <v>1.0416666666666667</v>
      </c>
      <c r="L28" s="542">
        <f>1/J28/I28</f>
        <v>1.0416666666666667</v>
      </c>
      <c r="M28" s="544">
        <f>H28/L28</f>
        <v>6.9330915887046967</v>
      </c>
      <c r="N28" s="57">
        <v>1</v>
      </c>
      <c r="O28" s="49">
        <v>1</v>
      </c>
      <c r="P28" s="12">
        <v>30</v>
      </c>
      <c r="Q28" s="544">
        <f>G28/K28/MAX($O28,$V28)</f>
        <v>11.12760363548449</v>
      </c>
      <c r="R28" s="544">
        <f>M28/MAX($O28,$V28)</f>
        <v>6.9330915887046967</v>
      </c>
      <c r="S28" s="49"/>
      <c r="T28" s="52">
        <v>0</v>
      </c>
      <c r="U28" s="9"/>
      <c r="V28" s="12"/>
      <c r="W28" s="12"/>
      <c r="X28" s="12"/>
      <c r="Y28" s="12"/>
      <c r="Z28" s="55"/>
      <c r="AA28" s="127">
        <f>G28/$G$30</f>
        <v>0.39826488922881131</v>
      </c>
    </row>
    <row r="29" spans="1:27" ht="13.5" thickBot="1">
      <c r="B29" s="22"/>
      <c r="C29" s="609"/>
      <c r="D29" s="22"/>
      <c r="E29" s="22" t="s">
        <v>75</v>
      </c>
      <c r="F29" s="32"/>
      <c r="G29" s="28"/>
      <c r="H29" s="28"/>
      <c r="I29" s="29"/>
      <c r="J29" s="29"/>
      <c r="K29" s="545"/>
      <c r="L29" s="545"/>
      <c r="M29" s="541"/>
      <c r="N29" s="32"/>
      <c r="O29" s="13"/>
      <c r="P29" s="13"/>
      <c r="Q29" s="541"/>
      <c r="R29" s="541"/>
      <c r="S29" s="13"/>
      <c r="T29" s="22"/>
      <c r="U29" s="22"/>
      <c r="V29" s="13"/>
      <c r="W29" s="13"/>
      <c r="X29" s="13"/>
      <c r="Y29" s="13"/>
      <c r="Z29" s="29"/>
    </row>
    <row r="30" spans="1:27">
      <c r="B30" s="192" t="s">
        <v>1380</v>
      </c>
      <c r="C30" s="537" t="s">
        <v>75</v>
      </c>
      <c r="D30" s="198"/>
      <c r="E30" s="198"/>
      <c r="F30" s="198"/>
      <c r="G30" s="199">
        <f ca="1">SUM(G8:G29)</f>
        <v>29.104382787566294</v>
      </c>
      <c r="H30" s="199">
        <f ca="1">SUM(H8:H29)</f>
        <v>23.594951995589064</v>
      </c>
      <c r="I30" s="199"/>
      <c r="J30" s="198"/>
      <c r="K30" s="200"/>
      <c r="L30" s="200"/>
      <c r="M30" s="199">
        <f>SUM(M8:M29)</f>
        <v>21.708440480964327</v>
      </c>
      <c r="N30" s="200"/>
      <c r="O30" s="201"/>
      <c r="P30" s="198"/>
      <c r="Q30" s="199">
        <f>SUM(Q8:Q29)</f>
        <v>26.882873539940778</v>
      </c>
      <c r="R30" s="199">
        <f>SUM(R8:R29)</f>
        <v>21.708440480964327</v>
      </c>
      <c r="S30" s="198"/>
      <c r="T30" s="198"/>
      <c r="U30" s="198"/>
      <c r="V30" s="198"/>
      <c r="W30" s="198"/>
      <c r="X30" s="198"/>
      <c r="Y30" s="198"/>
      <c r="Z30" s="198"/>
      <c r="AA30" s="198"/>
    </row>
    <row r="31" spans="1:27">
      <c r="B31" s="35" t="s">
        <v>168</v>
      </c>
      <c r="C31" s="300" t="s">
        <v>400</v>
      </c>
      <c r="D31" s="9" t="s">
        <v>1349</v>
      </c>
      <c r="E31" s="52"/>
      <c r="F31" s="49"/>
      <c r="G31" s="53">
        <f ca="1">IEAData!$D$67*Calibration!$C$95</f>
        <v>6.3336165826763917</v>
      </c>
      <c r="H31" s="53">
        <f ca="1">AuxData!$D$67*Calibrati2!$C$95</f>
        <v>6.1060311381487313</v>
      </c>
      <c r="I31" s="55">
        <v>1</v>
      </c>
      <c r="J31" s="55">
        <v>1</v>
      </c>
      <c r="K31" s="542">
        <f>1/I31</f>
        <v>1</v>
      </c>
      <c r="L31" s="542">
        <f>1/J31/I31</f>
        <v>1</v>
      </c>
      <c r="M31" s="544">
        <f>H31/L31</f>
        <v>6.1060311381487313</v>
      </c>
      <c r="N31" s="57">
        <v>1</v>
      </c>
      <c r="O31" s="49">
        <v>1</v>
      </c>
      <c r="P31" s="12">
        <v>30</v>
      </c>
      <c r="Q31" s="544">
        <f>G31/K31/MAX($O31,$V31)</f>
        <v>6.3336165826763917</v>
      </c>
      <c r="R31" s="544">
        <f>M31/MAX($O31,$V31)</f>
        <v>6.1060311381487313</v>
      </c>
      <c r="S31" s="49"/>
      <c r="T31" s="52">
        <v>0</v>
      </c>
      <c r="U31" s="9"/>
      <c r="V31" s="12"/>
      <c r="W31" s="529">
        <v>7.4</v>
      </c>
      <c r="X31" s="12"/>
      <c r="Y31" s="12"/>
      <c r="Z31" s="55"/>
    </row>
    <row r="32" spans="1:27" ht="13.5" thickBot="1">
      <c r="B32" s="22"/>
      <c r="C32" s="609"/>
      <c r="D32" s="22"/>
      <c r="E32" s="22" t="s">
        <v>61</v>
      </c>
      <c r="F32" s="32"/>
      <c r="G32" s="28"/>
      <c r="H32" s="28"/>
      <c r="I32" s="29"/>
      <c r="J32" s="29"/>
      <c r="K32" s="545"/>
      <c r="L32" s="545"/>
      <c r="M32" s="541"/>
      <c r="N32" s="32"/>
      <c r="O32" s="13"/>
      <c r="P32" s="13"/>
      <c r="Q32" s="541"/>
      <c r="R32" s="541"/>
      <c r="S32" s="13"/>
      <c r="T32" s="22"/>
      <c r="U32" s="22"/>
      <c r="V32" s="13"/>
      <c r="W32" s="13"/>
      <c r="X32" s="13"/>
      <c r="Y32" s="13"/>
      <c r="Z32" s="29"/>
    </row>
    <row r="33" spans="2:27">
      <c r="B33" s="192" t="s">
        <v>1380</v>
      </c>
      <c r="C33" s="537" t="s">
        <v>61</v>
      </c>
      <c r="D33" s="198"/>
      <c r="E33" s="198"/>
      <c r="F33" s="198"/>
      <c r="G33" s="199">
        <f>SUM(G31:G32)</f>
        <v>6.3336165826763917</v>
      </c>
      <c r="H33" s="199">
        <f>SUM(H31:H32)</f>
        <v>6.1060311381487313</v>
      </c>
      <c r="I33" s="199"/>
      <c r="J33" s="198"/>
      <c r="K33" s="200"/>
      <c r="L33" s="200"/>
      <c r="M33" s="199">
        <f>SUM(M31:M32)</f>
        <v>6.1060311381487313</v>
      </c>
      <c r="N33" s="200"/>
      <c r="O33" s="201"/>
      <c r="P33" s="198"/>
      <c r="Q33" s="199">
        <f>SUM(Q31:Q32)</f>
        <v>6.3336165826763917</v>
      </c>
      <c r="R33" s="199">
        <f>SUM(R31:R32)</f>
        <v>6.1060311381487313</v>
      </c>
      <c r="S33" s="198"/>
      <c r="T33" s="198"/>
      <c r="U33" s="198"/>
      <c r="V33" s="198"/>
      <c r="W33" s="198"/>
      <c r="X33" s="198"/>
      <c r="Y33" s="198"/>
      <c r="Z33" s="198"/>
      <c r="AA33" s="198"/>
    </row>
    <row r="34" spans="2:27" ht="22.5" customHeight="1">
      <c r="B34" s="35" t="s">
        <v>175</v>
      </c>
      <c r="C34" s="300" t="s">
        <v>1383</v>
      </c>
      <c r="D34" s="9" t="s">
        <v>906</v>
      </c>
      <c r="E34" s="52" t="s">
        <v>177</v>
      </c>
      <c r="F34" s="49"/>
      <c r="G34" s="53"/>
      <c r="H34" s="53"/>
      <c r="I34" s="49"/>
      <c r="J34" s="49"/>
      <c r="K34" s="52">
        <v>0</v>
      </c>
      <c r="L34" s="52">
        <v>0</v>
      </c>
      <c r="M34" s="52"/>
      <c r="N34" s="49"/>
      <c r="O34" s="49"/>
      <c r="P34" s="49"/>
      <c r="Q34" s="52"/>
      <c r="R34" s="52"/>
      <c r="S34" s="49"/>
      <c r="T34" s="52"/>
      <c r="U34" s="52"/>
      <c r="V34" s="49"/>
      <c r="W34" s="49"/>
      <c r="X34" s="386">
        <v>1</v>
      </c>
      <c r="Y34" s="49"/>
      <c r="Z34" s="49"/>
    </row>
    <row r="35" spans="2:27">
      <c r="B35" s="9"/>
      <c r="C35" s="300"/>
      <c r="D35" s="52" t="s">
        <v>905</v>
      </c>
      <c r="E35" s="52"/>
      <c r="F35" s="49"/>
      <c r="G35" s="53"/>
      <c r="H35" s="53"/>
      <c r="I35" s="49"/>
      <c r="J35" s="49"/>
      <c r="K35" s="52">
        <v>1E-3</v>
      </c>
      <c r="L35" s="52">
        <v>1E-3</v>
      </c>
      <c r="M35" s="52"/>
      <c r="N35" s="49"/>
      <c r="O35" s="49"/>
      <c r="P35" s="49"/>
      <c r="Q35" s="52"/>
      <c r="R35" s="52"/>
      <c r="S35" s="49"/>
      <c r="T35" s="52"/>
      <c r="U35" s="52"/>
      <c r="V35" s="49"/>
      <c r="W35" s="49"/>
      <c r="X35" s="52"/>
      <c r="Y35" s="49"/>
      <c r="Z35" s="49"/>
    </row>
    <row r="36" spans="2:27" ht="13.5" thickBot="1">
      <c r="B36" s="22"/>
      <c r="C36" s="609"/>
      <c r="D36" s="22" t="s">
        <v>826</v>
      </c>
      <c r="E36" s="22"/>
      <c r="F36" s="13"/>
      <c r="G36" s="13"/>
      <c r="H36" s="13"/>
      <c r="I36" s="13"/>
      <c r="J36" s="13"/>
      <c r="K36" s="22">
        <v>0</v>
      </c>
      <c r="L36" s="22">
        <v>0</v>
      </c>
      <c r="M36" s="22"/>
      <c r="N36" s="13"/>
      <c r="O36" s="13"/>
      <c r="P36" s="13"/>
      <c r="Q36" s="22"/>
      <c r="R36" s="22"/>
      <c r="S36" s="13"/>
      <c r="T36" s="22"/>
      <c r="U36" s="22"/>
      <c r="V36" s="13"/>
      <c r="W36" s="13"/>
      <c r="X36" s="22"/>
      <c r="Y36" s="13"/>
      <c r="Z36" s="13"/>
    </row>
    <row r="57" spans="2:34"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81"/>
      <c r="Y57" s="77"/>
      <c r="Z57" s="77"/>
      <c r="AA57" s="77"/>
      <c r="AB57" s="77"/>
      <c r="AC57" s="77"/>
      <c r="AD57" s="77"/>
      <c r="AE57" s="77"/>
      <c r="AF57" s="77"/>
      <c r="AG57" s="77"/>
      <c r="AH57" s="472"/>
    </row>
    <row r="58" spans="2:34"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81"/>
      <c r="Y58" s="77"/>
      <c r="Z58" s="77"/>
      <c r="AA58" s="77"/>
      <c r="AB58" s="77"/>
      <c r="AC58" s="77"/>
      <c r="AD58" s="77"/>
      <c r="AE58" s="77"/>
      <c r="AF58" s="77"/>
      <c r="AG58" s="77"/>
    </row>
    <row r="59" spans="2:34"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81"/>
      <c r="Y59" s="77"/>
      <c r="Z59" s="77"/>
      <c r="AA59" s="77"/>
      <c r="AB59" s="77"/>
      <c r="AC59" s="77"/>
      <c r="AD59" s="77"/>
      <c r="AE59" s="77"/>
      <c r="AF59" s="77"/>
      <c r="AG59" s="77"/>
    </row>
    <row r="60" spans="2:34"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81"/>
      <c r="Y60" s="77"/>
      <c r="Z60" s="77"/>
      <c r="AA60" s="77"/>
      <c r="AB60" s="77"/>
      <c r="AC60" s="77"/>
      <c r="AD60" s="77"/>
      <c r="AE60" s="77"/>
      <c r="AF60" s="77"/>
      <c r="AG60" s="77"/>
    </row>
    <row r="61" spans="2:34"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81"/>
      <c r="Y61" s="77"/>
      <c r="Z61" s="77"/>
      <c r="AA61" s="77"/>
      <c r="AB61" s="77"/>
      <c r="AC61" s="77"/>
      <c r="AD61" s="77"/>
      <c r="AE61" s="77"/>
      <c r="AF61" s="77"/>
      <c r="AG61" s="77"/>
    </row>
    <row r="62" spans="2:34"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81"/>
      <c r="Y62" s="77"/>
      <c r="Z62" s="77"/>
      <c r="AA62" s="77"/>
      <c r="AB62" s="77"/>
      <c r="AC62" s="77"/>
      <c r="AD62" s="77"/>
      <c r="AE62" s="77"/>
      <c r="AF62" s="77"/>
      <c r="AG62" s="77"/>
    </row>
    <row r="63" spans="2:34"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81"/>
      <c r="Y63" s="77"/>
      <c r="Z63" s="77"/>
      <c r="AA63" s="77"/>
      <c r="AB63" s="77"/>
      <c r="AC63" s="77"/>
      <c r="AD63" s="77"/>
      <c r="AE63" s="77"/>
      <c r="AF63" s="77"/>
      <c r="AG63" s="77"/>
    </row>
    <row r="64" spans="2:34"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81"/>
      <c r="Y64" s="77"/>
      <c r="Z64" s="77"/>
      <c r="AA64" s="77"/>
      <c r="AB64" s="77"/>
      <c r="AC64" s="77"/>
      <c r="AD64" s="77"/>
      <c r="AE64" s="77"/>
      <c r="AF64" s="77"/>
      <c r="AG64" s="77"/>
    </row>
    <row r="65" spans="2:33"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81"/>
      <c r="Y65" s="77"/>
      <c r="Z65" s="77"/>
      <c r="AA65" s="77"/>
      <c r="AB65" s="77"/>
      <c r="AC65" s="77"/>
      <c r="AD65" s="77"/>
      <c r="AE65" s="77"/>
      <c r="AF65" s="77"/>
      <c r="AG65" s="77"/>
    </row>
    <row r="66" spans="2:33"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81"/>
      <c r="Y66" s="77"/>
      <c r="Z66" s="77"/>
      <c r="AA66" s="77"/>
      <c r="AB66" s="77"/>
      <c r="AC66" s="77"/>
      <c r="AD66" s="77"/>
      <c r="AE66" s="77"/>
      <c r="AF66" s="77"/>
      <c r="AG66" s="77"/>
    </row>
    <row r="67" spans="2:33"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81"/>
      <c r="Y67" s="77"/>
      <c r="Z67" s="77"/>
      <c r="AA67" s="77"/>
      <c r="AB67" s="77"/>
      <c r="AC67" s="77"/>
      <c r="AD67" s="77"/>
      <c r="AE67" s="77"/>
      <c r="AF67" s="77"/>
      <c r="AG67" s="77"/>
    </row>
    <row r="68" spans="2:33"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81"/>
      <c r="Y68" s="77"/>
      <c r="Z68" s="77"/>
      <c r="AA68" s="77"/>
      <c r="AB68" s="77"/>
      <c r="AC68" s="77"/>
      <c r="AD68" s="77"/>
      <c r="AE68" s="77"/>
      <c r="AF68" s="77"/>
      <c r="AG68" s="77"/>
    </row>
    <row r="69" spans="2:33"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81"/>
      <c r="Y69" s="77"/>
      <c r="Z69" s="77"/>
      <c r="AA69" s="77"/>
      <c r="AB69" s="77"/>
      <c r="AC69" s="77"/>
      <c r="AD69" s="77"/>
      <c r="AE69" s="77"/>
      <c r="AF69" s="77"/>
      <c r="AG69" s="77"/>
    </row>
    <row r="70" spans="2:33"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81"/>
      <c r="Y70" s="77"/>
      <c r="Z70" s="77"/>
      <c r="AA70" s="77"/>
      <c r="AB70" s="77"/>
      <c r="AC70" s="77"/>
      <c r="AD70" s="77"/>
      <c r="AE70" s="77"/>
      <c r="AF70" s="77"/>
      <c r="AG70" s="77"/>
    </row>
    <row r="71" spans="2:33"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81"/>
      <c r="Y71" s="77"/>
      <c r="Z71" s="77"/>
      <c r="AA71" s="77"/>
      <c r="AB71" s="77"/>
      <c r="AC71" s="77"/>
      <c r="AD71" s="77"/>
      <c r="AE71" s="77"/>
      <c r="AF71" s="77"/>
      <c r="AG71" s="77"/>
    </row>
    <row r="72" spans="2:33"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81"/>
      <c r="Y72" s="77"/>
      <c r="Z72" s="77"/>
      <c r="AA72" s="77"/>
      <c r="AB72" s="77"/>
      <c r="AC72" s="77"/>
      <c r="AD72" s="77"/>
      <c r="AE72" s="77"/>
      <c r="AF72" s="77"/>
      <c r="AG72" s="77"/>
    </row>
    <row r="73" spans="2:33"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81"/>
      <c r="Y73" s="77"/>
      <c r="Z73" s="77"/>
      <c r="AA73" s="77"/>
      <c r="AB73" s="77"/>
      <c r="AC73" s="77"/>
      <c r="AD73" s="77"/>
      <c r="AE73" s="77"/>
      <c r="AF73" s="77"/>
      <c r="AG73" s="77"/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40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0.85546875" customWidth="1"/>
    <col min="3" max="3" width="31.85546875" customWidth="1"/>
    <col min="4" max="4" width="9.85546875" customWidth="1"/>
    <col min="6" max="6" width="9.7109375" customWidth="1"/>
  </cols>
  <sheetData>
    <row r="1" spans="1:22" ht="18">
      <c r="A1" s="5" t="s">
        <v>148</v>
      </c>
      <c r="B1" s="5"/>
      <c r="C1" s="5"/>
      <c r="N1" s="12" t="s">
        <v>1008</v>
      </c>
      <c r="O1" s="12"/>
      <c r="P1" s="12"/>
      <c r="Q1" s="12"/>
    </row>
    <row r="2" spans="1:22">
      <c r="D2" s="216"/>
      <c r="L2" s="7"/>
      <c r="N2">
        <v>0.85</v>
      </c>
      <c r="P2">
        <v>0.65</v>
      </c>
      <c r="Q2">
        <v>0.5</v>
      </c>
    </row>
    <row r="3" spans="1:22">
      <c r="B3" s="10"/>
      <c r="C3" s="11"/>
      <c r="D3" s="216"/>
    </row>
    <row r="4" spans="1:22" ht="18">
      <c r="B4" s="86" t="s">
        <v>91</v>
      </c>
      <c r="C4" s="88"/>
      <c r="D4" s="425"/>
      <c r="E4" s="225" t="str">
        <f>"~FI_T: "&amp;Region</f>
        <v>~FI_T: FIN</v>
      </c>
      <c r="F4" s="147"/>
    </row>
    <row r="5" spans="1:22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>"\I:Link"</f>
        <v>\I:Link</v>
      </c>
      <c r="G5" s="64" t="str">
        <f ca="1">CONCATENATE("\I:",IEAData!$D$2," final energy")</f>
        <v>\I:2010 final energy</v>
      </c>
      <c r="H5" s="64" t="str">
        <f ca="1">CONCATENATE("\I:",AuxYear," final energy")</f>
        <v>\I:2017 final energy</v>
      </c>
      <c r="I5" s="45" t="s">
        <v>388</v>
      </c>
      <c r="J5" s="45" t="str">
        <f ca="1">"INPUT~"&amp;AuxYear</f>
        <v>INPUT~2017</v>
      </c>
      <c r="K5" s="45" t="s">
        <v>1073</v>
      </c>
      <c r="L5" s="45" t="s">
        <v>1009</v>
      </c>
      <c r="M5" s="45" t="str">
        <f ca="1">"ACTFLO~ONO~"&amp;AuxYear</f>
        <v>ACTFLO~ONO~2017</v>
      </c>
      <c r="N5" s="45" t="str">
        <f ca="1">"ACTFLO~ONO~"&amp;CEILING(AuxYear+7,5)</f>
        <v>ACTFLO~ONO~2025</v>
      </c>
      <c r="O5" s="45" t="str">
        <f ca="1">"ACTFLO~ONO~"&amp;CEILING(AuxYear+17,5)</f>
        <v>ACTFLO~ONO~2035</v>
      </c>
      <c r="P5" s="45" t="str">
        <f ca="1">"ACTFLO~ONO~"&amp;CEILING(AuxYear+27,5)</f>
        <v>ACTFLO~ONO~2045</v>
      </c>
      <c r="Q5" s="45" t="str">
        <f ca="1">"ACTFLO~ONO~"&amp;BaseYear+50</f>
        <v>ACTFLO~ONO~2060</v>
      </c>
      <c r="R5" s="45" t="s">
        <v>108</v>
      </c>
    </row>
    <row r="6" spans="1:22">
      <c r="B6" s="35" t="s">
        <v>1007</v>
      </c>
      <c r="C6" s="300" t="s">
        <v>150</v>
      </c>
      <c r="D6" s="51" t="s">
        <v>1349</v>
      </c>
      <c r="E6" s="532" t="s">
        <v>151</v>
      </c>
      <c r="F6" s="336">
        <f ca="1">MATCH("IND"&amp;RIGHT($D6,3),Calibration!$C$3:$T$3,0)</f>
        <v>1</v>
      </c>
      <c r="G6" s="53">
        <f ca="1">INDEX(IEAData!$B$36:$S$36,$F6)*INDEX(Calibration!$C$94:$T$94,$F6)</f>
        <v>0</v>
      </c>
      <c r="H6" s="53">
        <f ca="1">INDEX(AuxData!$B$36:$S$36,$F6)*INDEX(Calibrati2!$C$94:$T$94,$F6)</f>
        <v>0</v>
      </c>
      <c r="I6" s="523">
        <v>1</v>
      </c>
      <c r="J6" s="523">
        <v>1</v>
      </c>
      <c r="K6" s="62">
        <f ca="1">ROUND(G6*L6/(E39+Tiny),3)</f>
        <v>0</v>
      </c>
      <c r="L6" s="62">
        <v>0.9</v>
      </c>
      <c r="M6" s="62">
        <v>0.91</v>
      </c>
      <c r="N6" s="544">
        <f>$M6^(N$2^$L6)</f>
        <v>0.92175341241373965</v>
      </c>
      <c r="O6" s="62"/>
      <c r="P6" s="544">
        <f>$M6^(P$2^$L6)</f>
        <v>0.93800459579143303</v>
      </c>
      <c r="Q6" s="544">
        <f>$M6^(Q$2^$L6)</f>
        <v>0.9507160497308339</v>
      </c>
      <c r="R6" s="55"/>
    </row>
    <row r="7" spans="1:22">
      <c r="B7" s="35" t="s">
        <v>149</v>
      </c>
      <c r="C7" s="300" t="s">
        <v>150</v>
      </c>
      <c r="D7" s="52" t="str">
        <f ca="1">IEAData!C$38</f>
        <v>INDNGA</v>
      </c>
      <c r="E7" s="386" t="s">
        <v>151</v>
      </c>
      <c r="F7" s="336">
        <f ca="1">MATCH($D7,Calibration!$C$3:$T$3,0)</f>
        <v>2</v>
      </c>
      <c r="G7" s="53">
        <f ca="1">INDEX(IEAData!$B$36:$S$36,$F7)*INDEX(Calibration!$C$94:$T$94,$F7)</f>
        <v>0</v>
      </c>
      <c r="H7" s="53">
        <f ca="1">INDEX(AuxData!$B$36:$S$36,$F7)*INDEX(Calibrati2!$C$94:$T$94,$F7)</f>
        <v>0</v>
      </c>
      <c r="I7" s="445">
        <f t="shared" ref="I7:I15" si="0">IF($G$16=0,0,G7/G$16)</f>
        <v>0</v>
      </c>
      <c r="J7" s="445">
        <f t="shared" ref="J7:J15" si="1">IF($G$16=0,0,H7/H$16)</f>
        <v>0</v>
      </c>
      <c r="K7" s="544"/>
      <c r="L7" s="544">
        <v>0.8</v>
      </c>
      <c r="M7" s="544">
        <v>0.81</v>
      </c>
      <c r="N7" s="544">
        <f>$M7^(N$2^$L7)</f>
        <v>0.83107904131258092</v>
      </c>
      <c r="O7" s="52"/>
      <c r="P7" s="544">
        <f>$M7^(P$2^$L7)</f>
        <v>0.86131697169893073</v>
      </c>
      <c r="Q7" s="544">
        <f>$M7^(Q$2^$L7)</f>
        <v>0.88600963739272931</v>
      </c>
      <c r="R7" s="55"/>
      <c r="V7" s="3"/>
    </row>
    <row r="8" spans="1:22">
      <c r="B8" s="52"/>
      <c r="C8" s="520"/>
      <c r="D8" s="52" t="str">
        <f ca="1">IEAData!D$38</f>
        <v>INDLPG</v>
      </c>
      <c r="E8" s="386"/>
      <c r="F8" s="336">
        <f ca="1">MATCH($D8,Calibration!$C$3:$T$3,0)</f>
        <v>3</v>
      </c>
      <c r="G8" s="53">
        <f ca="1">INDEX(IEAData!$B$36:$S$36,$F8)*INDEX(Calibration!$C$94:$T$94,$F8)</f>
        <v>0</v>
      </c>
      <c r="H8" s="53">
        <f ca="1">INDEX(AuxData!$B$36:$S$36,$F8)*INDEX(Calibrati2!$C$94:$T$94,$F8)</f>
        <v>0</v>
      </c>
      <c r="I8" s="445">
        <f t="shared" si="0"/>
        <v>0</v>
      </c>
      <c r="J8" s="445">
        <f t="shared" si="1"/>
        <v>0</v>
      </c>
      <c r="K8" s="544"/>
      <c r="L8" s="544"/>
      <c r="M8" s="544"/>
      <c r="N8" s="544"/>
      <c r="O8" s="544"/>
      <c r="P8" s="544"/>
      <c r="Q8" s="544"/>
      <c r="R8" s="340">
        <v>3</v>
      </c>
      <c r="V8" s="3"/>
    </row>
    <row r="9" spans="1:22">
      <c r="B9" s="52"/>
      <c r="C9" s="520"/>
      <c r="D9" s="52" t="str">
        <f ca="1">IEAData!F$38</f>
        <v>INDCOA</v>
      </c>
      <c r="E9" s="386"/>
      <c r="F9" s="336">
        <f ca="1">MATCH($D9,Calibration!$C$3:$T$3,0)</f>
        <v>5</v>
      </c>
      <c r="G9" s="53">
        <f ca="1">INDEX(IEAData!$B$36:$S$36,$F9)*INDEX(Calibration!$C$94:$T$94,$F9)</f>
        <v>0</v>
      </c>
      <c r="H9" s="53">
        <f ca="1">INDEX(AuxData!$B$36:$S$36,$F9)*INDEX(Calibrati2!$C$94:$T$94,$F9)</f>
        <v>0</v>
      </c>
      <c r="I9" s="445">
        <f t="shared" si="0"/>
        <v>0</v>
      </c>
      <c r="J9" s="445">
        <f t="shared" si="1"/>
        <v>0</v>
      </c>
      <c r="K9" s="544"/>
      <c r="L9" s="544"/>
      <c r="M9" s="544"/>
      <c r="N9" s="544"/>
      <c r="O9" s="544"/>
      <c r="P9" s="544"/>
      <c r="Q9" s="544"/>
      <c r="R9" s="340">
        <v>3</v>
      </c>
      <c r="V9" s="3"/>
    </row>
    <row r="10" spans="1:22">
      <c r="B10" s="52"/>
      <c r="C10" s="520"/>
      <c r="D10" s="52" t="str">
        <f ca="1">IEAData!K$38</f>
        <v>INDHFO</v>
      </c>
      <c r="E10" s="386"/>
      <c r="F10" s="336">
        <f ca="1">MATCH($D10,Calibration!$C$3:$T$3,0)</f>
        <v>10</v>
      </c>
      <c r="G10" s="53">
        <f ca="1">INDEX(IEAData!$B$36:$S$36,$F10)*INDEX(Calibration!$C$94:$T$94,$F10)</f>
        <v>0</v>
      </c>
      <c r="H10" s="53">
        <f ca="1">INDEX(AuxData!$B$36:$S$36,$F10)*INDEX(Calibrati2!$C$94:$T$94,$F10)</f>
        <v>0</v>
      </c>
      <c r="I10" s="445">
        <f t="shared" si="0"/>
        <v>0</v>
      </c>
      <c r="J10" s="445">
        <f t="shared" si="1"/>
        <v>0</v>
      </c>
      <c r="K10" s="544"/>
      <c r="L10" s="544"/>
      <c r="M10" s="544"/>
      <c r="N10" s="544"/>
      <c r="O10" s="544"/>
      <c r="P10" s="544"/>
      <c r="Q10" s="544"/>
      <c r="R10" s="340">
        <v>3</v>
      </c>
      <c r="V10" s="3"/>
    </row>
    <row r="11" spans="1:22">
      <c r="B11" s="52"/>
      <c r="C11" s="520"/>
      <c r="D11" s="52" t="s">
        <v>1365</v>
      </c>
      <c r="E11" s="386"/>
      <c r="F11" s="340">
        <f ca="1">MATCH(IF($D11="INDDST","INDOIL",$D11),Calibration!$C$3:$T$3,0)</f>
        <v>11</v>
      </c>
      <c r="G11" s="53">
        <f ca="1">INDEX(IEAData!$B$36:$S$36,$F11)*INDEX(Calibration!$C$94:$T$94,$F11)</f>
        <v>5.2824018240000008</v>
      </c>
      <c r="H11" s="53">
        <f ca="1">INDEX(AuxData!$B$36:$S$36,$F11)*INDEX(Calibrati2!$C$94:$T$94,$F11)</f>
        <v>5.0268019000000006</v>
      </c>
      <c r="I11" s="445">
        <f t="shared" si="0"/>
        <v>0.9576294162631227</v>
      </c>
      <c r="J11" s="445">
        <f t="shared" si="1"/>
        <v>1</v>
      </c>
      <c r="K11" s="544"/>
      <c r="L11" s="544"/>
      <c r="M11" s="544"/>
      <c r="N11" s="544"/>
      <c r="O11" s="544"/>
      <c r="P11" s="544"/>
      <c r="Q11" s="544"/>
      <c r="R11" s="340">
        <v>3</v>
      </c>
      <c r="V11" s="3"/>
    </row>
    <row r="12" spans="1:22">
      <c r="B12" s="52"/>
      <c r="C12" s="520"/>
      <c r="D12" s="52" t="str">
        <f ca="1">IEAData!M$38</f>
        <v>INDETH</v>
      </c>
      <c r="E12" s="386"/>
      <c r="F12" s="336">
        <f ca="1">MATCH($D12,Calibration!$C$3:$T$3,0)</f>
        <v>12</v>
      </c>
      <c r="G12" s="53">
        <f ca="1">INDEX(IEAData!$B$36:$S$36,$F12)*INDEX(Calibration!$C$94:$T$94,$F12)</f>
        <v>0</v>
      </c>
      <c r="H12" s="53">
        <f ca="1">INDEX(AuxData!$B$36:$S$36,$F12)*INDEX(Calibrati2!$C$94:$T$94,$F12)</f>
        <v>0</v>
      </c>
      <c r="I12" s="445">
        <f t="shared" si="0"/>
        <v>0</v>
      </c>
      <c r="J12" s="445">
        <f t="shared" si="1"/>
        <v>0</v>
      </c>
      <c r="K12" s="544"/>
      <c r="L12" s="544"/>
      <c r="M12" s="544"/>
      <c r="N12" s="544"/>
      <c r="O12" s="544"/>
      <c r="P12" s="544"/>
      <c r="Q12" s="544"/>
      <c r="R12" s="340">
        <v>3</v>
      </c>
      <c r="V12" s="3"/>
    </row>
    <row r="13" spans="1:22">
      <c r="B13" s="52"/>
      <c r="C13" s="520"/>
      <c r="D13" s="52" t="str">
        <f ca="1">IEAData!N$38</f>
        <v>INDNAP</v>
      </c>
      <c r="E13" s="386"/>
      <c r="F13" s="336">
        <f ca="1">MATCH($D13,Calibration!$C$3:$T$3,0)</f>
        <v>13</v>
      </c>
      <c r="G13" s="53">
        <f ca="1">INDEX(IEAData!$B$36:$S$36,$F13)*INDEX(Calibration!$C$94:$T$94,$F13)</f>
        <v>0</v>
      </c>
      <c r="H13" s="53">
        <f ca="1">INDEX(AuxData!$B$36:$S$36,$F13)*INDEX(Calibrati2!$C$94:$T$94,$F13)</f>
        <v>0</v>
      </c>
      <c r="I13" s="445">
        <f t="shared" si="0"/>
        <v>0</v>
      </c>
      <c r="J13" s="445">
        <f t="shared" si="1"/>
        <v>0</v>
      </c>
      <c r="K13" s="544"/>
      <c r="L13" s="544"/>
      <c r="M13" s="544"/>
      <c r="N13" s="544"/>
      <c r="O13" s="544"/>
      <c r="P13" s="544"/>
      <c r="Q13" s="544"/>
      <c r="R13" s="340">
        <v>3</v>
      </c>
      <c r="V13" s="3"/>
    </row>
    <row r="14" spans="1:22">
      <c r="B14" s="52"/>
      <c r="C14" s="520"/>
      <c r="D14" s="52" t="str">
        <f ca="1">IEAData!O$38</f>
        <v>INDPTC</v>
      </c>
      <c r="E14" s="386"/>
      <c r="F14" s="336">
        <f ca="1">MATCH($D14,Calibration!$C$3:$T$3,0)</f>
        <v>14</v>
      </c>
      <c r="G14" s="53">
        <f ca="1">INDEX(IEAData!$B$36:$S$36,$F14)*INDEX(Calibration!$C$94:$T$94,$F14)</f>
        <v>0</v>
      </c>
      <c r="H14" s="53">
        <f ca="1">INDEX(AuxData!$B$36:$S$36,$F14)*INDEX(Calibrati2!$C$94:$T$94,$F14)</f>
        <v>0</v>
      </c>
      <c r="I14" s="445">
        <f t="shared" si="0"/>
        <v>0</v>
      </c>
      <c r="J14" s="445">
        <f t="shared" si="1"/>
        <v>0</v>
      </c>
      <c r="K14" s="544"/>
      <c r="L14" s="544"/>
      <c r="M14" s="544"/>
      <c r="N14" s="544"/>
      <c r="O14" s="544"/>
      <c r="P14" s="544"/>
      <c r="Q14" s="544"/>
      <c r="R14" s="340">
        <v>3</v>
      </c>
      <c r="V14" s="3"/>
    </row>
    <row r="15" spans="1:22">
      <c r="B15" s="52"/>
      <c r="C15" s="520"/>
      <c r="D15" s="52" t="str">
        <f ca="1">IEAData!P$38</f>
        <v>INDBIO</v>
      </c>
      <c r="E15" s="386"/>
      <c r="F15" s="336">
        <f ca="1">MATCH($D15,Calibration!$C$3:$T$3,0)</f>
        <v>15</v>
      </c>
      <c r="G15" s="53">
        <f ca="1">INDEX(IEAData!$B$36:$S$36,$F15)*INDEX(Calibration!$C$94:$T$94,$F15)</f>
        <v>0.23372135923832998</v>
      </c>
      <c r="H15" s="53">
        <f ca="1">INDEX(AuxData!$B$36:$S$36,$F15)*INDEX(Calibrati2!$C$94:$T$94,$F15)</f>
        <v>0</v>
      </c>
      <c r="I15" s="445">
        <f t="shared" si="0"/>
        <v>4.2370583736877326E-2</v>
      </c>
      <c r="J15" s="445">
        <f t="shared" si="1"/>
        <v>0</v>
      </c>
      <c r="K15" s="544"/>
      <c r="L15" s="544"/>
      <c r="M15" s="544"/>
      <c r="N15" s="544"/>
      <c r="O15" s="544"/>
      <c r="P15" s="544"/>
      <c r="Q15" s="544"/>
      <c r="R15" s="340">
        <v>3</v>
      </c>
      <c r="V15" s="3"/>
    </row>
    <row r="16" spans="1:22" ht="13.5" thickBot="1">
      <c r="B16" s="369" t="s">
        <v>902</v>
      </c>
      <c r="C16" s="534"/>
      <c r="D16" s="370"/>
      <c r="E16" s="533"/>
      <c r="F16" s="371"/>
      <c r="G16" s="372">
        <f>SUM(G7:G15)</f>
        <v>5.5161231832383306</v>
      </c>
      <c r="H16" s="372">
        <f>SUM(H7:H15)</f>
        <v>5.0268019000000006</v>
      </c>
      <c r="I16" s="371">
        <f>SUM(I7:I15)</f>
        <v>1</v>
      </c>
      <c r="J16" s="371">
        <f>SUM(J7:J15)</f>
        <v>1</v>
      </c>
      <c r="K16" s="370"/>
      <c r="L16" s="371">
        <f>G6*L6+SUM(G7:G15)*L7</f>
        <v>4.4128985465906645</v>
      </c>
      <c r="M16" s="371">
        <f>H6*M6+SUM(H7:H15)*M7</f>
        <v>4.0717095390000004</v>
      </c>
      <c r="N16" s="370"/>
      <c r="O16" s="370"/>
      <c r="P16" s="370"/>
      <c r="Q16" s="370"/>
      <c r="R16" s="370"/>
    </row>
    <row r="17" spans="1:22" ht="15">
      <c r="C17" s="33"/>
      <c r="L17" s="67"/>
    </row>
    <row r="18" spans="1:22">
      <c r="C18" s="33"/>
    </row>
    <row r="19" spans="1:22">
      <c r="C19" s="33"/>
    </row>
    <row r="20" spans="1:22" ht="18">
      <c r="A20" s="175" t="s">
        <v>23</v>
      </c>
      <c r="B20" s="5"/>
      <c r="C20" s="535"/>
      <c r="P20" s="310" t="s">
        <v>855</v>
      </c>
    </row>
    <row r="21" spans="1:22" ht="14.25" customHeight="1">
      <c r="A21" s="5"/>
      <c r="C21" s="33"/>
      <c r="F21" s="231"/>
      <c r="G21" s="7"/>
      <c r="P21" s="311">
        <v>0.99</v>
      </c>
      <c r="T21">
        <v>0.2</v>
      </c>
      <c r="U21">
        <v>0.2</v>
      </c>
      <c r="V21">
        <v>0.2</v>
      </c>
    </row>
    <row r="22" spans="1:22" ht="14.25" customHeight="1">
      <c r="A22" s="5"/>
      <c r="B22" s="10"/>
      <c r="C22" s="11"/>
      <c r="F22" s="231"/>
    </row>
    <row r="23" spans="1:22" ht="18">
      <c r="A23" s="5"/>
      <c r="B23" s="86" t="s">
        <v>91</v>
      </c>
      <c r="C23" s="536"/>
      <c r="F23" s="225" t="str">
        <f>"~FI_T: "&amp;Region</f>
        <v>~FI_T: FIN</v>
      </c>
    </row>
    <row r="24" spans="1:22" ht="39" thickBot="1">
      <c r="A24" s="6"/>
      <c r="B24" s="45" t="s">
        <v>649</v>
      </c>
      <c r="C24" s="481" t="s">
        <v>650</v>
      </c>
      <c r="D24" s="45" t="s">
        <v>648</v>
      </c>
      <c r="E24" s="45" t="s">
        <v>651</v>
      </c>
      <c r="F24" s="45" t="s">
        <v>139</v>
      </c>
      <c r="G24" s="64" t="str">
        <f ca="1">CONCATENATE("\I:",IEAData!$D$2," final energy")</f>
        <v>\I:2010 final energy</v>
      </c>
      <c r="H24" s="64" t="str">
        <f ca="1">CONCATENATE("\I:",AuxYear," final energy")</f>
        <v>\I:2017 final energy</v>
      </c>
      <c r="I24" s="45" t="str">
        <f ca="1">"EFF~"&amp;AuxYear</f>
        <v>EFF~2017</v>
      </c>
      <c r="J24" s="45" t="s">
        <v>849</v>
      </c>
      <c r="K24" s="45" t="s">
        <v>827</v>
      </c>
      <c r="L24" s="45" t="str">
        <f ca="1">"Share~LO~"&amp;AuxYear</f>
        <v>Share~LO~2017</v>
      </c>
      <c r="M24" s="45" t="str">
        <f ca="1">"Share~LO~"&amp;CEILING(AuxYear+7,5)</f>
        <v>Share~LO~2025</v>
      </c>
      <c r="N24" s="45" t="str">
        <f ca="1">"Share~LO~"&amp;CEILING(AuxYear+17,5)</f>
        <v>Share~LO~2035</v>
      </c>
      <c r="O24" s="45" t="s">
        <v>828</v>
      </c>
      <c r="P24" s="45" t="s">
        <v>854</v>
      </c>
      <c r="Q24" s="45" t="str">
        <f ca="1">"EFF~"&amp;CEILING(AuxYear+12,5)</f>
        <v>EFF~2030</v>
      </c>
      <c r="R24" s="45" t="s">
        <v>551</v>
      </c>
      <c r="S24" s="45" t="s">
        <v>499</v>
      </c>
      <c r="T24" s="45" t="s">
        <v>851</v>
      </c>
      <c r="U24" s="45" t="s">
        <v>852</v>
      </c>
      <c r="V24" s="45" t="s">
        <v>853</v>
      </c>
    </row>
    <row r="25" spans="1:22">
      <c r="B25" s="267" t="s">
        <v>22</v>
      </c>
      <c r="C25" s="459" t="s">
        <v>24</v>
      </c>
      <c r="D25" s="52" t="str">
        <f ca="1">IEAData!$F$24</f>
        <v>COAHCO</v>
      </c>
      <c r="E25" s="386" t="s">
        <v>21</v>
      </c>
      <c r="F25" s="52" t="s">
        <v>952</v>
      </c>
      <c r="G25" s="53">
        <f ca="1">IEAData!$F$22+IEAData!$F$23</f>
        <v>0</v>
      </c>
      <c r="H25" s="53">
        <f ca="1">AuxData!$F$22+AuxData!$F$23</f>
        <v>0</v>
      </c>
      <c r="I25" s="62">
        <v>1</v>
      </c>
      <c r="J25" s="62">
        <v>1</v>
      </c>
      <c r="K25" s="542">
        <f t="shared" ref="K25:L32" si="2">IF(G$33=0,0,FLOOR(G25/G$33,0.002))</f>
        <v>0</v>
      </c>
      <c r="L25" s="542">
        <f t="shared" si="2"/>
        <v>0</v>
      </c>
      <c r="M25" s="542">
        <f>FLOOR($L25*$P$21^(RIGHT(M$24,4)-RIGHT(L$24,4)),0.002)</f>
        <v>0</v>
      </c>
      <c r="N25" s="542">
        <f>FLOOR($L25*$P$21^(RIGHT(N$24,4)-RIGHT(M$24,4)),0.002)</f>
        <v>0</v>
      </c>
      <c r="O25" s="56"/>
      <c r="P25" s="56">
        <f t="shared" ref="P25:P32" si="3">FLOOR($L25*$P$21^(RIGHT(P$24,4)-RIGHT(O$24,4)),0.002)</f>
        <v>0</v>
      </c>
      <c r="Q25" s="55"/>
      <c r="R25" s="55"/>
      <c r="S25" s="55"/>
      <c r="T25" s="345">
        <f ca="1">VLOOKUP($D25,IND_Emi!$A$4:$F$47,2,0)*T$21</f>
        <v>18.919999999999998</v>
      </c>
      <c r="U25" s="345">
        <f ca="1">VLOOKUP($D25,IND_Emi!$A$4:$F$47,3,0)*U$21</f>
        <v>0.2</v>
      </c>
      <c r="V25" s="345">
        <f ca="1">VLOOKUP($D25,IND_Emi!$A$4:$F$47,4,0)*V$21</f>
        <v>0.60000000000000009</v>
      </c>
    </row>
    <row r="26" spans="1:22">
      <c r="A26" s="15"/>
      <c r="B26" s="52"/>
      <c r="C26" s="520"/>
      <c r="D26" s="52" t="str">
        <f ca="1">IEAData!$H$24</f>
        <v>COAOVC</v>
      </c>
      <c r="E26" s="52"/>
      <c r="F26" s="52" t="s">
        <v>954</v>
      </c>
      <c r="G26" s="53">
        <f ca="1">IEAData!$H$22+IEAData!$H$23</f>
        <v>0</v>
      </c>
      <c r="H26" s="53">
        <f ca="1">AuxData!$H$22+AuxData!$H$23</f>
        <v>0</v>
      </c>
      <c r="I26" s="544"/>
      <c r="J26" s="544"/>
      <c r="K26" s="542">
        <f t="shared" si="2"/>
        <v>0</v>
      </c>
      <c r="L26" s="542">
        <f t="shared" si="2"/>
        <v>0</v>
      </c>
      <c r="M26" s="542">
        <f>FLOOR($L26*$P$21^(RIGHT(M$24,4)-RIGHT(L$24,4)),0.002)</f>
        <v>0</v>
      </c>
      <c r="N26" s="542">
        <f>FLOOR($L26*$P$21^(RIGHT(N$24,4)-RIGHT(M$24,4)),0.002)</f>
        <v>0</v>
      </c>
      <c r="O26" s="57"/>
      <c r="P26" s="57">
        <f t="shared" si="3"/>
        <v>0</v>
      </c>
      <c r="Q26" s="55"/>
      <c r="R26" s="55"/>
      <c r="S26" s="55"/>
      <c r="T26" s="345">
        <f ca="1">VLOOKUP($D26,IND_Emi!$A$4:$F$47,2,0)*T$21</f>
        <v>20.972000000000001</v>
      </c>
      <c r="U26" s="345">
        <f ca="1">VLOOKUP($D26,IND_Emi!$A$4:$F$47,3,0)*U$21</f>
        <v>0.2</v>
      </c>
      <c r="V26" s="345">
        <f ca="1">VLOOKUP($D26,IND_Emi!$A$4:$F$47,4,0)*V$21</f>
        <v>0.60000000000000009</v>
      </c>
    </row>
    <row r="27" spans="1:22">
      <c r="B27" s="52"/>
      <c r="C27" s="520"/>
      <c r="D27" s="52" t="str">
        <f ca="1">IEAData!$T$24</f>
        <v>OILNSP</v>
      </c>
      <c r="E27" s="52"/>
      <c r="F27" s="52" t="s">
        <v>839</v>
      </c>
      <c r="G27" s="53">
        <f ca="1">IEAData!$T$22+IEAData!$T$23</f>
        <v>1.9999924919999996</v>
      </c>
      <c r="H27" s="53">
        <f ca="1">AuxData!$T$22+AuxData!$T$23</f>
        <v>0</v>
      </c>
      <c r="I27" s="544"/>
      <c r="J27" s="544"/>
      <c r="K27" s="542">
        <f t="shared" si="2"/>
        <v>0.10400000000000001</v>
      </c>
      <c r="L27" s="542">
        <f t="shared" si="2"/>
        <v>0</v>
      </c>
      <c r="M27" s="542">
        <f t="shared" ref="M27:M32" si="4">FLOOR($L27*$P$21^(RIGHT(M$24,4)-RIGHT(L$24,4)),0.002)</f>
        <v>0</v>
      </c>
      <c r="N27" s="542">
        <f>M27*$P$21^2</f>
        <v>0</v>
      </c>
      <c r="O27" s="57"/>
      <c r="P27" s="57">
        <f t="shared" si="3"/>
        <v>0</v>
      </c>
      <c r="Q27" s="55"/>
      <c r="R27" s="55"/>
      <c r="S27" s="55"/>
      <c r="T27" s="345">
        <f ca="1">VLOOKUP($D27,IND_Emi!$A$4:$F$47,2,0)*T$21</f>
        <v>14.66</v>
      </c>
      <c r="U27" s="345">
        <f ca="1">VLOOKUP($D27,IND_Emi!$A$4:$F$47,3,0)*U$21</f>
        <v>3.1160737470786799E-2</v>
      </c>
      <c r="V27" s="345">
        <f ca="1">VLOOKUP($D27,IND_Emi!$A$4:$F$47,4,0)*V$21</f>
        <v>6.7514931186704805E-2</v>
      </c>
    </row>
    <row r="28" spans="1:22">
      <c r="B28" s="52"/>
      <c r="C28" s="520"/>
      <c r="D28" s="52" t="str">
        <f ca="1">IEAData!$W$24</f>
        <v>OILPTC</v>
      </c>
      <c r="E28" s="52"/>
      <c r="F28" s="52" t="s">
        <v>842</v>
      </c>
      <c r="G28" s="53">
        <f ca="1">IEAData!$W$22+IEAData!$W$23</f>
        <v>0</v>
      </c>
      <c r="H28" s="53">
        <f ca="1">AuxData!$W$22+AuxData!$W$23</f>
        <v>0</v>
      </c>
      <c r="I28" s="544"/>
      <c r="J28" s="544"/>
      <c r="K28" s="542">
        <f t="shared" si="2"/>
        <v>0</v>
      </c>
      <c r="L28" s="542">
        <f t="shared" si="2"/>
        <v>0</v>
      </c>
      <c r="M28" s="542">
        <f t="shared" si="4"/>
        <v>0</v>
      </c>
      <c r="N28" s="542">
        <f>FLOOR($L28*$P$21^(RIGHT(N$24,4)-RIGHT(M$24,4)),0.002)</f>
        <v>0</v>
      </c>
      <c r="O28" s="57"/>
      <c r="P28" s="57">
        <f t="shared" si="3"/>
        <v>0</v>
      </c>
      <c r="Q28" s="55"/>
      <c r="R28" s="55"/>
      <c r="S28" s="55"/>
      <c r="T28" s="345">
        <f ca="1">VLOOKUP($D28,IND_Emi!$A$4:$F$47,2,0)*T$21</f>
        <v>19.5</v>
      </c>
      <c r="U28" s="345">
        <f ca="1">VLOOKUP($D28,IND_Emi!$A$4:$F$47,3,0)*U$21</f>
        <v>0.2</v>
      </c>
      <c r="V28" s="345">
        <f ca="1">VLOOKUP($D28,IND_Emi!$A$4:$F$47,4,0)*V$21</f>
        <v>0.36101083032490999</v>
      </c>
    </row>
    <row r="29" spans="1:22">
      <c r="B29" s="52"/>
      <c r="C29" s="520"/>
      <c r="D29" s="52" t="str">
        <f ca="1">IEAData!$AG$24</f>
        <v>OILWSP</v>
      </c>
      <c r="E29" s="52"/>
      <c r="F29" s="52" t="s">
        <v>310</v>
      </c>
      <c r="G29" s="53">
        <f ca="1">IEAData!$AG$22+IEAData!$AG$23</f>
        <v>2.7467920079999999</v>
      </c>
      <c r="H29" s="53">
        <f ca="1">AuxData!$AG$22+AuxData!$AG$23</f>
        <v>1.3079981999999999</v>
      </c>
      <c r="I29" s="544"/>
      <c r="J29" s="544"/>
      <c r="K29" s="542">
        <f t="shared" si="2"/>
        <v>0.14400000000000002</v>
      </c>
      <c r="L29" s="542">
        <f t="shared" si="2"/>
        <v>0.1</v>
      </c>
      <c r="M29" s="542">
        <f t="shared" si="4"/>
        <v>9.1999999999999998E-2</v>
      </c>
      <c r="N29" s="542">
        <f>FLOOR($L29*$P$21^(RIGHT(N$24,4)-RIGHT(M$24,4)),0.002)</f>
        <v>0.09</v>
      </c>
      <c r="O29" s="57"/>
      <c r="P29" s="57">
        <f t="shared" si="3"/>
        <v>0.06</v>
      </c>
      <c r="Q29" s="55"/>
      <c r="R29" s="55"/>
      <c r="S29" s="55"/>
      <c r="T29" s="345">
        <f ca="1">VLOOKUP($D29,IND_Emi!$A$4:$F$47,2,0)*T$21</f>
        <v>14.66</v>
      </c>
      <c r="U29" s="345">
        <f ca="1">VLOOKUP($D29,IND_Emi!$A$4:$F$47,3,0)*U$21</f>
        <v>0.60000000000000009</v>
      </c>
      <c r="V29" s="345">
        <f ca="1">VLOOKUP($D29,IND_Emi!$A$4:$F$47,4,0)*V$21</f>
        <v>0.67200000000000004</v>
      </c>
    </row>
    <row r="30" spans="1:22">
      <c r="B30" s="52"/>
      <c r="C30" s="520"/>
      <c r="D30" s="52" t="str">
        <f ca="1">IEAData!$AH$24</f>
        <v>OILLUB</v>
      </c>
      <c r="E30" s="52"/>
      <c r="F30" s="52" t="s">
        <v>311</v>
      </c>
      <c r="G30" s="53">
        <f ca="1">IEAData!$AH$22+IEAData!$AH$23</f>
        <v>3.1499808480000002</v>
      </c>
      <c r="H30" s="53">
        <f ca="1">AuxData!$AH$22+AuxData!$AH$23</f>
        <v>2.9819980999999993</v>
      </c>
      <c r="I30" s="544"/>
      <c r="J30" s="544"/>
      <c r="K30" s="542">
        <f t="shared" si="2"/>
        <v>0.16400000000000001</v>
      </c>
      <c r="L30" s="542">
        <f t="shared" si="2"/>
        <v>0.23</v>
      </c>
      <c r="M30" s="542">
        <f t="shared" si="4"/>
        <v>0.21199999999999999</v>
      </c>
      <c r="N30" s="542">
        <f>FLOOR($L30*$P$21^(RIGHT(N$24,4)-RIGHT(M$24,4)),0.002)</f>
        <v>0.20800000000000002</v>
      </c>
      <c r="O30" s="57"/>
      <c r="P30" s="57">
        <f t="shared" si="3"/>
        <v>0.13800000000000001</v>
      </c>
      <c r="Q30" s="55"/>
      <c r="R30" s="55"/>
      <c r="S30" s="55"/>
      <c r="T30" s="345">
        <f ca="1">VLOOKUP($D30,IND_Emi!$A$4:$F$47,2,0)*T$21</f>
        <v>7.41</v>
      </c>
      <c r="U30" s="345">
        <f ca="1">VLOOKUP($D30,IND_Emi!$A$4:$F$47,3,0)*U$21</f>
        <v>0.60000000000000009</v>
      </c>
      <c r="V30" s="345">
        <f ca="1">VLOOKUP($D30,IND_Emi!$A$4:$F$47,4,0)*V$21</f>
        <v>0.67200000000000004</v>
      </c>
    </row>
    <row r="31" spans="1:22">
      <c r="B31" s="52"/>
      <c r="C31" s="520"/>
      <c r="D31" s="52" t="str">
        <f ca="1">IEAData!$AI$24</f>
        <v>OILASP</v>
      </c>
      <c r="E31" s="52"/>
      <c r="F31" s="52" t="s">
        <v>312</v>
      </c>
      <c r="G31" s="53">
        <f ca="1">IEAData!$AI$22+IEAData!$AI$23</f>
        <v>10.92001176</v>
      </c>
      <c r="H31" s="53">
        <f ca="1">AuxData!$AI$22+AuxData!$AI$23</f>
        <v>8.5800008999999999</v>
      </c>
      <c r="I31" s="544"/>
      <c r="J31" s="544"/>
      <c r="K31" s="542">
        <f t="shared" si="2"/>
        <v>0.57400000000000007</v>
      </c>
      <c r="L31" s="542">
        <f t="shared" si="2"/>
        <v>0.66200000000000003</v>
      </c>
      <c r="M31" s="542">
        <f t="shared" si="4"/>
        <v>0.61</v>
      </c>
      <c r="N31" s="542">
        <f>FLOOR($L31*$P$21^(RIGHT(N$24,4)-RIGHT(M$24,4)),0.002)</f>
        <v>0.59799999999999998</v>
      </c>
      <c r="O31" s="57"/>
      <c r="P31" s="57">
        <f t="shared" si="3"/>
        <v>0.4</v>
      </c>
      <c r="Q31" s="55"/>
      <c r="R31" s="55"/>
      <c r="S31" s="55"/>
      <c r="T31" s="345">
        <f ca="1">VLOOKUP($D31,IND_Emi!$A$4:$F$47,2,0)*T$21</f>
        <v>0</v>
      </c>
      <c r="U31" s="345">
        <f ca="1">VLOOKUP($D31,IND_Emi!$A$4:$F$47,3,0)*U$21</f>
        <v>0.60000000000000009</v>
      </c>
      <c r="V31" s="345">
        <f ca="1">VLOOKUP($D31,IND_Emi!$A$4:$F$47,4,0)*V$21</f>
        <v>0.67200000000000004</v>
      </c>
    </row>
    <row r="32" spans="1:22">
      <c r="B32" s="52"/>
      <c r="C32" s="520"/>
      <c r="D32" s="52" t="str">
        <f ca="1">IEAData!$AJ$24</f>
        <v>OILWAX</v>
      </c>
      <c r="E32" s="52"/>
      <c r="F32" s="52" t="s">
        <v>313</v>
      </c>
      <c r="G32" s="53">
        <f ca="1">IEAData!$AJ$22+IEAData!$AJ$23</f>
        <v>0.16001949600000001</v>
      </c>
      <c r="H32" s="53">
        <f ca="1">AuxData!$AJ$22+AuxData!$AJ$23</f>
        <v>8.00014E-2</v>
      </c>
      <c r="I32" s="544"/>
      <c r="J32" s="544"/>
      <c r="K32" s="542">
        <f t="shared" si="2"/>
        <v>8.0000000000000002E-3</v>
      </c>
      <c r="L32" s="542">
        <f t="shared" si="2"/>
        <v>6.0000000000000001E-3</v>
      </c>
      <c r="M32" s="542">
        <f t="shared" si="4"/>
        <v>4.0000000000000001E-3</v>
      </c>
      <c r="N32" s="542">
        <f>FLOOR($L32*$P$21^(RIGHT(N$24,4)-RIGHT(M$24,4)),0.002)</f>
        <v>4.0000000000000001E-3</v>
      </c>
      <c r="O32" s="57"/>
      <c r="P32" s="57">
        <f t="shared" si="3"/>
        <v>2E-3</v>
      </c>
      <c r="Q32" s="55"/>
      <c r="R32" s="55"/>
      <c r="S32" s="55"/>
      <c r="T32" s="345">
        <f ca="1">VLOOKUP($D32,IND_Emi!$A$4:$F$47,2,0)*T$21</f>
        <v>16.14</v>
      </c>
      <c r="U32" s="345">
        <f ca="1">VLOOKUP($D32,IND_Emi!$A$4:$F$47,3,0)*U$21</f>
        <v>0.60000000000000009</v>
      </c>
      <c r="V32" s="345">
        <f ca="1">VLOOKUP($D32,IND_Emi!$A$4:$F$47,4,0)*V$21</f>
        <v>0.67200000000000004</v>
      </c>
    </row>
    <row r="33" spans="2:22">
      <c r="B33" s="192" t="s">
        <v>902</v>
      </c>
      <c r="C33" s="537"/>
      <c r="D33" s="198"/>
      <c r="E33" s="198"/>
      <c r="F33" s="198"/>
      <c r="G33" s="199">
        <f>SUM(G25:G32)</f>
        <v>18.976796604</v>
      </c>
      <c r="H33" s="199">
        <f>SUM(H25:H32)</f>
        <v>12.949998600000001</v>
      </c>
      <c r="I33" s="199"/>
      <c r="J33" s="200"/>
      <c r="K33" s="199">
        <f>SUM(K25:K32)</f>
        <v>0.99400000000000011</v>
      </c>
      <c r="L33" s="199">
        <f>SUM(L25:L32)</f>
        <v>0.998</v>
      </c>
      <c r="M33" s="199">
        <f>SUM(M25:M32)</f>
        <v>0.91799999999999993</v>
      </c>
      <c r="N33" s="199">
        <f>SUM(N25:N32)</f>
        <v>0.9</v>
      </c>
      <c r="O33" s="198"/>
      <c r="P33" s="199">
        <f>SUM(P25:P32)</f>
        <v>0.60000000000000009</v>
      </c>
      <c r="Q33" s="198"/>
      <c r="R33" s="198"/>
      <c r="S33" s="198"/>
      <c r="T33" s="309">
        <f>SUMPRODUCT(T25:T32,$H$25:$H$32)</f>
        <v>42.563082128999994</v>
      </c>
      <c r="U33" s="309">
        <f>SUMPRODUCT(U25:U32,$H$25:$H$32)</f>
        <v>7.7699991600000011</v>
      </c>
      <c r="V33" s="309">
        <f>SUMPRODUCT(V25:V32,$H$25:$H$32)</f>
        <v>8.7023990592000011</v>
      </c>
    </row>
    <row r="34" spans="2:22" ht="15">
      <c r="C34" s="33"/>
      <c r="G34" s="67"/>
    </row>
    <row r="35" spans="2:22">
      <c r="C35" s="33"/>
      <c r="D35" s="216"/>
    </row>
    <row r="37" spans="2:22" ht="18">
      <c r="B37" s="124" t="s">
        <v>89</v>
      </c>
      <c r="C37" s="538"/>
      <c r="D37" s="225"/>
    </row>
    <row r="38" spans="2:22" ht="26.25" thickBot="1">
      <c r="B38" s="26" t="s">
        <v>772</v>
      </c>
      <c r="C38" s="510" t="s">
        <v>773</v>
      </c>
      <c r="D38" s="25" t="s">
        <v>778</v>
      </c>
      <c r="E38" s="25" t="s">
        <v>1083</v>
      </c>
      <c r="F38" s="25" t="str">
        <f ca="1">"DEMAND~"&amp;AuxYear</f>
        <v>DEMAND~2017</v>
      </c>
      <c r="G38" s="25"/>
      <c r="H38" s="25"/>
    </row>
    <row r="39" spans="2:22">
      <c r="B39" s="148" t="s">
        <v>151</v>
      </c>
      <c r="C39" s="300" t="s">
        <v>150</v>
      </c>
      <c r="D39" s="27" t="s">
        <v>783</v>
      </c>
      <c r="E39" s="174">
        <f>F39</f>
        <v>4.0717095390000004</v>
      </c>
      <c r="F39" s="174">
        <f>M16</f>
        <v>4.0717095390000004</v>
      </c>
      <c r="G39" s="12"/>
      <c r="H39" s="12"/>
    </row>
    <row r="40" spans="2:22">
      <c r="B40" s="176" t="s">
        <v>21</v>
      </c>
      <c r="C40" s="459" t="s">
        <v>24</v>
      </c>
      <c r="D40" s="27" t="s">
        <v>783</v>
      </c>
      <c r="E40" s="174">
        <f>F40</f>
        <v>12.949998600000001</v>
      </c>
      <c r="F40" s="174">
        <f>H33</f>
        <v>12.949998600000001</v>
      </c>
      <c r="G40" s="12"/>
      <c r="H40" s="12"/>
    </row>
  </sheetData>
  <phoneticPr fontId="25" type="noConversion"/>
  <pageMargins left="0.75" right="0.75" top="1" bottom="1" header="0.5" footer="0.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59"/>
  <sheetViews>
    <sheetView zoomScale="75" workbookViewId="0">
      <selection activeCell="J20" sqref="J20"/>
    </sheetView>
  </sheetViews>
  <sheetFormatPr defaultColWidth="8.85546875" defaultRowHeight="12.75"/>
  <cols>
    <col min="1" max="2" width="8.85546875" customWidth="1"/>
    <col min="3" max="3" width="14.7109375" customWidth="1"/>
    <col min="4" max="4" width="17.5703125" customWidth="1"/>
    <col min="5" max="5" width="15.85546875" customWidth="1"/>
    <col min="6" max="6" width="8.85546875" customWidth="1"/>
    <col min="7" max="7" width="9.140625" customWidth="1"/>
    <col min="8" max="8" width="8.7109375" customWidth="1"/>
    <col min="9" max="10" width="8.85546875" customWidth="1"/>
    <col min="11" max="14" width="9.5703125" bestFit="1" customWidth="1"/>
    <col min="15" max="15" width="9.7109375" customWidth="1"/>
    <col min="16" max="17" width="8.85546875" customWidth="1"/>
    <col min="18" max="18" width="9.5703125" bestFit="1" customWidth="1"/>
    <col min="19" max="19" width="31" customWidth="1"/>
  </cols>
  <sheetData>
    <row r="1" spans="3:19">
      <c r="C1" s="781" t="s">
        <v>1510</v>
      </c>
      <c r="D1" s="459" t="str">
        <f ca="1">IF(RIGHT(CELL("FILENAME",$A$1),1)="2",2,T(0))</f>
        <v/>
      </c>
      <c r="K1" s="35"/>
      <c r="L1" s="35"/>
      <c r="M1" s="314" t="s">
        <v>856</v>
      </c>
      <c r="N1" s="315">
        <v>0.5</v>
      </c>
    </row>
    <row r="2" spans="3:19">
      <c r="K2" s="35"/>
      <c r="L2" s="35"/>
      <c r="M2" s="314" t="s">
        <v>858</v>
      </c>
      <c r="N2" s="315">
        <v>0.99</v>
      </c>
    </row>
    <row r="4" spans="3:19" ht="18">
      <c r="C4" s="122" t="s">
        <v>27</v>
      </c>
      <c r="D4" s="86"/>
      <c r="E4" s="86"/>
      <c r="F4" s="216" t="str">
        <f>"~FI_T: PRC_MARK~"&amp;Region</f>
        <v>~FI_T: PRC_MARK~FIN</v>
      </c>
    </row>
    <row r="5" spans="3:19" ht="23.25" thickBot="1">
      <c r="C5" s="312" t="s">
        <v>649</v>
      </c>
      <c r="D5" s="312" t="s">
        <v>772</v>
      </c>
      <c r="E5" s="312" t="s">
        <v>139</v>
      </c>
      <c r="F5" s="312" t="s">
        <v>724</v>
      </c>
      <c r="G5" s="312" t="str">
        <f ca="1">"\I: "&amp;AuxYear</f>
        <v>\I: 2017</v>
      </c>
      <c r="H5" s="312">
        <v>0</v>
      </c>
      <c r="I5" s="312">
        <f ca="1">BaseYear</f>
        <v>2010</v>
      </c>
      <c r="J5" s="312">
        <f ca="1">AuxYear</f>
        <v>2017</v>
      </c>
      <c r="K5" s="312">
        <f ca="1">CEILING(AuxYear+2,5)</f>
        <v>2020</v>
      </c>
      <c r="L5" s="312">
        <f ca="1">CEILING(AuxYear+12,5)</f>
        <v>2030</v>
      </c>
      <c r="M5" s="312">
        <f ca="1">CEILING(AuxYear+22,5)</f>
        <v>2040</v>
      </c>
      <c r="N5" s="312">
        <f ca="1">CEILING(AuxYear+32,5)</f>
        <v>2050</v>
      </c>
      <c r="O5" s="312">
        <v>2070</v>
      </c>
      <c r="P5" s="312">
        <v>2100</v>
      </c>
      <c r="Q5" s="313" t="s">
        <v>26</v>
      </c>
      <c r="R5" s="589" t="s">
        <v>25</v>
      </c>
      <c r="S5" s="594" t="s">
        <v>575</v>
      </c>
    </row>
    <row r="6" spans="3:19">
      <c r="C6" s="192" t="s">
        <v>857</v>
      </c>
      <c r="D6" s="192"/>
      <c r="E6" s="192"/>
      <c r="F6" s="192"/>
      <c r="G6" s="476">
        <f>RIGHT(G5,4)*1</f>
        <v>2017</v>
      </c>
      <c r="H6" s="561">
        <f>RIGHT(H5,4)*1</f>
        <v>0</v>
      </c>
      <c r="I6" s="476"/>
      <c r="J6" s="476">
        <f t="shared" ref="J6:P6" si="0">RIGHT(J5,4)*1</f>
        <v>2017</v>
      </c>
      <c r="K6" s="476">
        <f t="shared" si="0"/>
        <v>2020</v>
      </c>
      <c r="L6" s="476">
        <f t="shared" si="0"/>
        <v>2030</v>
      </c>
      <c r="M6" s="476">
        <f t="shared" si="0"/>
        <v>2040</v>
      </c>
      <c r="N6" s="476">
        <f t="shared" si="0"/>
        <v>2050</v>
      </c>
      <c r="O6" s="476">
        <f t="shared" si="0"/>
        <v>2070</v>
      </c>
      <c r="P6" s="476">
        <f t="shared" si="0"/>
        <v>2100</v>
      </c>
      <c r="Q6" s="192"/>
      <c r="R6" s="192"/>
      <c r="S6" s="590"/>
    </row>
    <row r="7" spans="3:19">
      <c r="C7" s="9" t="str">
        <f ca="1">CHP!B42</f>
        <v>ESTMCOA000</v>
      </c>
      <c r="D7" s="9" t="s">
        <v>946</v>
      </c>
      <c r="E7" s="9" t="str">
        <f>C7</f>
        <v>ESTMCOA000</v>
      </c>
      <c r="F7" s="304" t="s">
        <v>147</v>
      </c>
      <c r="G7" s="582">
        <f ca="1">MAX(0.01,(MAX(AuxData!BB28,CHP!J42*1.5)+INDSTM!L12)/MAX(Tiny,INDSTM!$L$42+ISOI!$M$22))</f>
        <v>1.809167100503991E-2</v>
      </c>
      <c r="H7" s="583"/>
      <c r="I7" s="583"/>
      <c r="J7" s="583"/>
      <c r="K7" s="583">
        <f>$R7/(1+($R7/G7-1)*(1+$Q7)^(G$6-K$6))</f>
        <v>2.1939760852292791E-2</v>
      </c>
      <c r="L7" s="583">
        <f>$R7/(1+($R7/K7-1)*(1+$Q7)^(K$6-L$6))</f>
        <v>4.0984687983636636E-2</v>
      </c>
      <c r="M7" s="583">
        <f>$R7/(1+($R7/L7-1)*(1+$Q7)^(L$6-M$6))</f>
        <v>7.3353997482027866E-2</v>
      </c>
      <c r="N7" s="583">
        <f>$R7/(1+($R7/M7-1)*(1+$Q7)^(M$6-N$6))</f>
        <v>0.12256088839742725</v>
      </c>
      <c r="O7" s="583">
        <f>$R7/(1+($R7/N7-1)*(1+$Q7)^(N$6-O$6))</f>
        <v>0.25236928387051422</v>
      </c>
      <c r="P7" s="584">
        <f>$R7/(1+($R7/O7-1)*(1+$Q7)^(O$6-P$6))</f>
        <v>0.37145481311872952</v>
      </c>
      <c r="Q7" s="9">
        <v>7.0000000000000007E-2</v>
      </c>
      <c r="R7" s="9">
        <f>MIN(0.9,MAX((G7/0.8)^0.2,N$1))*0.8</f>
        <v>0.4</v>
      </c>
      <c r="S7" s="591" t="s">
        <v>393</v>
      </c>
    </row>
    <row r="8" spans="3:19">
      <c r="C8" s="9" t="str">
        <f ca="1">INDSTM!B12</f>
        <v>ISTMCOA000</v>
      </c>
      <c r="D8" s="9" t="str">
        <f>D7</f>
        <v>INDHET</v>
      </c>
      <c r="E8" s="9" t="str">
        <f>E$7</f>
        <v>ESTMCOA000</v>
      </c>
      <c r="F8" s="304" t="s">
        <v>147</v>
      </c>
      <c r="G8" s="585"/>
      <c r="H8" s="543"/>
      <c r="I8" s="543"/>
      <c r="J8" s="543"/>
      <c r="K8" s="543">
        <v>1</v>
      </c>
      <c r="L8" s="543"/>
      <c r="M8" s="543"/>
      <c r="N8" s="543"/>
      <c r="O8" s="543"/>
      <c r="P8" s="586">
        <v>1</v>
      </c>
      <c r="Q8" s="9"/>
      <c r="R8" s="9"/>
      <c r="S8" s="591" t="s">
        <v>394</v>
      </c>
    </row>
    <row r="9" spans="3:19">
      <c r="C9" s="9" t="str">
        <f>C7</f>
        <v>ESTMCOA000</v>
      </c>
      <c r="D9" s="9" t="s">
        <v>17</v>
      </c>
      <c r="E9" s="9" t="str">
        <f>C9</f>
        <v>ESTMCOA000</v>
      </c>
      <c r="F9" s="304" t="s">
        <v>147</v>
      </c>
      <c r="G9" s="585">
        <f ca="1">MAX(SUM(CHP!J42,CHP!J45,CHP!H11)/AuxData!$B$34,0.01)</f>
        <v>0.01</v>
      </c>
      <c r="H9" s="543"/>
      <c r="I9" s="543"/>
      <c r="J9" s="543"/>
      <c r="K9" s="543">
        <f>$R9/(1+($R9/G9-1)*(1+$Q9)^(G$6-K$6))</f>
        <v>1.1812505251467169E-2</v>
      </c>
      <c r="L9" s="543">
        <f>$R9/(1+($R9/K9-1)*(1+$Q9)^(K$6-L$6))</f>
        <v>1.9556397155329905E-2</v>
      </c>
      <c r="M9" s="543">
        <f>$R9/(1+($R9/L9-1)*(1+$Q9)^(L$6-M$6))</f>
        <v>2.9331244401278444E-2</v>
      </c>
      <c r="N9" s="543">
        <f>$R9/(1+($R9/M9-1)*(1+$Q9)^(M$6-N$6))</f>
        <v>3.932263588542121E-2</v>
      </c>
      <c r="O9" s="543">
        <f>$R9/(1+($R9/N9-1)*(1+$Q9)^(N$6-O$6))</f>
        <v>5.3224421377561372E-2</v>
      </c>
      <c r="P9" s="586">
        <f>$R9/(1+($R9/O9-1)*(1+$Q9)^(O$6-P$6))</f>
        <v>5.9602577109569975E-2</v>
      </c>
      <c r="Q9" s="9">
        <v>7.0000000000000007E-2</v>
      </c>
      <c r="R9" s="9">
        <f>MIN(5*G9/(1-G21),MAX(N$1,(G9/(1-G21))^0.2))*(1-P21)</f>
        <v>6.0702703562930088E-2</v>
      </c>
      <c r="S9" s="591" t="s">
        <v>574</v>
      </c>
    </row>
    <row r="10" spans="3:19">
      <c r="C10" s="9" t="str">
        <f ca="1">IOCH!B10</f>
        <v>IOCHCOA000</v>
      </c>
      <c r="D10" s="9" t="s">
        <v>576</v>
      </c>
      <c r="E10" s="9" t="str">
        <f>C10</f>
        <v>IOCHCOA000</v>
      </c>
      <c r="F10" s="304" t="s">
        <v>147</v>
      </c>
      <c r="G10" s="585">
        <f ca="1">MAX(0.02,IF(IOCH!L$16&gt;0,IOCH!L10/IOCH!L$16/$N$2))</f>
        <v>0.02</v>
      </c>
      <c r="H10" s="543"/>
      <c r="I10" s="543"/>
      <c r="J10" s="543"/>
      <c r="K10" s="543">
        <f>($R10+(1-$R10)*$G10)/(1+(($R10+(1-$R10)*$G10)/G10-1)*(1+$Q10)^(G$6-K$6))</f>
        <v>2.3643212864761759E-2</v>
      </c>
      <c r="L10" s="543">
        <f t="shared" ref="L10:P12" si="1">($R10+(1-$R10)*$G10)/(1+(($R10+(1-$R10)*$G10)/K10-1)*(1+$Q10)^(K$6-L$6))</f>
        <v>4.0843928314938854E-2</v>
      </c>
      <c r="M10" s="543">
        <f t="shared" si="1"/>
        <v>6.8788472733062003E-2</v>
      </c>
      <c r="N10" s="543">
        <f t="shared" si="1"/>
        <v>0.11131573634298494</v>
      </c>
      <c r="O10" s="543">
        <f t="shared" si="1"/>
        <v>0.24093561160653931</v>
      </c>
      <c r="P10" s="586">
        <f t="shared" si="1"/>
        <v>0.42697934842699198</v>
      </c>
      <c r="Q10" s="9">
        <v>0.06</v>
      </c>
      <c r="R10" s="345">
        <f>MIN(0.9,MAX(G10^0.2,N$1))</f>
        <v>0.5</v>
      </c>
      <c r="S10" s="591" t="s">
        <v>118</v>
      </c>
    </row>
    <row r="11" spans="3:19">
      <c r="C11" s="9" t="str">
        <f ca="1">IOLP!B22</f>
        <v>IOLPCOA000</v>
      </c>
      <c r="D11" s="9" t="s">
        <v>983</v>
      </c>
      <c r="E11" s="9" t="str">
        <f>C11</f>
        <v>IOLPCOA000</v>
      </c>
      <c r="F11" s="304" t="s">
        <v>147</v>
      </c>
      <c r="G11" s="585">
        <f ca="1">MAX(0.02,IF(IOLP!J$24&gt;0,IOLP!J22/IOLP!J$24/$N$2))</f>
        <v>0.02</v>
      </c>
      <c r="H11" s="543"/>
      <c r="I11" s="543"/>
      <c r="J11" s="543"/>
      <c r="K11" s="543">
        <f>($R11+(1-$R11)*$G11)/(1+(($R11+(1-$R11)*$G11)/G11-1)*(1+$Q11)^(G$6-K$6))</f>
        <v>2.3643212864761759E-2</v>
      </c>
      <c r="L11" s="543">
        <f t="shared" si="1"/>
        <v>4.0843928314938854E-2</v>
      </c>
      <c r="M11" s="543">
        <f t="shared" si="1"/>
        <v>6.8788472733062003E-2</v>
      </c>
      <c r="N11" s="543">
        <f t="shared" si="1"/>
        <v>0.11131573634298494</v>
      </c>
      <c r="O11" s="543">
        <f t="shared" si="1"/>
        <v>0.24093561160653931</v>
      </c>
      <c r="P11" s="586">
        <f t="shared" si="1"/>
        <v>0.42697934842699198</v>
      </c>
      <c r="Q11" s="9">
        <v>0.06</v>
      </c>
      <c r="R11" s="9">
        <f>MIN(0.9,MAX(G11^0.2,N$1))</f>
        <v>0.5</v>
      </c>
      <c r="S11" s="591" t="str">
        <f>SUBSTITUTE(S$10,$D$10,D11)</f>
        <v>Max share of COA in IOLP</v>
      </c>
    </row>
    <row r="12" spans="3:19">
      <c r="C12" s="9" t="str">
        <f ca="1">ISOI!B14</f>
        <v>ISOICOA000</v>
      </c>
      <c r="D12" s="9" t="s">
        <v>48</v>
      </c>
      <c r="E12" s="9" t="str">
        <f>C12</f>
        <v>ISOICOA000</v>
      </c>
      <c r="F12" s="304" t="s">
        <v>147</v>
      </c>
      <c r="G12" s="585">
        <f ca="1">MAX(0.02,ISOI!M14/ISOI!M$24/$N$2)</f>
        <v>0.02</v>
      </c>
      <c r="H12" s="543"/>
      <c r="I12" s="543"/>
      <c r="J12" s="543"/>
      <c r="K12" s="543">
        <f>($R12+(1-$R12)*$G12)/(1+(($R12+(1-$R12)*$G12)/G12-1)*(1+$Q12)^(G$6-K$6))</f>
        <v>2.3643212864761759E-2</v>
      </c>
      <c r="L12" s="543">
        <f t="shared" si="1"/>
        <v>4.0843928314938854E-2</v>
      </c>
      <c r="M12" s="543">
        <f t="shared" si="1"/>
        <v>6.8788472733062003E-2</v>
      </c>
      <c r="N12" s="543">
        <f t="shared" si="1"/>
        <v>0.11131573634298494</v>
      </c>
      <c r="O12" s="543">
        <f t="shared" si="1"/>
        <v>0.24093561160653931</v>
      </c>
      <c r="P12" s="586">
        <f t="shared" si="1"/>
        <v>0.42697934842699198</v>
      </c>
      <c r="Q12" s="9">
        <v>0.06</v>
      </c>
      <c r="R12" s="9">
        <f>MIN(0.9,MAX(G12^0.2,N$1))</f>
        <v>0.5</v>
      </c>
      <c r="S12" s="591" t="str">
        <f>SUBSTITUTE(S$10,$D$10,D12)</f>
        <v>Max share of COA in ISOI</v>
      </c>
    </row>
    <row r="13" spans="3:19">
      <c r="C13" s="9" t="str">
        <f ca="1">IPOI!B14</f>
        <v>IPOICOA000</v>
      </c>
      <c r="D13" s="9" t="s">
        <v>57</v>
      </c>
      <c r="E13" s="9" t="str">
        <f>C13</f>
        <v>IPOICOA000</v>
      </c>
      <c r="F13" s="304" t="s">
        <v>147</v>
      </c>
      <c r="G13" s="585">
        <f ca="1">MAX(0.02,SUM(IPOI!M14:M16)/IPOI!M$22/$N$2)</f>
        <v>4.8639386094334595E-2</v>
      </c>
      <c r="H13" s="543"/>
      <c r="I13" s="543"/>
      <c r="J13" s="543"/>
      <c r="K13" s="543">
        <f>($R13)/(1+(($R13)/G13-1)*(1+$Q13)^(G$6-K$6))</f>
        <v>5.696147083070946E-2</v>
      </c>
      <c r="L13" s="543">
        <f>($R13)/(1+(($R13)/K13-1)*(1+$Q13)^(K$6-L$6))</f>
        <v>9.4237871625198102E-2</v>
      </c>
      <c r="M13" s="543">
        <f>($R13)/(1+(($R13)/L13-1)*(1+$Q13)^(L$6-M$6))</f>
        <v>0.14850467712985246</v>
      </c>
      <c r="N13" s="543">
        <f>($R13)/(1+(($R13)/M13-1)*(1+$Q13)^(M$6-N$6))</f>
        <v>0.21888855465488874</v>
      </c>
      <c r="O13" s="543">
        <f>($R13)/(1+(($R13)/N13-1)*(1+$Q13)^(N$6-O$6))</f>
        <v>0.37253286401265567</v>
      </c>
      <c r="P13" s="586">
        <f>($R13)/(1+(($R13)/O13-1)*(1+$Q13)^(O$6-P$6))</f>
        <v>0.50523586584261793</v>
      </c>
      <c r="Q13" s="9">
        <v>0.06</v>
      </c>
      <c r="R13" s="9">
        <f>MIN(0.9,MAX(G13^0.2,N$1))</f>
        <v>0.54625775680966082</v>
      </c>
      <c r="S13" s="591" t="str">
        <f>SUBSTITUTE(S$10,$D$10,D13)</f>
        <v>Max share of COA in IPOI</v>
      </c>
    </row>
    <row r="14" spans="3:19">
      <c r="C14" s="192" t="s">
        <v>1500</v>
      </c>
      <c r="D14" s="192"/>
      <c r="E14" s="192"/>
      <c r="F14" s="548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590"/>
    </row>
    <row r="15" spans="3:19">
      <c r="C15" s="9" t="str">
        <f ca="1">IOCH!B9</f>
        <v>IOCHNGA000</v>
      </c>
      <c r="D15" s="9" t="s">
        <v>576</v>
      </c>
      <c r="E15" s="9" t="str">
        <f>C15</f>
        <v>IOCHNGA000</v>
      </c>
      <c r="F15" s="304" t="s">
        <v>725</v>
      </c>
      <c r="G15" s="585">
        <f ca="1">INDIRECT(D15&amp;$D$1&amp;"!L9")/MAX(Tiny,VLOOKUP($D15,OFFSET(INDIRECT(D15&amp;$D$1&amp;"!C5"),0,0,28,10),10,0))*N$2</f>
        <v>3.8938668487136258E-2</v>
      </c>
      <c r="H15" s="543"/>
      <c r="I15" s="543"/>
      <c r="J15" s="543">
        <f ca="1">G15*0.99</f>
        <v>3.8549281802264898E-2</v>
      </c>
      <c r="K15" s="543">
        <f ca="1">G15*(1-$Q15)^(K$6-G$6)</f>
        <v>3.6648763270744747E-2</v>
      </c>
      <c r="L15" s="543">
        <f t="shared" ref="L15:P17" ca="1" si="2">K15*(1-$Q15)^(L$6-K$6)</f>
        <v>2.9944707874584631E-2</v>
      </c>
      <c r="M15" s="543">
        <f t="shared" ca="1" si="2"/>
        <v>2.4467006514514483E-2</v>
      </c>
      <c r="N15" s="543">
        <f t="shared" ca="1" si="2"/>
        <v>1.9991325688950234E-2</v>
      </c>
      <c r="O15" s="543">
        <f t="shared" ca="1" si="2"/>
        <v>1.3346368395895576E-2</v>
      </c>
      <c r="P15" s="586">
        <f t="shared" ca="1" si="2"/>
        <v>7.2802346806623616E-3</v>
      </c>
      <c r="Q15" s="9">
        <v>0.02</v>
      </c>
      <c r="R15" s="9"/>
      <c r="S15" s="591" t="str">
        <f>"Min share of NGA in "&amp;D15</f>
        <v>Min share of NGA in IOCH</v>
      </c>
    </row>
    <row r="16" spans="3:19">
      <c r="C16" s="9" t="str">
        <f ca="1">IPOI!B12</f>
        <v>IPOINGA000</v>
      </c>
      <c r="D16" s="9" t="s">
        <v>57</v>
      </c>
      <c r="E16" s="9" t="str">
        <f>C16</f>
        <v>IPOINGA000</v>
      </c>
      <c r="F16" s="304" t="s">
        <v>725</v>
      </c>
      <c r="G16" s="585">
        <f ca="1">INDIRECT(D16&amp;$D$1&amp;"!M12")/MAX(Tiny,VLOOKUP($D16,OFFSET(INDIRECT(D16&amp;$D$1&amp;"!C5"),0,0,28,11),11,0))*N$2</f>
        <v>0.11483004912475892</v>
      </c>
      <c r="H16" s="543"/>
      <c r="I16" s="543"/>
      <c r="J16" s="543">
        <f ca="1">G16*0.99</f>
        <v>0.11368174863351133</v>
      </c>
      <c r="K16" s="543">
        <f ca="1">G16*(1-$Q16)^(K$6-G$6)</f>
        <v>0.10807712359583008</v>
      </c>
      <c r="L16" s="543">
        <f t="shared" ca="1" si="2"/>
        <v>8.8306878736777172E-2</v>
      </c>
      <c r="M16" s="543">
        <f t="shared" ca="1" si="2"/>
        <v>7.2153149276936723E-2</v>
      </c>
      <c r="N16" s="543">
        <f t="shared" ca="1" si="2"/>
        <v>5.8954376205482842E-2</v>
      </c>
      <c r="O16" s="543">
        <f t="shared" ca="1" si="2"/>
        <v>3.9358411524629183E-2</v>
      </c>
      <c r="P16" s="586">
        <f t="shared" ca="1" si="2"/>
        <v>2.1469396322486203E-2</v>
      </c>
      <c r="Q16" s="9">
        <v>0.02</v>
      </c>
      <c r="R16" s="9"/>
      <c r="S16" s="591" t="str">
        <f>"Min share of NGA in "&amp;D16</f>
        <v>Min share of NGA in IPOI</v>
      </c>
    </row>
    <row r="17" spans="1:22">
      <c r="C17" s="9" t="str">
        <f ca="1">IOOI!B12</f>
        <v>IOOINGA000</v>
      </c>
      <c r="D17" s="9" t="s">
        <v>75</v>
      </c>
      <c r="E17" s="9" t="str">
        <f>C17</f>
        <v>IOOINGA000</v>
      </c>
      <c r="F17" s="304" t="s">
        <v>725</v>
      </c>
      <c r="G17" s="585">
        <f ca="1">INDIRECT(D17&amp;$D$1&amp;"!M12")/MAX(Tiny,VLOOKUP($D17,OFFSET(INDIRECT(D17&amp;$D$1&amp;"!C5"),0,0,28,11),11,0))*N$2</f>
        <v>1.8400852839002248E-2</v>
      </c>
      <c r="H17" s="543"/>
      <c r="I17" s="543"/>
      <c r="J17" s="543">
        <f ca="1">G17*0.99</f>
        <v>1.8216844310612226E-2</v>
      </c>
      <c r="K17" s="543">
        <f ca="1">G17*(1-$Q17)^(K$6-G$6)</f>
        <v>1.7318735485246203E-2</v>
      </c>
      <c r="L17" s="543">
        <f t="shared" ca="1" si="2"/>
        <v>1.4150667814673071E-2</v>
      </c>
      <c r="M17" s="543">
        <f t="shared" ca="1" si="2"/>
        <v>1.1562125870668192E-2</v>
      </c>
      <c r="N17" s="543">
        <f t="shared" ca="1" si="2"/>
        <v>9.4470986387339782E-3</v>
      </c>
      <c r="O17" s="543">
        <f t="shared" ca="1" si="2"/>
        <v>6.3069583611755015E-3</v>
      </c>
      <c r="P17" s="586">
        <f t="shared" ca="1" si="2"/>
        <v>3.4403468890191868E-3</v>
      </c>
      <c r="Q17" s="9">
        <v>0.02</v>
      </c>
      <c r="R17" s="9"/>
      <c r="S17" s="591" t="str">
        <f>"Min share of NGA in "&amp;D17</f>
        <v>Min share of NGA in IOOI</v>
      </c>
    </row>
    <row r="18" spans="1:22">
      <c r="C18" s="9" t="str">
        <f ca="1">IOOI!B28</f>
        <v>IOOIHET000</v>
      </c>
      <c r="D18" s="9" t="s">
        <v>75</v>
      </c>
      <c r="E18" s="9" t="str">
        <f>C18</f>
        <v>IOOIHET000</v>
      </c>
      <c r="F18" s="304" t="s">
        <v>147</v>
      </c>
      <c r="G18" s="585">
        <f ca="1">INDIRECT(D18&amp;$D$1&amp;"!M28")/MAX(Tiny,VLOOKUP($D18,OFFSET(INDIRECT(D18&amp;$D$1&amp;"!C5"),0,0,28,11),11,0))*N$2</f>
        <v>0.31617935331818681</v>
      </c>
      <c r="H18" s="543"/>
      <c r="I18" s="543"/>
      <c r="J18" s="543"/>
      <c r="K18" s="543">
        <f ca="1">($R18)/(1+(($R18)/G18-1)*(1+$Q18)^(G$6-K$6))</f>
        <v>0.33601240613031425</v>
      </c>
      <c r="L18" s="543">
        <f ca="1">($R18)/(1+(($R18)/K18-1)*(1+$Q18)^(K$6-L$6))</f>
        <v>0.40383477541392732</v>
      </c>
      <c r="M18" s="543">
        <f ca="1">($R18)/(1+(($R18)/L18-1)*(1+$Q18)^(L$6-M$6))</f>
        <v>0.47126948047579531</v>
      </c>
      <c r="N18" s="543">
        <f ca="1">($R18)/(1+(($R18)/M18-1)*(1+$Q18)^(M$6-N$6))</f>
        <v>0.53454909888690127</v>
      </c>
      <c r="O18" s="543">
        <f ca="1">($R18)/(1+(($R18)/N18-1)*(1+$Q18)^(N$6-O$6))</f>
        <v>0.63839859441074909</v>
      </c>
      <c r="P18" s="586">
        <f ca="1">($R18)/(1+(($R18)/O18-1)*(1+$Q18)^(O$6-P$6))</f>
        <v>0.73072508250583279</v>
      </c>
      <c r="Q18" s="62">
        <v>3.5000000000000003E-2</v>
      </c>
      <c r="R18" s="9">
        <f ca="1">MIN(0.9,MAX(G18^0.2,N$1))</f>
        <v>0.79430391179458326</v>
      </c>
      <c r="S18" s="591" t="str">
        <f>SUBSTITUTE(S$17,"NGA","HET")</f>
        <v>Min share of HET in IOOI</v>
      </c>
    </row>
    <row r="19" spans="1:22">
      <c r="C19" s="192" t="s">
        <v>85</v>
      </c>
      <c r="D19" s="192"/>
      <c r="E19" s="192"/>
      <c r="F19" s="548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590"/>
    </row>
    <row r="20" spans="1:22">
      <c r="C20" s="9" t="str">
        <f ca="1">IPOI!B18</f>
        <v>IPOIELC000</v>
      </c>
      <c r="D20" s="9" t="s">
        <v>57</v>
      </c>
      <c r="E20" s="9" t="str">
        <f>C20</f>
        <v>IPOIELC000</v>
      </c>
      <c r="F20" s="304" t="s">
        <v>147</v>
      </c>
      <c r="G20" s="582">
        <f ca="1">MAX(0.02,SUM(IPOI!M18)/IPOI!M$22/$N$2)</f>
        <v>0.41270940605595902</v>
      </c>
      <c r="H20" s="543"/>
      <c r="I20" s="543"/>
      <c r="J20" s="543"/>
      <c r="K20" s="543">
        <f>($R20)/(1+(($R20)/G20-1)*(1+$Q20)^(G$6-K$6))</f>
        <v>0.44926782987121738</v>
      </c>
      <c r="L20" s="543">
        <f>($R20)/(1+(($R20)/K20-1)*(1+$Q20)^(K$6-L$6))</f>
        <v>0.56496713015008049</v>
      </c>
      <c r="M20" s="543">
        <f>($R20)/(1+(($R20)/L20-1)*(1+$Q20)^(L$6-M$6))</f>
        <v>0.6598561668876719</v>
      </c>
      <c r="N20" s="543">
        <f>($R20)/(1+(($R20)/M20-1)*(1+$Q20)^(M$6-N$6))</f>
        <v>0.72814541364663132</v>
      </c>
      <c r="O20" s="543">
        <f>($R20)/(1+(($R20)/N20-1)*(1+$Q20)^(N$6-O$6))</f>
        <v>0.80021072032039098</v>
      </c>
      <c r="P20" s="586">
        <f>($R20)/(1+(($R20)/O20-1)*(1+$Q20)^(O$6-P$6))</f>
        <v>0.83098548250386661</v>
      </c>
      <c r="Q20" s="9">
        <v>0.06</v>
      </c>
      <c r="R20" s="9">
        <f>MIN(0.9,MAX(G20^0.2,N$1))</f>
        <v>0.83777784909075259</v>
      </c>
      <c r="S20" s="591" t="str">
        <f>SUBSTITUTE(S$13,"COA","ELC")</f>
        <v>Max share of ELC in IPOI</v>
      </c>
    </row>
    <row r="21" spans="1:22">
      <c r="C21" s="9" t="str">
        <f ca="1">IND_Fuels!B55</f>
        <v>FT-INDELC0</v>
      </c>
      <c r="D21" s="9" t="s">
        <v>17</v>
      </c>
      <c r="E21" s="9" t="str">
        <f>C21</f>
        <v>FT-INDELC0</v>
      </c>
      <c r="F21" s="304" t="s">
        <v>725</v>
      </c>
      <c r="G21" s="610">
        <f ca="1">1-IEAData!AW43</f>
        <v>0.72121950026974457</v>
      </c>
      <c r="H21" s="118"/>
      <c r="I21" s="118"/>
      <c r="J21" s="118"/>
      <c r="K21" s="118">
        <f t="shared" ref="K21:P21" si="3">$G21*(1-$Q21)^(K$6-$G$6)</f>
        <v>0.71897163483066351</v>
      </c>
      <c r="L21" s="118">
        <f t="shared" si="3"/>
        <v>0.7115292267428075</v>
      </c>
      <c r="M21" s="118">
        <f t="shared" si="3"/>
        <v>0.70416385846495622</v>
      </c>
      <c r="N21" s="118">
        <f t="shared" si="3"/>
        <v>0.69687473252238719</v>
      </c>
      <c r="O21" s="118">
        <f t="shared" si="3"/>
        <v>0.68252205893390261</v>
      </c>
      <c r="P21" s="118">
        <f t="shared" si="3"/>
        <v>0.66154539931497591</v>
      </c>
      <c r="Q21" s="611">
        <v>1.0399999999999999E-3</v>
      </c>
      <c r="R21" s="9"/>
      <c r="S21" s="592" t="s">
        <v>107</v>
      </c>
    </row>
    <row r="22" spans="1:22">
      <c r="C22" s="192" t="s">
        <v>113</v>
      </c>
      <c r="D22" s="192"/>
      <c r="E22" s="192"/>
      <c r="F22" s="548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590"/>
    </row>
    <row r="23" spans="1:22">
      <c r="C23" s="9" t="str">
        <f ca="1">"\I: "&amp;ILP000!$B$7</f>
        <v>\I: ILPPUC000</v>
      </c>
      <c r="D23" s="9" t="s">
        <v>458</v>
      </c>
      <c r="E23" s="9" t="str">
        <f>C23</f>
        <v>\I: ILPPUC000</v>
      </c>
      <c r="F23" s="304" t="s">
        <v>147</v>
      </c>
      <c r="G23" s="585">
        <f ca="1">1-ILP000!O21/MAX(Tiny,ILP000!H55)</f>
        <v>0.75936638526000488</v>
      </c>
      <c r="H23" s="543"/>
      <c r="I23" s="543"/>
      <c r="J23" s="543"/>
      <c r="K23" s="543">
        <f>G23+0.01</f>
        <v>0.76936638526000489</v>
      </c>
      <c r="L23" s="543"/>
      <c r="M23" s="543"/>
      <c r="N23" s="543">
        <f>$G23+(1-$G23)*(N26-$G26)</f>
        <v>0.8587338182782881</v>
      </c>
      <c r="O23" s="543"/>
      <c r="P23" s="586">
        <f>$G23+(1-$G23)*(P26-$G26)</f>
        <v>0.87522434582264519</v>
      </c>
      <c r="Q23" s="9"/>
      <c r="R23" s="9"/>
      <c r="S23" s="591" t="s">
        <v>115</v>
      </c>
    </row>
    <row r="24" spans="1:22">
      <c r="C24" s="9" t="str">
        <f ca="1">"\I: "&amp;ILP000!$B$29</f>
        <v>\I: ILPPUR000</v>
      </c>
      <c r="D24" s="9" t="s">
        <v>458</v>
      </c>
      <c r="E24" s="9" t="str">
        <f>E23</f>
        <v>\I: ILPPUC000</v>
      </c>
      <c r="F24" s="304" t="s">
        <v>147</v>
      </c>
      <c r="G24" s="585"/>
      <c r="H24" s="543"/>
      <c r="I24" s="543"/>
      <c r="J24" s="543"/>
      <c r="K24" s="543">
        <v>1</v>
      </c>
      <c r="L24" s="543"/>
      <c r="M24" s="543"/>
      <c r="N24" s="543"/>
      <c r="O24" s="543"/>
      <c r="P24" s="586">
        <v>1</v>
      </c>
      <c r="Q24" s="9"/>
      <c r="R24" s="9"/>
      <c r="S24" s="591" t="s">
        <v>114</v>
      </c>
    </row>
    <row r="25" spans="1:22">
      <c r="C25" s="9" t="str">
        <f ca="1">"\I: "&amp;ILP000!$B$21</f>
        <v>\I: ILPPUM000</v>
      </c>
      <c r="D25" s="9" t="s">
        <v>458</v>
      </c>
      <c r="E25" s="9" t="str">
        <f>C25</f>
        <v>\I: ILPPUM000</v>
      </c>
      <c r="F25" s="304" t="s">
        <v>147</v>
      </c>
      <c r="G25" s="585">
        <f ca="1">1-G23</f>
        <v>0.24063361473999512</v>
      </c>
      <c r="H25" s="543"/>
      <c r="I25" s="543"/>
      <c r="J25" s="543"/>
      <c r="K25" s="543">
        <f>G25+0.01</f>
        <v>0.25063361473999513</v>
      </c>
      <c r="L25" s="543"/>
      <c r="M25" s="543"/>
      <c r="N25" s="543">
        <f>$G25+(1-$G25)/4</f>
        <v>0.43047521105499631</v>
      </c>
      <c r="O25" s="543"/>
      <c r="P25" s="586">
        <f>$G25+(1-$G25)/3</f>
        <v>0.49375574315999676</v>
      </c>
      <c r="Q25" s="9"/>
      <c r="R25" s="9"/>
      <c r="S25" s="591" t="s">
        <v>116</v>
      </c>
    </row>
    <row r="26" spans="1:22">
      <c r="C26" s="9" t="str">
        <f ca="1">"\I: "&amp;ILP000!$B$29</f>
        <v>\I: ILPPUR000</v>
      </c>
      <c r="D26" s="9" t="s">
        <v>458</v>
      </c>
      <c r="E26" s="9" t="str">
        <f>C26</f>
        <v>\I: ILPPUR000</v>
      </c>
      <c r="F26" s="304" t="s">
        <v>147</v>
      </c>
      <c r="G26" s="585">
        <f ca="1">ILP000!O29/MAX(Tiny,ILP000!H55)</f>
        <v>3.70592181160979E-2</v>
      </c>
      <c r="H26" s="543"/>
      <c r="I26" s="543"/>
      <c r="J26" s="543"/>
      <c r="K26" s="543">
        <f>G26+0.01</f>
        <v>4.7059218116097902E-2</v>
      </c>
      <c r="L26" s="543">
        <f>MAX(0.2,$G26+(1-$G26)*0.1)</f>
        <v>0.2</v>
      </c>
      <c r="M26" s="543">
        <f>MAX(0.4,$G26+(1-$G26)*0.2)</f>
        <v>0.4</v>
      </c>
      <c r="N26" s="543">
        <f>MAX(0.45,$G26+(1-$G26)*0.3)</f>
        <v>0.45</v>
      </c>
      <c r="O26" s="543"/>
      <c r="P26" s="586">
        <f>MAX(0.5,$G26+(1-$G26)*0.5)</f>
        <v>0.5185296090580489</v>
      </c>
      <c r="Q26" s="9"/>
      <c r="R26" s="9"/>
      <c r="S26" s="591" t="s">
        <v>117</v>
      </c>
    </row>
    <row r="27" spans="1:22">
      <c r="C27" s="320" t="str">
        <f ca="1">ILP000!$B$38</f>
        <v>ILPMIX100</v>
      </c>
      <c r="D27" s="320" t="s">
        <v>1224</v>
      </c>
      <c r="E27" s="320" t="str">
        <f>C27</f>
        <v>ILPMIX100</v>
      </c>
      <c r="F27" s="492" t="s">
        <v>440</v>
      </c>
      <c r="G27" s="587">
        <f ca="1">ILP000!H53/MAX(Tiny,ILP000!O50)</f>
        <v>0.49850535489525222</v>
      </c>
      <c r="H27" s="588">
        <v>3</v>
      </c>
      <c r="I27" s="587">
        <f ca="1">ILP000!G53/MAX(Tiny,ILP000!N50)</f>
        <v>0.61795007654362988</v>
      </c>
      <c r="J27" s="587">
        <f>G27</f>
        <v>0.49850535489525222</v>
      </c>
      <c r="K27" s="587"/>
      <c r="L27" s="587"/>
      <c r="M27" s="587"/>
      <c r="N27" s="587"/>
      <c r="O27" s="587"/>
      <c r="P27" s="587"/>
      <c r="Q27" s="320"/>
      <c r="R27" s="320"/>
      <c r="S27" s="593" t="s">
        <v>1225</v>
      </c>
    </row>
    <row r="28" spans="1:22">
      <c r="C28" s="192" t="s">
        <v>902</v>
      </c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590"/>
    </row>
    <row r="30" spans="1:22">
      <c r="A30" s="6"/>
      <c r="B30" s="6"/>
      <c r="S30" s="6"/>
      <c r="T30" s="6"/>
      <c r="U30" s="6"/>
      <c r="V30" s="6"/>
    </row>
    <row r="31" spans="1:22">
      <c r="A31" s="6"/>
      <c r="B31" s="6"/>
      <c r="E31" s="563" t="s">
        <v>1451</v>
      </c>
      <c r="F31" s="564">
        <v>0</v>
      </c>
      <c r="G31" s="564">
        <v>1E-3</v>
      </c>
      <c r="S31" s="6"/>
      <c r="T31" s="6"/>
      <c r="U31" s="6"/>
      <c r="V31" s="6"/>
    </row>
    <row r="32" spans="1:22">
      <c r="C32" s="6"/>
      <c r="D32" s="130"/>
      <c r="E32" s="130"/>
      <c r="F32" s="130"/>
      <c r="G32" s="130"/>
    </row>
    <row r="33" spans="3:13" ht="18">
      <c r="C33" s="124" t="s">
        <v>89</v>
      </c>
      <c r="D33" s="125"/>
      <c r="E33" s="567" t="str">
        <f>"~FI_T: "&amp;Region</f>
        <v>~FI_T: FIN</v>
      </c>
      <c r="L33" s="569" t="s">
        <v>1452</v>
      </c>
      <c r="M33" s="569"/>
    </row>
    <row r="34" spans="3:13" ht="26.25" thickBot="1">
      <c r="C34" s="25" t="s">
        <v>772</v>
      </c>
      <c r="D34" s="25" t="s">
        <v>773</v>
      </c>
      <c r="E34" s="566" t="s">
        <v>778</v>
      </c>
      <c r="F34" s="25" t="s">
        <v>1083</v>
      </c>
      <c r="G34" s="25" t="str">
        <f ca="1">"DEMAND~"&amp;AuxYear</f>
        <v>DEMAND~2017</v>
      </c>
      <c r="H34" s="25" t="s">
        <v>1085</v>
      </c>
      <c r="I34" s="25" t="str">
        <f ca="1">"COM_IE~"&amp;AuxYear</f>
        <v>COM_IE~2017</v>
      </c>
      <c r="L34" s="568">
        <f ca="1">BaseYear</f>
        <v>2010</v>
      </c>
      <c r="M34" s="568">
        <f ca="1">AuxYear</f>
        <v>2017</v>
      </c>
    </row>
    <row r="35" spans="3:13">
      <c r="C35" s="9" t="str">
        <f ca="1">IIS000!B75</f>
        <v>IIS</v>
      </c>
      <c r="D35" s="9" t="str">
        <f ca="1">IIS000!C75</f>
        <v>Iron and Steel</v>
      </c>
      <c r="E35" s="565" t="str">
        <f ca="1">IIS000!D75</f>
        <v>Mt</v>
      </c>
      <c r="F35" s="304">
        <f t="shared" ref="F35:F50" si="4">MAX(F$31,H35*L35)</f>
        <v>1</v>
      </c>
      <c r="G35" s="304">
        <f t="shared" ref="G35:G50" si="5">MAX(G$31,I35*M35)</f>
        <v>1</v>
      </c>
      <c r="H35" s="523">
        <f t="shared" ref="H35:H50" si="6">IF(L35,1/L35,1)</f>
        <v>0.24813895781637715</v>
      </c>
      <c r="I35" s="523">
        <f t="shared" ref="I35:I50" si="7">IF(M35,1/M35,1)</f>
        <v>0.24980015987210233</v>
      </c>
      <c r="L35" s="523">
        <f ca="1">IIS000!E75</f>
        <v>4.03</v>
      </c>
      <c r="M35" s="523">
        <f ca="1">IIS000!F75</f>
        <v>4.0031999999999996</v>
      </c>
    </row>
    <row r="36" spans="3:13">
      <c r="C36" s="9" t="str">
        <f ca="1">INF000!B62</f>
        <v>INF</v>
      </c>
      <c r="D36" s="9" t="str">
        <f ca="1">INF000!C62</f>
        <v>Non-ferrous metals</v>
      </c>
      <c r="E36" s="565" t="str">
        <f ca="1">INF000!D62</f>
        <v>Mt</v>
      </c>
      <c r="F36" s="304">
        <f t="shared" si="4"/>
        <v>1</v>
      </c>
      <c r="G36" s="304">
        <f t="shared" si="5"/>
        <v>1</v>
      </c>
      <c r="H36" s="523">
        <f t="shared" si="6"/>
        <v>2.2632422302894235</v>
      </c>
      <c r="I36" s="523">
        <f t="shared" si="7"/>
        <v>2.2653009545709994</v>
      </c>
      <c r="L36" s="523">
        <f ca="1">INF000!E62</f>
        <v>0.44184400000000001</v>
      </c>
      <c r="M36" s="523">
        <f ca="1">INF000!F62</f>
        <v>0.44144244851094372</v>
      </c>
    </row>
    <row r="37" spans="3:13">
      <c r="C37" s="9" t="str">
        <f ca="1">ICH000!B81</f>
        <v>ICH</v>
      </c>
      <c r="D37" s="9" t="str">
        <f ca="1">ICH000!C81</f>
        <v>Chemicals</v>
      </c>
      <c r="E37" s="565" t="str">
        <f ca="1">ICH000!D81</f>
        <v>PJ</v>
      </c>
      <c r="F37" s="304">
        <f t="shared" si="4"/>
        <v>0.99999999999999989</v>
      </c>
      <c r="G37" s="304">
        <f t="shared" si="5"/>
        <v>1</v>
      </c>
      <c r="H37" s="523">
        <f t="shared" si="6"/>
        <v>1.3043211703657005</v>
      </c>
      <c r="I37" s="523">
        <f t="shared" si="7"/>
        <v>1.318828785225755</v>
      </c>
      <c r="L37" s="523">
        <f ca="1">ICH000!E81</f>
        <v>0.76668233462746282</v>
      </c>
      <c r="M37" s="523">
        <f ca="1">ICH000!F81</f>
        <v>0.75824853931196357</v>
      </c>
    </row>
    <row r="38" spans="3:13">
      <c r="C38" s="9" t="str">
        <f ca="1">INM000!B78</f>
        <v>INM</v>
      </c>
      <c r="D38" s="9" t="str">
        <f ca="1">INM000!C78</f>
        <v>Non Metals</v>
      </c>
      <c r="E38" s="565" t="str">
        <f ca="1">INM000!D78</f>
        <v>Mt</v>
      </c>
      <c r="F38" s="304">
        <f t="shared" si="4"/>
        <v>1</v>
      </c>
      <c r="G38" s="304">
        <f t="shared" si="5"/>
        <v>1</v>
      </c>
      <c r="H38" s="523">
        <f t="shared" si="6"/>
        <v>0.48535960910352383</v>
      </c>
      <c r="I38" s="523">
        <f t="shared" si="7"/>
        <v>0.46877248386170484</v>
      </c>
      <c r="L38" s="523">
        <f ca="1">INM000!E78</f>
        <v>2.0603280150300001</v>
      </c>
      <c r="M38" s="523">
        <f ca="1">INM000!F78</f>
        <v>2.1332310116884239</v>
      </c>
    </row>
    <row r="39" spans="3:13">
      <c r="C39" s="9" t="str">
        <f ca="1">ILP000!B80</f>
        <v>ILP</v>
      </c>
      <c r="D39" s="9" t="str">
        <f ca="1">ILP000!C80</f>
        <v>Pulp and Paper</v>
      </c>
      <c r="E39" s="565" t="str">
        <f ca="1">ILP000!D80</f>
        <v>Mt</v>
      </c>
      <c r="F39" s="304">
        <f t="shared" si="4"/>
        <v>1</v>
      </c>
      <c r="G39" s="304">
        <f t="shared" si="5"/>
        <v>1</v>
      </c>
      <c r="H39" s="523">
        <f t="shared" si="6"/>
        <v>8.5048477632250388E-2</v>
      </c>
      <c r="I39" s="523">
        <f t="shared" si="7"/>
        <v>9.7313959551258086E-2</v>
      </c>
      <c r="L39" s="523">
        <f ca="1">ILP000!E80</f>
        <v>11.757999999999999</v>
      </c>
      <c r="M39" s="523">
        <f ca="1">ILP000!F80</f>
        <v>10.276018000000001</v>
      </c>
    </row>
    <row r="40" spans="3:13">
      <c r="C40" s="9" t="str">
        <f ca="1">ILP000!B81</f>
        <v>ILPNFR</v>
      </c>
      <c r="D40" s="9" t="str">
        <f ca="1">ILP000!C81</f>
        <v>New fibres</v>
      </c>
      <c r="E40" s="565" t="str">
        <f ca="1">ILP000!D81</f>
        <v>Mt</v>
      </c>
      <c r="F40" s="304">
        <f t="shared" si="4"/>
        <v>0</v>
      </c>
      <c r="G40" s="304">
        <f t="shared" si="5"/>
        <v>1</v>
      </c>
      <c r="H40" s="523">
        <f t="shared" si="6"/>
        <v>1</v>
      </c>
      <c r="I40" s="523">
        <f t="shared" si="7"/>
        <v>2.4096385542168677</v>
      </c>
      <c r="L40" s="523">
        <f ca="1">ILP000!E81</f>
        <v>0</v>
      </c>
      <c r="M40" s="523">
        <f ca="1">ILP000!F81</f>
        <v>0.41499999999999998</v>
      </c>
    </row>
    <row r="41" spans="3:13">
      <c r="C41" s="9" t="str">
        <f ca="1">IOI000!B86</f>
        <v>IOT</v>
      </c>
      <c r="D41" s="9" t="str">
        <f ca="1">IOI000!C86</f>
        <v>Transport equipment</v>
      </c>
      <c r="E41" s="565" t="str">
        <f ca="1">IOI000!D86</f>
        <v>PJ</v>
      </c>
      <c r="F41" s="304">
        <f t="shared" si="4"/>
        <v>0.99999999999999989</v>
      </c>
      <c r="G41" s="304">
        <f t="shared" si="5"/>
        <v>1</v>
      </c>
      <c r="H41" s="523">
        <f t="shared" si="6"/>
        <v>0.3350940976586973</v>
      </c>
      <c r="I41" s="523">
        <f t="shared" si="7"/>
        <v>0.47219152471731396</v>
      </c>
      <c r="L41" s="523">
        <f ca="1">IOI000!E86</f>
        <v>2.9842363890829491</v>
      </c>
      <c r="M41" s="523">
        <f ca="1">IOI000!F86</f>
        <v>2.1177847285562108</v>
      </c>
    </row>
    <row r="42" spans="3:13">
      <c r="C42" s="9" t="str">
        <f ca="1">IOI000!B87</f>
        <v>IOM</v>
      </c>
      <c r="D42" s="9" t="str">
        <f ca="1">IOI000!C87</f>
        <v>Machinery and equipment</v>
      </c>
      <c r="E42" s="565" t="str">
        <f ca="1">IOI000!D87</f>
        <v>PJ</v>
      </c>
      <c r="F42" s="304">
        <f t="shared" si="4"/>
        <v>1</v>
      </c>
      <c r="G42" s="304">
        <f t="shared" si="5"/>
        <v>1</v>
      </c>
      <c r="H42" s="523">
        <f t="shared" si="6"/>
        <v>0.10485139361573541</v>
      </c>
      <c r="I42" s="523">
        <f t="shared" si="7"/>
        <v>0.11358314693603463</v>
      </c>
      <c r="L42" s="523">
        <f ca="1">IOI000!E87</f>
        <v>9.5373076648351436</v>
      </c>
      <c r="M42" s="523">
        <f ca="1">IOI000!F87</f>
        <v>8.8041230321181274</v>
      </c>
    </row>
    <row r="43" spans="3:13">
      <c r="C43" s="9" t="str">
        <f ca="1">IOI000!B88</f>
        <v>IOQ</v>
      </c>
      <c r="D43" s="9" t="str">
        <f ca="1">IOI000!C88</f>
        <v>Mining and quarrying</v>
      </c>
      <c r="E43" s="565" t="str">
        <f ca="1">IOI000!D88</f>
        <v>PJ</v>
      </c>
      <c r="F43" s="304">
        <f t="shared" si="4"/>
        <v>1</v>
      </c>
      <c r="G43" s="304">
        <f t="shared" si="5"/>
        <v>1</v>
      </c>
      <c r="H43" s="523">
        <f t="shared" si="6"/>
        <v>0.18856819209145048</v>
      </c>
      <c r="I43" s="523">
        <f t="shared" si="7"/>
        <v>0.18856819209145048</v>
      </c>
      <c r="L43" s="523">
        <f ca="1">IOI000!E88</f>
        <v>5.3031213213044275</v>
      </c>
      <c r="M43" s="523">
        <f ca="1">IOI000!F88</f>
        <v>5.3031213213044275</v>
      </c>
    </row>
    <row r="44" spans="3:13">
      <c r="C44" s="9" t="str">
        <f ca="1">IOI000!B89</f>
        <v>IOF</v>
      </c>
      <c r="D44" s="9" t="str">
        <f ca="1">IOI000!C89</f>
        <v>Foodstuff</v>
      </c>
      <c r="E44" s="565" t="str">
        <f ca="1">IOI000!D89</f>
        <v>PJ</v>
      </c>
      <c r="F44" s="304">
        <f t="shared" si="4"/>
        <v>1</v>
      </c>
      <c r="G44" s="304">
        <f t="shared" si="5"/>
        <v>1</v>
      </c>
      <c r="H44" s="523">
        <f t="shared" si="6"/>
        <v>8.1588884718866786E-2</v>
      </c>
      <c r="I44" s="523">
        <f t="shared" si="7"/>
        <v>7.683801423980266E-2</v>
      </c>
      <c r="L44" s="523">
        <f ca="1">IOI000!E89</f>
        <v>12.256571510270417</v>
      </c>
      <c r="M44" s="523">
        <f ca="1">IOI000!F89</f>
        <v>13.014391507816876</v>
      </c>
    </row>
    <row r="45" spans="3:13">
      <c r="C45" s="9" t="str">
        <f ca="1">IOI000!B90</f>
        <v>IOW</v>
      </c>
      <c r="D45" s="9" t="str">
        <f ca="1">IOI000!C90</f>
        <v>Wood processing</v>
      </c>
      <c r="E45" s="565" t="str">
        <f ca="1">IOI000!D90</f>
        <v>PJ</v>
      </c>
      <c r="F45" s="304">
        <f t="shared" si="4"/>
        <v>1</v>
      </c>
      <c r="G45" s="304">
        <f t="shared" si="5"/>
        <v>0.99999999999999989</v>
      </c>
      <c r="H45" s="523">
        <f t="shared" si="6"/>
        <v>9.5239718848540364E-2</v>
      </c>
      <c r="I45" s="523">
        <f t="shared" si="7"/>
        <v>7.6324225309113106E-2</v>
      </c>
      <c r="L45" s="523">
        <f ca="1">IOI000!E90</f>
        <v>10.499821000000001</v>
      </c>
      <c r="M45" s="523">
        <f ca="1">IOI000!F90</f>
        <v>13.102</v>
      </c>
    </row>
    <row r="46" spans="3:13">
      <c r="C46" s="9" t="str">
        <f ca="1">IOI000!B91</f>
        <v>IOC</v>
      </c>
      <c r="D46" s="9" t="str">
        <f ca="1">IOI000!C91</f>
        <v>Construction</v>
      </c>
      <c r="E46" s="565" t="str">
        <f ca="1">IOI000!D91</f>
        <v>PJ</v>
      </c>
      <c r="F46" s="304">
        <f t="shared" si="4"/>
        <v>1</v>
      </c>
      <c r="G46" s="304">
        <f t="shared" si="5"/>
        <v>1</v>
      </c>
      <c r="H46" s="523">
        <f t="shared" si="6"/>
        <v>6.7804079415965321E-2</v>
      </c>
      <c r="I46" s="523">
        <f t="shared" si="7"/>
        <v>7.2918148246307213E-2</v>
      </c>
      <c r="L46" s="523">
        <f ca="1">IOI000!E91</f>
        <v>14.748375151075903</v>
      </c>
      <c r="M46" s="523">
        <f ca="1">IOI000!F91</f>
        <v>13.714007062029896</v>
      </c>
    </row>
    <row r="47" spans="3:13">
      <c r="C47" s="9" t="str">
        <f ca="1">IOI000!B92</f>
        <v>IOI</v>
      </c>
      <c r="D47" s="9" t="str">
        <f ca="1">IOI000!C92</f>
        <v>Other Industries</v>
      </c>
      <c r="E47" s="565" t="str">
        <f ca="1">IOI000!D92</f>
        <v>PJ</v>
      </c>
      <c r="F47" s="304">
        <f t="shared" si="4"/>
        <v>1</v>
      </c>
      <c r="G47" s="304">
        <f t="shared" si="5"/>
        <v>1</v>
      </c>
      <c r="H47" s="523">
        <f t="shared" si="6"/>
        <v>4.6995024558653037E-2</v>
      </c>
      <c r="I47" s="523">
        <f t="shared" si="7"/>
        <v>8.690595446132382E-2</v>
      </c>
      <c r="L47" s="523">
        <f ca="1">IOI000!E92</f>
        <v>21.278848333230062</v>
      </c>
      <c r="M47" s="523">
        <f ca="1">IOI000!F92</f>
        <v>11.506691413705546</v>
      </c>
    </row>
    <row r="48" spans="3:13">
      <c r="C48" s="9" t="str">
        <f ca="1">IOI000!B93</f>
        <v>ONO</v>
      </c>
      <c r="D48" s="9" t="str">
        <f ca="1">IOI000!C93</f>
        <v>Other non-specified consumption</v>
      </c>
      <c r="E48" s="565" t="str">
        <f ca="1">IOI000!D93</f>
        <v>PJ</v>
      </c>
      <c r="F48" s="304">
        <f t="shared" si="4"/>
        <v>1</v>
      </c>
      <c r="G48" s="304">
        <f t="shared" si="5"/>
        <v>1</v>
      </c>
      <c r="H48" s="523">
        <f t="shared" si="6"/>
        <v>0.2455970865361867</v>
      </c>
      <c r="I48" s="523">
        <f t="shared" si="7"/>
        <v>0.2455970865361867</v>
      </c>
      <c r="L48" s="523">
        <f ca="1">IOI000!E93</f>
        <v>4.0717095390000004</v>
      </c>
      <c r="M48" s="523">
        <f ca="1">IOI000!F93</f>
        <v>4.0717095390000004</v>
      </c>
    </row>
    <row r="49" spans="3:13">
      <c r="C49" s="9" t="str">
        <f ca="1">IOI000!B94</f>
        <v>NEO</v>
      </c>
      <c r="D49" s="9" t="str">
        <f ca="1">IOI000!C94</f>
        <v>Industrial and Other Non Energy Uses</v>
      </c>
      <c r="E49" s="565" t="str">
        <f ca="1">IOI000!D94</f>
        <v>PJ</v>
      </c>
      <c r="F49" s="304">
        <f t="shared" si="4"/>
        <v>0.99999999999999989</v>
      </c>
      <c r="G49" s="304">
        <f t="shared" si="5"/>
        <v>0.99999999999999989</v>
      </c>
      <c r="H49" s="523">
        <f t="shared" si="6"/>
        <v>7.7220085568194569E-2</v>
      </c>
      <c r="I49" s="523">
        <f t="shared" si="7"/>
        <v>7.7220085568194569E-2</v>
      </c>
      <c r="L49" s="523">
        <f ca="1">IOI000!E94</f>
        <v>12.949998600000001</v>
      </c>
      <c r="M49" s="523">
        <f ca="1">IOI000!F94</f>
        <v>12.949998600000001</v>
      </c>
    </row>
    <row r="50" spans="3:13">
      <c r="C50" s="9" t="str">
        <f ca="1">IOI000!B95</f>
        <v>I00</v>
      </c>
      <c r="D50" s="9" t="str">
        <f ca="1">IOI000!C95</f>
        <v>Other Industrial consumption</v>
      </c>
      <c r="E50" s="565" t="str">
        <f ca="1">IOI000!D95</f>
        <v>PJ</v>
      </c>
      <c r="F50" s="304">
        <f t="shared" si="4"/>
        <v>1</v>
      </c>
      <c r="G50" s="304">
        <f t="shared" si="5"/>
        <v>1</v>
      </c>
      <c r="H50" s="523">
        <f t="shared" si="6"/>
        <v>1</v>
      </c>
      <c r="I50" s="523">
        <f t="shared" si="7"/>
        <v>1</v>
      </c>
      <c r="L50" s="523">
        <f ca="1">IOI000!E95</f>
        <v>1</v>
      </c>
      <c r="M50" s="523">
        <f ca="1">IOI000!F95</f>
        <v>1</v>
      </c>
    </row>
    <row r="54" spans="3:13">
      <c r="F54" s="570" t="str">
        <f>"~FI_T: "&amp;Region</f>
        <v>~FI_T: FIN</v>
      </c>
    </row>
    <row r="55" spans="3:13" ht="13.5" thickBot="1">
      <c r="C55" s="364" t="s">
        <v>772</v>
      </c>
      <c r="D55" s="25" t="s">
        <v>773</v>
      </c>
      <c r="E55" s="510" t="s">
        <v>1443</v>
      </c>
      <c r="F55" s="571" t="s">
        <v>1447</v>
      </c>
      <c r="G55" s="25">
        <f ca="1">BaseYear</f>
        <v>2010</v>
      </c>
      <c r="H55" s="515">
        <f ca="1">AuxYear</f>
        <v>2017</v>
      </c>
    </row>
    <row r="56" spans="3:13">
      <c r="C56" s="9" t="s">
        <v>1182</v>
      </c>
      <c r="D56" s="9" t="str">
        <f ca="1">COMM!D138</f>
        <v xml:space="preserve">Pulp for printing &amp; writing paper </v>
      </c>
      <c r="E56" s="9" t="s">
        <v>1085</v>
      </c>
      <c r="F56" s="572"/>
      <c r="G56" s="445">
        <f ca="1">1/Drivers!$L121</f>
        <v>1.4734374772569434</v>
      </c>
      <c r="H56" s="445">
        <f ca="1">1/Driver2!$L121</f>
        <v>1.4749262536873156</v>
      </c>
    </row>
    <row r="57" spans="3:13">
      <c r="C57" s="9" t="s">
        <v>1183</v>
      </c>
      <c r="D57" s="9" t="str">
        <f ca="1">COMM!D139</f>
        <v>Pulp for other paper and board</v>
      </c>
      <c r="E57" s="9" t="s">
        <v>1085</v>
      </c>
      <c r="F57" s="572"/>
      <c r="G57" s="445">
        <f ca="1">1/Drivers!$L122</f>
        <v>1.0314062340798604</v>
      </c>
      <c r="H57" s="445">
        <f ca="1">1/Driver2!$L122</f>
        <v>1.0384215991692627</v>
      </c>
    </row>
    <row r="58" spans="3:13">
      <c r="C58" s="9" t="s">
        <v>728</v>
      </c>
      <c r="D58" s="9" t="s">
        <v>1087</v>
      </c>
      <c r="E58" s="9" t="s">
        <v>1086</v>
      </c>
      <c r="F58" s="573" t="s">
        <v>1448</v>
      </c>
      <c r="G58" s="445">
        <v>0.5</v>
      </c>
      <c r="H58" s="445"/>
    </row>
    <row r="59" spans="3:13" ht="15">
      <c r="C59" s="423" t="s">
        <v>909</v>
      </c>
      <c r="D59" s="423"/>
      <c r="E59" s="423" t="s">
        <v>1314</v>
      </c>
      <c r="F59" s="574"/>
      <c r="G59" s="424">
        <f ca="1">MAX(SUM(IEAData!BL62:BL63)*1.2,SUM(IEAData!BL62:BL63)+11,SUM(AuxData!BL62:BL63)*1.2,SUM(AuxData!BL62:BL63)+11)</f>
        <v>31.332377154952368</v>
      </c>
      <c r="H59" s="42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B2:I19"/>
  <sheetViews>
    <sheetView zoomScale="75" workbookViewId="0">
      <selection activeCell="J20" sqref="J20"/>
    </sheetView>
  </sheetViews>
  <sheetFormatPr defaultColWidth="8.85546875" defaultRowHeight="12.75"/>
  <cols>
    <col min="1" max="1" width="8.85546875" customWidth="1"/>
    <col min="2" max="2" width="13.28515625" customWidth="1"/>
    <col min="3" max="3" width="28.7109375" bestFit="1" customWidth="1"/>
    <col min="4" max="4" width="13.7109375" bestFit="1" customWidth="1"/>
    <col min="5" max="5" width="14.28515625" bestFit="1" customWidth="1"/>
    <col min="6" max="11" width="11.28515625" bestFit="1" customWidth="1"/>
  </cols>
  <sheetData>
    <row r="2" spans="2:9">
      <c r="C2" s="216" t="s">
        <v>647</v>
      </c>
    </row>
    <row r="3" spans="2:9" ht="26.25" thickBot="1">
      <c r="B3" s="25" t="s">
        <v>772</v>
      </c>
      <c r="C3" s="25" t="s">
        <v>773</v>
      </c>
      <c r="D3" s="25" t="s">
        <v>1013</v>
      </c>
      <c r="E3" s="25" t="s">
        <v>1012</v>
      </c>
      <c r="F3" s="25" t="str">
        <f>"COM_ELAST~UP"</f>
        <v>COM_ELAST~UP</v>
      </c>
      <c r="G3" s="25" t="str">
        <f>"COM_ELAST~LO"</f>
        <v>COM_ELAST~LO</v>
      </c>
      <c r="H3" s="25"/>
      <c r="I3" s="25"/>
    </row>
    <row r="4" spans="2:9">
      <c r="B4" s="66" t="str">
        <f ca="1">INF000!B62</f>
        <v>INF</v>
      </c>
      <c r="C4" s="66" t="str">
        <f ca="1">INF000!C62</f>
        <v>Non-ferrous metals</v>
      </c>
      <c r="D4" s="177">
        <v>5</v>
      </c>
      <c r="E4" s="177">
        <v>12</v>
      </c>
      <c r="F4" s="12">
        <v>-0.1</v>
      </c>
      <c r="G4" s="12">
        <v>-0.35</v>
      </c>
      <c r="H4" s="12"/>
      <c r="I4" s="12"/>
    </row>
    <row r="5" spans="2:9">
      <c r="B5" s="9" t="str">
        <f ca="1">IIS000!B75</f>
        <v>IIS</v>
      </c>
      <c r="C5" s="9" t="str">
        <f ca="1">IIS000!C6</f>
        <v>Existing Basic Oxygen Furnace</v>
      </c>
      <c r="D5" s="177">
        <v>5</v>
      </c>
      <c r="E5" s="177">
        <v>12</v>
      </c>
      <c r="F5" s="12">
        <v>-0.1</v>
      </c>
      <c r="G5" s="12">
        <v>-0.35</v>
      </c>
      <c r="H5" s="12"/>
      <c r="I5" s="12"/>
    </row>
    <row r="6" spans="2:9">
      <c r="B6" s="9" t="str">
        <f ca="1">ICH000!B81</f>
        <v>ICH</v>
      </c>
      <c r="C6" s="9" t="str">
        <f ca="1">ICH000!C81</f>
        <v>Chemicals</v>
      </c>
      <c r="D6" s="177">
        <v>5</v>
      </c>
      <c r="E6" s="177">
        <v>12</v>
      </c>
      <c r="F6" s="12">
        <v>-0.1</v>
      </c>
      <c r="G6" s="12">
        <v>-0.35</v>
      </c>
      <c r="H6" s="12"/>
      <c r="I6" s="12"/>
    </row>
    <row r="7" spans="2:9">
      <c r="B7" s="9" t="str">
        <f ca="1">INM000!B78</f>
        <v>INM</v>
      </c>
      <c r="C7" s="9" t="str">
        <f ca="1">INM000!C78</f>
        <v>Non Metals</v>
      </c>
      <c r="D7" s="177">
        <v>5</v>
      </c>
      <c r="E7" s="177">
        <v>12</v>
      </c>
      <c r="F7" s="12">
        <v>-0.1</v>
      </c>
      <c r="G7" s="12">
        <v>-0.35</v>
      </c>
      <c r="H7" s="12"/>
      <c r="I7" s="12"/>
    </row>
    <row r="8" spans="2:9">
      <c r="B8" s="9" t="str">
        <f ca="1">ILP000!B80</f>
        <v>ILP</v>
      </c>
      <c r="C8" s="9" t="str">
        <f ca="1">ILP000!C80</f>
        <v>Pulp and Paper</v>
      </c>
      <c r="D8" s="177">
        <v>5</v>
      </c>
      <c r="E8" s="177">
        <v>12</v>
      </c>
      <c r="F8" s="12">
        <v>-0.1</v>
      </c>
      <c r="G8" s="12">
        <v>-0.35</v>
      </c>
      <c r="H8" s="12"/>
      <c r="I8" s="12"/>
    </row>
    <row r="9" spans="2:9">
      <c r="B9" s="9" t="str">
        <f ca="1">IOI000!B92</f>
        <v>IOI</v>
      </c>
      <c r="C9" s="9" t="str">
        <f ca="1">IOI000!C92</f>
        <v>Other Industries</v>
      </c>
      <c r="D9" s="177">
        <v>5</v>
      </c>
      <c r="E9" s="177">
        <v>12</v>
      </c>
      <c r="F9" s="12">
        <v>-0.1</v>
      </c>
      <c r="G9" s="12">
        <v>-0.25</v>
      </c>
      <c r="H9" s="12"/>
      <c r="I9" s="12"/>
    </row>
    <row r="10" spans="2:9">
      <c r="B10" s="9" t="s">
        <v>151</v>
      </c>
      <c r="C10" s="9" t="str">
        <f ca="1">ONO!C6</f>
        <v>Other non-specified consumption</v>
      </c>
      <c r="D10" s="177">
        <v>5</v>
      </c>
      <c r="E10" s="177">
        <v>12</v>
      </c>
      <c r="F10" s="12">
        <v>-0.1</v>
      </c>
      <c r="G10" s="12">
        <v>-0.3</v>
      </c>
      <c r="H10" s="12"/>
      <c r="I10" s="12"/>
    </row>
    <row r="16" spans="2:9">
      <c r="B16" s="297" t="s">
        <v>1006</v>
      </c>
    </row>
    <row r="17" spans="2:4" ht="13.5" thickBot="1">
      <c r="B17" s="366" t="s">
        <v>772</v>
      </c>
      <c r="C17" s="367" t="s">
        <v>946</v>
      </c>
      <c r="D17" s="367" t="str">
        <f ca="1">COMM!$C$147</f>
        <v>MANRCP</v>
      </c>
    </row>
    <row r="18" spans="2:4">
      <c r="B18" s="413" t="s">
        <v>728</v>
      </c>
      <c r="C18" s="365">
        <v>1</v>
      </c>
      <c r="D18" s="412"/>
    </row>
    <row r="19" spans="2:4">
      <c r="B19" s="365" t="str">
        <f ca="1">COMM!$C$137</f>
        <v>ILPPUL</v>
      </c>
      <c r="C19" s="365"/>
      <c r="D19" s="368">
        <f ca="1">IF(ILP000!N50,ILP000!N29/ILP000!N50/0.9,0)</f>
        <v>5.0233996711458818E-2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">
    <pageSetUpPr fitToPage="1"/>
  </sheetPr>
  <dimension ref="A1:IV90"/>
  <sheetViews>
    <sheetView topLeftCell="AC1" zoomScale="75" workbookViewId="0">
      <selection activeCell="AQ51" sqref="AQ51:AV88"/>
    </sheetView>
  </sheetViews>
  <sheetFormatPr defaultColWidth="8.85546875" defaultRowHeight="12.75"/>
  <cols>
    <col min="1" max="1" width="17.42578125" customWidth="1"/>
    <col min="2" max="2" width="8.85546875" customWidth="1"/>
    <col min="3" max="3" width="21.85546875" bestFit="1" customWidth="1"/>
    <col min="4" max="5" width="12" customWidth="1"/>
    <col min="6" max="6" width="10.85546875" customWidth="1"/>
    <col min="7" max="7" width="12.7109375" customWidth="1"/>
    <col min="8" max="8" width="12" customWidth="1"/>
    <col min="9" max="9" width="11" customWidth="1"/>
    <col min="10" max="10" width="10.85546875" customWidth="1"/>
    <col min="11" max="11" width="9.42578125" customWidth="1"/>
    <col min="12" max="12" width="9.5703125" customWidth="1"/>
    <col min="13" max="14" width="12" customWidth="1"/>
    <col min="15" max="15" width="10.28515625" customWidth="1"/>
    <col min="16" max="16" width="9.28515625" customWidth="1"/>
    <col min="17" max="17" width="10" customWidth="1"/>
    <col min="18" max="18" width="9.5703125" customWidth="1"/>
    <col min="19" max="19" width="12.28515625" customWidth="1"/>
    <col min="20" max="20" width="10.42578125" customWidth="1"/>
    <col min="21" max="21" width="10.7109375" customWidth="1"/>
    <col min="22" max="22" width="9.42578125" customWidth="1"/>
    <col min="23" max="23" width="8.85546875" customWidth="1"/>
    <col min="24" max="25" width="11.5703125" customWidth="1"/>
    <col min="26" max="26" width="10.42578125" customWidth="1"/>
    <col min="27" max="27" width="10" customWidth="1"/>
    <col min="28" max="28" width="9.28515625" customWidth="1"/>
    <col min="29" max="29" width="8.42578125" customWidth="1"/>
    <col min="30" max="31" width="8.5703125" customWidth="1"/>
    <col min="32" max="33" width="9.28515625" customWidth="1"/>
    <col min="34" max="34" width="8.42578125" customWidth="1"/>
    <col min="35" max="35" width="8.85546875" customWidth="1"/>
    <col min="36" max="36" width="9" customWidth="1"/>
    <col min="37" max="37" width="7.7109375" customWidth="1"/>
    <col min="38" max="38" width="8.85546875" customWidth="1"/>
    <col min="39" max="39" width="10.85546875" customWidth="1"/>
    <col min="40" max="40" width="8.85546875" customWidth="1"/>
    <col min="41" max="41" width="11" customWidth="1"/>
    <col min="42" max="47" width="8.85546875" customWidth="1"/>
    <col min="48" max="48" width="9.5703125" customWidth="1"/>
    <col min="49" max="50" width="8.85546875" customWidth="1"/>
    <col min="51" max="51" width="9.7109375" customWidth="1"/>
    <col min="52" max="70" width="8.85546875" customWidth="1"/>
    <col min="71" max="71" width="22.85546875" customWidth="1"/>
    <col min="72" max="72" width="8.85546875" customWidth="1"/>
    <col min="73" max="73" width="26.5703125" customWidth="1"/>
  </cols>
  <sheetData>
    <row r="1" spans="1:256" ht="18">
      <c r="A1" s="202" t="s">
        <v>873</v>
      </c>
      <c r="B1" s="203"/>
      <c r="C1" s="214" t="s">
        <v>808</v>
      </c>
      <c r="D1" s="38" t="str">
        <f>Region</f>
        <v>FIM</v>
      </c>
      <c r="E1" s="203"/>
      <c r="F1" s="203"/>
      <c r="G1" s="203"/>
      <c r="H1" s="20" t="s">
        <v>749</v>
      </c>
      <c r="I1" s="20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X1" s="317" t="s">
        <v>573</v>
      </c>
      <c r="AY1" s="317" t="str">
        <f ca="1">MID(CELL("filename",AX1),FIND("VT_",CELL("filename",AX1))+3,3)</f>
        <v>FI_</v>
      </c>
      <c r="AZ1" s="317" t="s">
        <v>829</v>
      </c>
      <c r="BA1" s="318">
        <v>1.0000000000000001E-9</v>
      </c>
    </row>
    <row r="2" spans="1:256">
      <c r="A2" s="203"/>
      <c r="B2" s="203"/>
      <c r="C2" s="214" t="s">
        <v>809</v>
      </c>
      <c r="D2" s="39">
        <v>2010</v>
      </c>
      <c r="E2" s="203"/>
      <c r="F2" s="203"/>
      <c r="G2" s="203"/>
      <c r="H2" s="60" t="s">
        <v>750</v>
      </c>
      <c r="I2" s="60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</row>
    <row r="3" spans="1:256" ht="18">
      <c r="A3" s="203"/>
      <c r="B3" s="203"/>
      <c r="C3" s="214" t="s">
        <v>810</v>
      </c>
      <c r="D3" s="42">
        <v>4.1868000000000002E-2</v>
      </c>
      <c r="E3" s="208" t="s">
        <v>985</v>
      </c>
      <c r="F3" s="203"/>
      <c r="G3" s="203"/>
      <c r="H3" s="177" t="s">
        <v>751</v>
      </c>
      <c r="I3" s="177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Q3" s="87" t="s">
        <v>732</v>
      </c>
      <c r="AR3" s="89"/>
      <c r="AS3" s="90"/>
      <c r="AT3" s="95"/>
      <c r="AU3" s="91"/>
      <c r="AV3" s="91"/>
      <c r="AX3" s="87" t="s">
        <v>733</v>
      </c>
      <c r="AY3" s="89"/>
      <c r="AZ3" s="90"/>
      <c r="BA3" s="95"/>
      <c r="BB3" s="14"/>
      <c r="BE3" s="86" t="s">
        <v>734</v>
      </c>
      <c r="BF3" s="89"/>
      <c r="BG3" s="90"/>
      <c r="BH3" s="95"/>
      <c r="BI3" s="91"/>
      <c r="BJ3" s="91"/>
      <c r="BK3" s="91"/>
      <c r="BL3" s="91"/>
      <c r="BM3" s="91"/>
    </row>
    <row r="4" spans="1:256">
      <c r="A4" s="203"/>
      <c r="B4" s="203"/>
      <c r="C4" s="203"/>
      <c r="D4" s="203"/>
      <c r="E4" s="203"/>
      <c r="F4" s="203"/>
      <c r="G4" s="203"/>
      <c r="H4" s="271" t="s">
        <v>752</v>
      </c>
      <c r="I4" s="271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Q4" s="169" t="s">
        <v>1296</v>
      </c>
      <c r="AR4" s="394">
        <v>4.9124076698678909E-2</v>
      </c>
      <c r="AS4" s="241" t="s">
        <v>581</v>
      </c>
      <c r="AT4" s="241" t="s">
        <v>582</v>
      </c>
      <c r="AU4" s="241" t="s">
        <v>583</v>
      </c>
      <c r="AX4" s="291" t="s">
        <v>996</v>
      </c>
      <c r="AY4" s="291"/>
      <c r="AZ4" s="292">
        <f>AR4</f>
        <v>4.9124076698678909E-2</v>
      </c>
      <c r="BA4" s="96" t="s">
        <v>1005</v>
      </c>
      <c r="BB4" s="108"/>
    </row>
    <row r="5" spans="1:256" ht="13.5" thickBot="1">
      <c r="A5" s="203"/>
      <c r="B5" s="203"/>
      <c r="C5" s="203"/>
      <c r="D5" s="203"/>
      <c r="E5" s="203"/>
      <c r="F5" s="203"/>
      <c r="G5" s="203"/>
      <c r="H5" s="9" t="s">
        <v>753</v>
      </c>
      <c r="I5" s="9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Q5" s="82"/>
      <c r="AR5" s="100"/>
      <c r="AS5" s="269">
        <v>-4.1868000000000002E-2</v>
      </c>
      <c r="AT5" s="270">
        <v>3.5999999999999999E-3</v>
      </c>
      <c r="AU5" s="270">
        <v>1E-3</v>
      </c>
      <c r="AX5" s="96"/>
      <c r="AY5" s="96"/>
      <c r="AZ5" s="96"/>
      <c r="BA5" s="96"/>
      <c r="BB5" s="108"/>
      <c r="BH5" s="284" t="s">
        <v>1074</v>
      </c>
      <c r="BI5" s="245"/>
      <c r="BJ5" s="245" t="s">
        <v>1163</v>
      </c>
    </row>
    <row r="6" spans="1:256" ht="13.5" thickBot="1">
      <c r="A6" s="203"/>
      <c r="B6" s="203"/>
      <c r="C6" s="203"/>
      <c r="D6" s="203"/>
      <c r="E6" s="203"/>
      <c r="F6" s="203"/>
      <c r="G6" s="203"/>
      <c r="H6" s="272" t="s">
        <v>754</v>
      </c>
      <c r="I6" s="272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Q6" s="168"/>
      <c r="AR6" s="242" t="s">
        <v>585</v>
      </c>
      <c r="AS6" s="243" t="s">
        <v>586</v>
      </c>
      <c r="AT6" s="243" t="s">
        <v>587</v>
      </c>
      <c r="AU6" s="243" t="s">
        <v>588</v>
      </c>
      <c r="AX6" s="244"/>
      <c r="AY6" s="245" t="s">
        <v>581</v>
      </c>
      <c r="AZ6" s="245" t="s">
        <v>582</v>
      </c>
      <c r="BA6" s="245" t="s">
        <v>583</v>
      </c>
      <c r="BB6" s="98" t="s">
        <v>589</v>
      </c>
      <c r="BE6" s="379">
        <v>4.4000000000000004</v>
      </c>
      <c r="BF6" t="s">
        <v>1075</v>
      </c>
      <c r="BG6" t="s">
        <v>1076</v>
      </c>
      <c r="BH6" t="s">
        <v>264</v>
      </c>
      <c r="BI6" s="380">
        <v>5681.2116898800004</v>
      </c>
      <c r="BJ6">
        <v>0.5</v>
      </c>
    </row>
    <row r="7" spans="1:256">
      <c r="A7" s="203"/>
      <c r="B7" s="203"/>
      <c r="C7" s="203"/>
      <c r="D7" s="203"/>
      <c r="E7" s="203"/>
      <c r="F7" s="203"/>
      <c r="G7" s="203"/>
      <c r="H7" s="273" t="s">
        <v>755</v>
      </c>
      <c r="I7" s="27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Q7" s="99" t="s">
        <v>832</v>
      </c>
      <c r="AR7" s="100" t="s">
        <v>591</v>
      </c>
      <c r="AS7" s="101">
        <v>0</v>
      </c>
      <c r="AT7" s="101">
        <v>0</v>
      </c>
      <c r="AU7" s="101">
        <v>0</v>
      </c>
      <c r="AX7" s="184" t="str">
        <f>$C$38</f>
        <v>INDNGA</v>
      </c>
      <c r="AY7" s="456">
        <f>AS7+AS11</f>
        <v>1.8266916764241359</v>
      </c>
      <c r="AZ7" s="456">
        <f>AT7+AT11</f>
        <v>0.96096153168098553</v>
      </c>
      <c r="BA7" s="456">
        <f>AU7+AU11</f>
        <v>0.59228919705423999</v>
      </c>
      <c r="BB7" s="2">
        <f t="shared" ref="BB7:BB22" si="0">IF(AY7=0,0,AZ7/AY7)</f>
        <v>0.52606662858514164</v>
      </c>
      <c r="BC7" s="2">
        <f t="shared" ref="BC7:BC21" si="1">IF(BA7=0,0,AZ7/BA7)</f>
        <v>1.6224532482786169</v>
      </c>
      <c r="BE7" s="381">
        <v>1.6</v>
      </c>
      <c r="BF7" t="s">
        <v>1077</v>
      </c>
      <c r="BH7" t="s">
        <v>265</v>
      </c>
      <c r="BI7" s="382">
        <v>1638.0532616400001</v>
      </c>
      <c r="BJ7">
        <v>0.5</v>
      </c>
    </row>
    <row r="8" spans="1:256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Q8" s="99" t="s">
        <v>830</v>
      </c>
      <c r="AR8" s="100" t="s">
        <v>801</v>
      </c>
      <c r="AS8" s="101">
        <v>0</v>
      </c>
      <c r="AT8" s="101">
        <v>0</v>
      </c>
      <c r="AU8" s="101">
        <v>0</v>
      </c>
      <c r="AX8" s="184" t="str">
        <f>$D$38</f>
        <v>INDLPG</v>
      </c>
      <c r="AY8" s="456">
        <f>AS13</f>
        <v>0</v>
      </c>
      <c r="AZ8" s="456">
        <f>AT13</f>
        <v>0</v>
      </c>
      <c r="BA8" s="456">
        <f>AU13</f>
        <v>0</v>
      </c>
      <c r="BB8" s="2">
        <f t="shared" si="0"/>
        <v>0</v>
      </c>
      <c r="BC8" s="2">
        <f t="shared" si="1"/>
        <v>0</v>
      </c>
      <c r="BE8" s="383">
        <f>VLOOKUP(Region,$BH$6:$BI$23,2,0)</f>
        <v>10</v>
      </c>
      <c r="BF8" t="s">
        <v>1082</v>
      </c>
      <c r="BH8" t="s">
        <v>266</v>
      </c>
      <c r="BI8" s="382">
        <v>4121.1413463600002</v>
      </c>
      <c r="BJ8">
        <v>0.5</v>
      </c>
    </row>
    <row r="9" spans="1:256">
      <c r="A9" s="203"/>
      <c r="B9" s="203"/>
      <c r="C9" s="214"/>
      <c r="D9" s="214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Q9" s="99" t="s">
        <v>956</v>
      </c>
      <c r="AR9" s="100" t="s">
        <v>800</v>
      </c>
      <c r="AS9" s="101">
        <v>0</v>
      </c>
      <c r="AT9" s="101">
        <v>0</v>
      </c>
      <c r="AU9" s="101">
        <v>0</v>
      </c>
      <c r="AX9" s="184" t="str">
        <f>$E$38</f>
        <v>INDNGL</v>
      </c>
      <c r="AY9" s="456">
        <f>AS20</f>
        <v>0</v>
      </c>
      <c r="AZ9" s="456">
        <f>AT20</f>
        <v>0</v>
      </c>
      <c r="BA9" s="456">
        <f>AU20</f>
        <v>0</v>
      </c>
      <c r="BB9" s="2">
        <f t="shared" si="0"/>
        <v>0</v>
      </c>
      <c r="BC9" s="2">
        <f t="shared" si="1"/>
        <v>0</v>
      </c>
      <c r="BE9" s="384">
        <f>BE8*BE6/1000</f>
        <v>4.3999999999999997E-2</v>
      </c>
      <c r="BF9" t="s">
        <v>1078</v>
      </c>
      <c r="BH9" t="s">
        <v>267</v>
      </c>
      <c r="BI9" s="382">
        <v>12158.67654</v>
      </c>
      <c r="BJ9">
        <v>0.5</v>
      </c>
    </row>
    <row r="10" spans="1:256" ht="18">
      <c r="A10" s="215" t="s">
        <v>584</v>
      </c>
      <c r="B10" s="86" t="s">
        <v>986</v>
      </c>
      <c r="C10" s="88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Q10" s="99" t="s">
        <v>831</v>
      </c>
      <c r="AR10" s="100" t="s">
        <v>592</v>
      </c>
      <c r="AS10" s="101">
        <v>0</v>
      </c>
      <c r="AT10" s="101">
        <v>0</v>
      </c>
      <c r="AU10" s="101">
        <v>0</v>
      </c>
      <c r="AX10" s="184" t="str">
        <f>$F$38</f>
        <v>INDCOA</v>
      </c>
      <c r="AY10" s="456">
        <f t="shared" ref="AY10:BA11" si="2">AS33</f>
        <v>0.5093842148196559</v>
      </c>
      <c r="AZ10" s="456">
        <f t="shared" si="2"/>
        <v>7.0391596961919239E-2</v>
      </c>
      <c r="BA10" s="456">
        <f t="shared" si="2"/>
        <v>0.35647289805195986</v>
      </c>
      <c r="BB10" s="2">
        <f t="shared" si="0"/>
        <v>0.13818959228416788</v>
      </c>
      <c r="BC10" s="2">
        <f t="shared" si="1"/>
        <v>0.19746689677277762</v>
      </c>
      <c r="BE10" s="384">
        <f>BE9/BE7</f>
        <v>2.7499999999999997E-2</v>
      </c>
      <c r="BF10" t="s">
        <v>1079</v>
      </c>
      <c r="BH10" t="s">
        <v>1094</v>
      </c>
      <c r="BI10" s="382">
        <v>10986.901332840001</v>
      </c>
      <c r="BJ10">
        <v>0.5</v>
      </c>
      <c r="BS10" s="33"/>
      <c r="BT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</row>
    <row r="11" spans="1:256" s="33" customFormat="1" ht="38.25" customHeight="1">
      <c r="A11" s="204" t="s">
        <v>811</v>
      </c>
      <c r="B11" s="209" t="s">
        <v>797</v>
      </c>
      <c r="C11" s="209" t="s">
        <v>798</v>
      </c>
      <c r="D11" s="209" t="s">
        <v>881</v>
      </c>
      <c r="E11" s="209" t="s">
        <v>562</v>
      </c>
      <c r="F11" s="209" t="s">
        <v>598</v>
      </c>
      <c r="G11" s="210" t="s">
        <v>194</v>
      </c>
      <c r="H11" s="209" t="s">
        <v>799</v>
      </c>
      <c r="I11" s="209" t="s">
        <v>812</v>
      </c>
      <c r="J11" s="209" t="s">
        <v>800</v>
      </c>
      <c r="K11" s="209" t="s">
        <v>801</v>
      </c>
      <c r="L11" s="209" t="s">
        <v>592</v>
      </c>
      <c r="M11" s="209" t="s">
        <v>591</v>
      </c>
      <c r="N11" s="209" t="s">
        <v>891</v>
      </c>
      <c r="O11" s="209" t="s">
        <v>892</v>
      </c>
      <c r="P11" s="209" t="s">
        <v>802</v>
      </c>
      <c r="Q11" s="209" t="s">
        <v>803</v>
      </c>
      <c r="R11" s="209" t="s">
        <v>890</v>
      </c>
      <c r="S11" s="209" t="s">
        <v>322</v>
      </c>
      <c r="T11" s="209" t="s">
        <v>594</v>
      </c>
      <c r="U11" s="209" t="s">
        <v>804</v>
      </c>
      <c r="V11" s="209" t="s">
        <v>805</v>
      </c>
      <c r="W11" s="209" t="s">
        <v>806</v>
      </c>
      <c r="X11" s="209" t="s">
        <v>947</v>
      </c>
      <c r="Y11" s="209" t="s">
        <v>323</v>
      </c>
      <c r="Z11" s="209" t="s">
        <v>1374</v>
      </c>
      <c r="AA11" s="211" t="s">
        <v>1375</v>
      </c>
      <c r="AB11" s="209" t="s">
        <v>745</v>
      </c>
      <c r="AC11" s="209" t="s">
        <v>595</v>
      </c>
      <c r="AD11" s="209" t="s">
        <v>807</v>
      </c>
      <c r="AE11" s="209" t="s">
        <v>604</v>
      </c>
      <c r="AF11" s="209" t="s">
        <v>948</v>
      </c>
      <c r="AG11" s="212" t="s">
        <v>748</v>
      </c>
      <c r="AH11" s="212" t="s">
        <v>95</v>
      </c>
      <c r="AI11" s="212" t="s">
        <v>96</v>
      </c>
      <c r="AJ11" s="212" t="s">
        <v>97</v>
      </c>
      <c r="AK11" s="209" t="s">
        <v>888</v>
      </c>
      <c r="AL11" s="212"/>
      <c r="AM11" s="212"/>
      <c r="AN11" s="212"/>
      <c r="AP11"/>
      <c r="AQ11" s="99" t="s">
        <v>951</v>
      </c>
      <c r="AR11" s="100" t="s">
        <v>798</v>
      </c>
      <c r="AS11" s="101">
        <v>1.8266916764241359</v>
      </c>
      <c r="AT11" s="101">
        <v>0.96096153168098553</v>
      </c>
      <c r="AU11" s="101">
        <v>0.59228919705423999</v>
      </c>
      <c r="AV11"/>
      <c r="AW11"/>
      <c r="AX11" s="184" t="str">
        <f>$G$38</f>
        <v>INDCOK</v>
      </c>
      <c r="AY11" s="456">
        <f t="shared" si="2"/>
        <v>0</v>
      </c>
      <c r="AZ11" s="456">
        <f t="shared" si="2"/>
        <v>0</v>
      </c>
      <c r="BA11" s="456">
        <f t="shared" si="2"/>
        <v>0</v>
      </c>
      <c r="BB11" s="2">
        <f t="shared" si="0"/>
        <v>0</v>
      </c>
      <c r="BC11" s="2">
        <f t="shared" si="1"/>
        <v>0</v>
      </c>
      <c r="BD11"/>
      <c r="BE11"/>
      <c r="BF11"/>
      <c r="BG11"/>
      <c r="BH11" s="33" t="s">
        <v>268</v>
      </c>
      <c r="BI11" s="382">
        <v>3451.4162128799999</v>
      </c>
      <c r="BJ11" s="33">
        <v>0.5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>
      <c r="A12" s="205" t="s">
        <v>791</v>
      </c>
      <c r="B12" s="36">
        <v>7.286781894794557E-2</v>
      </c>
      <c r="C12" s="36">
        <v>1.2999999999999999E-2</v>
      </c>
      <c r="D12" s="36">
        <v>3.2000000000000001E-2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0</v>
      </c>
      <c r="O12" s="36">
        <v>0</v>
      </c>
      <c r="P12" s="36">
        <v>1.4E-2</v>
      </c>
      <c r="Q12" s="36">
        <v>1E-3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36">
        <v>0</v>
      </c>
      <c r="AD12" s="36">
        <v>8.9999999999999993E-3</v>
      </c>
      <c r="AE12" s="36">
        <v>0</v>
      </c>
      <c r="AF12" s="36">
        <v>0</v>
      </c>
      <c r="AG12" s="105">
        <v>0</v>
      </c>
      <c r="AH12" s="105">
        <v>0</v>
      </c>
      <c r="AI12" s="105">
        <v>0</v>
      </c>
      <c r="AJ12" s="105">
        <v>0</v>
      </c>
      <c r="AK12" s="36">
        <v>0.14186781894794559</v>
      </c>
      <c r="AL12" s="213">
        <v>1.1551933672918574E-2</v>
      </c>
      <c r="AM12" s="203" t="s">
        <v>791</v>
      </c>
      <c r="AN12" s="457" t="s">
        <v>443</v>
      </c>
      <c r="AO12" s="345">
        <v>0</v>
      </c>
      <c r="AQ12" s="99" t="s">
        <v>833</v>
      </c>
      <c r="AR12" s="100" t="s">
        <v>891</v>
      </c>
      <c r="AS12" s="101">
        <v>0</v>
      </c>
      <c r="AT12" s="101">
        <v>0</v>
      </c>
      <c r="AU12" s="101">
        <v>0</v>
      </c>
      <c r="AX12" s="184" t="str">
        <f>$H$38</f>
        <v>INDCOG</v>
      </c>
      <c r="AY12" s="456">
        <f>AS9</f>
        <v>0</v>
      </c>
      <c r="AZ12" s="456">
        <f>AT9</f>
        <v>0</v>
      </c>
      <c r="BA12" s="456">
        <f>AU9</f>
        <v>0</v>
      </c>
      <c r="BB12" s="2">
        <f t="shared" si="0"/>
        <v>0</v>
      </c>
      <c r="BC12" s="2">
        <f t="shared" si="1"/>
        <v>0</v>
      </c>
      <c r="BH12" t="s">
        <v>269</v>
      </c>
      <c r="BI12" s="382">
        <v>5567.2465751999998</v>
      </c>
      <c r="BJ12">
        <v>0.5</v>
      </c>
    </row>
    <row r="13" spans="1:256">
      <c r="A13" s="203" t="s">
        <v>793</v>
      </c>
      <c r="B13" s="36">
        <v>7.286781894794557E-2</v>
      </c>
      <c r="C13" s="36">
        <v>1E-3</v>
      </c>
      <c r="D13" s="36">
        <v>5.0000000000000001E-3</v>
      </c>
      <c r="E13" s="37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5.0000000000000001E-3</v>
      </c>
      <c r="Q13" s="36">
        <v>3.0000000000000001E-3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4.0000000000000001E-3</v>
      </c>
      <c r="AC13" s="36">
        <v>0</v>
      </c>
      <c r="AD13" s="36">
        <v>2.4E-2</v>
      </c>
      <c r="AE13" s="36">
        <v>0</v>
      </c>
      <c r="AF13" s="36">
        <v>0</v>
      </c>
      <c r="AG13" s="105">
        <v>0</v>
      </c>
      <c r="AH13" s="105">
        <v>0</v>
      </c>
      <c r="AI13" s="105">
        <v>0</v>
      </c>
      <c r="AJ13" s="105">
        <v>0</v>
      </c>
      <c r="AK13" s="36">
        <v>0.11486781894794559</v>
      </c>
      <c r="AL13" s="213">
        <v>9.3533927248601184E-3</v>
      </c>
      <c r="AM13" s="203" t="s">
        <v>793</v>
      </c>
      <c r="AN13" s="203"/>
      <c r="AQ13" s="99" t="s">
        <v>1297</v>
      </c>
      <c r="AR13" s="100" t="s">
        <v>663</v>
      </c>
      <c r="AS13" s="101">
        <v>0</v>
      </c>
      <c r="AT13" s="101">
        <v>0</v>
      </c>
      <c r="AU13" s="101">
        <v>0</v>
      </c>
      <c r="AX13" s="184" t="str">
        <f>$I$38</f>
        <v>INDBFG</v>
      </c>
      <c r="AY13" s="456">
        <f>AS8+AS10</f>
        <v>0</v>
      </c>
      <c r="AZ13" s="456">
        <f>AT8+AT10</f>
        <v>0</v>
      </c>
      <c r="BA13" s="456">
        <f>AU8+AU10</f>
        <v>0</v>
      </c>
      <c r="BB13" s="2">
        <f t="shared" si="0"/>
        <v>0</v>
      </c>
      <c r="BC13" s="2">
        <f t="shared" si="1"/>
        <v>0</v>
      </c>
      <c r="BH13" t="s">
        <v>1095</v>
      </c>
      <c r="BI13" s="382">
        <v>14002.61192352</v>
      </c>
      <c r="BJ13">
        <v>0.5</v>
      </c>
    </row>
    <row r="14" spans="1:256">
      <c r="A14" s="203" t="s">
        <v>792</v>
      </c>
      <c r="B14" s="36">
        <v>0.36717810067276463</v>
      </c>
      <c r="C14" s="36">
        <v>0.27400000000000002</v>
      </c>
      <c r="D14" s="36">
        <v>0.12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6.6000000000000003E-2</v>
      </c>
      <c r="Q14" s="36">
        <v>4.0000000000000001E-3</v>
      </c>
      <c r="R14" s="36">
        <v>0</v>
      </c>
      <c r="S14" s="36">
        <v>0</v>
      </c>
      <c r="T14" s="36">
        <v>0</v>
      </c>
      <c r="U14" s="36">
        <v>0</v>
      </c>
      <c r="V14" s="36">
        <v>0.30499999999999999</v>
      </c>
      <c r="W14" s="36">
        <v>0</v>
      </c>
      <c r="X14" s="44">
        <v>5.0000000000000001E-3</v>
      </c>
      <c r="Y14" s="44">
        <v>0</v>
      </c>
      <c r="Z14" s="44">
        <v>0</v>
      </c>
      <c r="AA14" s="44">
        <v>0</v>
      </c>
      <c r="AB14" s="44">
        <v>0</v>
      </c>
      <c r="AC14" s="36">
        <v>2E-3</v>
      </c>
      <c r="AD14" s="36">
        <v>0.30399999999999999</v>
      </c>
      <c r="AE14" s="36">
        <v>0</v>
      </c>
      <c r="AF14" s="36">
        <v>0</v>
      </c>
      <c r="AG14" s="105">
        <v>0</v>
      </c>
      <c r="AH14" s="105">
        <v>0</v>
      </c>
      <c r="AI14" s="105">
        <v>0</v>
      </c>
      <c r="AJ14" s="105">
        <v>0</v>
      </c>
      <c r="AK14" s="36">
        <v>1.4471781006727644</v>
      </c>
      <c r="AL14" s="213">
        <v>0.11784001160972345</v>
      </c>
      <c r="AM14" s="203" t="s">
        <v>792</v>
      </c>
      <c r="AN14" s="203"/>
      <c r="AQ14" s="109" t="s">
        <v>843</v>
      </c>
      <c r="AR14" s="110" t="s">
        <v>804</v>
      </c>
      <c r="AS14" s="101">
        <v>0</v>
      </c>
      <c r="AT14" s="101">
        <v>0</v>
      </c>
      <c r="AU14" s="101">
        <v>0</v>
      </c>
      <c r="AX14" s="184" t="str">
        <f>$J$38</f>
        <v>INDBCO</v>
      </c>
      <c r="AY14" s="456">
        <f>AS32</f>
        <v>0</v>
      </c>
      <c r="AZ14" s="456">
        <f>AT32</f>
        <v>0</v>
      </c>
      <c r="BA14" s="456">
        <f>AU32</f>
        <v>0</v>
      </c>
      <c r="BB14" s="2">
        <f t="shared" si="0"/>
        <v>0</v>
      </c>
      <c r="BC14" s="2">
        <f t="shared" si="1"/>
        <v>0</v>
      </c>
      <c r="BH14" t="s">
        <v>1096</v>
      </c>
      <c r="BI14" s="382">
        <v>14105.901116880001</v>
      </c>
      <c r="BJ14">
        <v>0.5</v>
      </c>
    </row>
    <row r="15" spans="1:256">
      <c r="A15" s="203" t="s">
        <v>795</v>
      </c>
      <c r="B15" s="36">
        <v>8.9428686890660469E-2</v>
      </c>
      <c r="C15" s="36">
        <v>2.5000000000000001E-2</v>
      </c>
      <c r="D15" s="36">
        <v>3.0000000000000001E-3</v>
      </c>
      <c r="E15" s="36">
        <v>0</v>
      </c>
      <c r="F15" s="36">
        <v>1E-3</v>
      </c>
      <c r="G15" s="36">
        <v>0.01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6.0000000000000001E-3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44">
        <v>0.14000000000000001</v>
      </c>
      <c r="Y15" s="44">
        <v>0</v>
      </c>
      <c r="Z15" s="44">
        <v>0</v>
      </c>
      <c r="AA15" s="44">
        <v>0</v>
      </c>
      <c r="AB15" s="44">
        <v>2E-3</v>
      </c>
      <c r="AC15" s="36">
        <v>0</v>
      </c>
      <c r="AD15" s="36">
        <v>6.0000000000000001E-3</v>
      </c>
      <c r="AE15" s="36">
        <v>0</v>
      </c>
      <c r="AF15" s="36">
        <v>0</v>
      </c>
      <c r="AG15" s="105">
        <v>0</v>
      </c>
      <c r="AH15" s="105">
        <v>0</v>
      </c>
      <c r="AI15" s="105">
        <v>0</v>
      </c>
      <c r="AJ15" s="105">
        <v>0</v>
      </c>
      <c r="AK15" s="36">
        <v>0.28242868689066047</v>
      </c>
      <c r="AL15" s="213">
        <v>2.2997445667981373E-2</v>
      </c>
      <c r="AM15" s="203" t="s">
        <v>795</v>
      </c>
      <c r="AN15" s="203"/>
      <c r="AQ15" s="99" t="s">
        <v>902</v>
      </c>
      <c r="AR15" s="100" t="s">
        <v>902</v>
      </c>
      <c r="AS15" s="131">
        <v>1.8266916764241359</v>
      </c>
      <c r="AT15" s="131">
        <v>0.96096153168098553</v>
      </c>
      <c r="AU15" s="131">
        <v>0.59228919705423999</v>
      </c>
      <c r="AX15" s="184" t="str">
        <f>$K$38</f>
        <v>INDHFO</v>
      </c>
      <c r="AY15" s="456">
        <f>AS24+AS16+AS21+AS22</f>
        <v>0.16551645484514596</v>
      </c>
      <c r="AZ15" s="456">
        <f>AT24+AT16+AT21+AT22</f>
        <v>6.6960000000000006E-2</v>
      </c>
      <c r="BA15" s="456">
        <f>AU24+AU16+AU21+AU22</f>
        <v>7.9101212399999815E-2</v>
      </c>
      <c r="BB15" s="2">
        <f t="shared" si="0"/>
        <v>0.40455192242152904</v>
      </c>
      <c r="BC15" s="2">
        <f t="shared" si="1"/>
        <v>0.84651041328413523</v>
      </c>
      <c r="BH15" t="s">
        <v>270</v>
      </c>
      <c r="BI15" s="382">
        <v>13859.407035</v>
      </c>
      <c r="BJ15">
        <v>0.5</v>
      </c>
    </row>
    <row r="16" spans="1:256">
      <c r="A16" s="203" t="s">
        <v>794</v>
      </c>
      <c r="B16" s="36">
        <v>0.18568245875165196</v>
      </c>
      <c r="C16" s="36">
        <v>0.09</v>
      </c>
      <c r="D16" s="36">
        <v>4.4999999999999998E-2</v>
      </c>
      <c r="E16" s="36">
        <v>0</v>
      </c>
      <c r="F16" s="36">
        <v>0.19500000000000001</v>
      </c>
      <c r="G16" s="36">
        <v>1E-3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2.1999999999999999E-2</v>
      </c>
      <c r="Q16" s="36">
        <v>2.3E-2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5.3999999999999999E-2</v>
      </c>
      <c r="X16" s="44">
        <v>7.0000000000000001E-3</v>
      </c>
      <c r="Y16" s="44">
        <v>0</v>
      </c>
      <c r="Z16" s="44">
        <v>0</v>
      </c>
      <c r="AA16" s="44">
        <v>0</v>
      </c>
      <c r="AB16" s="44">
        <v>0</v>
      </c>
      <c r="AC16" s="36">
        <v>3.0000000000000001E-3</v>
      </c>
      <c r="AD16" s="36">
        <v>4.7E-2</v>
      </c>
      <c r="AE16" s="36">
        <v>0</v>
      </c>
      <c r="AF16" s="36">
        <v>0</v>
      </c>
      <c r="AG16" s="105">
        <v>0</v>
      </c>
      <c r="AH16" s="105">
        <v>0</v>
      </c>
      <c r="AI16" s="105">
        <v>0</v>
      </c>
      <c r="AJ16" s="105">
        <v>0</v>
      </c>
      <c r="AK16" s="36">
        <v>0.67268245875165211</v>
      </c>
      <c r="AL16" s="213">
        <v>5.4774812244672198E-2</v>
      </c>
      <c r="AM16" s="203" t="s">
        <v>794</v>
      </c>
      <c r="AN16" s="203"/>
      <c r="AQ16" s="99" t="s">
        <v>834</v>
      </c>
      <c r="AR16" s="100" t="s">
        <v>892</v>
      </c>
      <c r="AS16" s="101">
        <v>0</v>
      </c>
      <c r="AT16" s="101">
        <v>0</v>
      </c>
      <c r="AU16" s="101">
        <v>0</v>
      </c>
      <c r="AX16" s="184" t="str">
        <f>$L$38</f>
        <v>INDOIL</v>
      </c>
      <c r="AY16" s="456">
        <f>AS17+AS18+AS23</f>
        <v>0</v>
      </c>
      <c r="AZ16" s="456">
        <f>AT17+AT18+AT23</f>
        <v>0</v>
      </c>
      <c r="BA16" s="456">
        <f>AU17+AU18+AU23</f>
        <v>0</v>
      </c>
      <c r="BB16" s="2">
        <f t="shared" si="0"/>
        <v>0</v>
      </c>
      <c r="BC16" s="2">
        <f t="shared" si="1"/>
        <v>0</v>
      </c>
      <c r="BH16" t="s">
        <v>271</v>
      </c>
      <c r="BI16" s="382">
        <v>11096.639454240001</v>
      </c>
      <c r="BJ16">
        <v>0.5</v>
      </c>
    </row>
    <row r="17" spans="1:65">
      <c r="A17" s="203" t="s">
        <v>904</v>
      </c>
      <c r="B17" s="63">
        <v>2.7043791490591844</v>
      </c>
      <c r="C17" s="63">
        <v>0.2176159584981894</v>
      </c>
      <c r="D17" s="63">
        <v>0.13582807407658209</v>
      </c>
      <c r="E17" s="63">
        <v>0</v>
      </c>
      <c r="F17" s="63">
        <v>0</v>
      </c>
      <c r="G17" s="63">
        <v>9.2839633011830527E-2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0.30032570497861699</v>
      </c>
      <c r="Q17" s="63">
        <v>1.3548581954210062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0.42189140743253351</v>
      </c>
      <c r="Y17" s="63">
        <v>0</v>
      </c>
      <c r="Z17" s="63">
        <v>0</v>
      </c>
      <c r="AA17" s="63">
        <v>3.1601148813271807E-2</v>
      </c>
      <c r="AB17" s="63">
        <v>4.9088271622538447E-2</v>
      </c>
      <c r="AC17" s="63">
        <v>1.0984639857972006E-3</v>
      </c>
      <c r="AD17" s="63">
        <v>4.3123211225965141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9.6218471294960644</v>
      </c>
      <c r="AL17" s="213">
        <v>0.78348240407984426</v>
      </c>
      <c r="AM17" s="203" t="s">
        <v>904</v>
      </c>
      <c r="AN17" s="209" t="s">
        <v>888</v>
      </c>
      <c r="AO17" s="209" t="s">
        <v>797</v>
      </c>
      <c r="AQ17" s="99" t="s">
        <v>836</v>
      </c>
      <c r="AR17" s="100" t="s">
        <v>803</v>
      </c>
      <c r="AS17" s="101">
        <v>0</v>
      </c>
      <c r="AT17" s="101">
        <v>0</v>
      </c>
      <c r="AU17" s="101">
        <v>0</v>
      </c>
      <c r="AX17" s="184" t="str">
        <f>$M$38</f>
        <v>INDETH</v>
      </c>
      <c r="AY17" s="456">
        <f>AS12+AS14</f>
        <v>0</v>
      </c>
      <c r="AZ17" s="456">
        <f>AT12+AT14</f>
        <v>0</v>
      </c>
      <c r="BA17" s="456">
        <f>AU12+AU14</f>
        <v>0</v>
      </c>
      <c r="BB17" s="2">
        <f t="shared" si="0"/>
        <v>0</v>
      </c>
      <c r="BC17" s="2">
        <f t="shared" si="1"/>
        <v>0</v>
      </c>
      <c r="BH17" t="s">
        <v>563</v>
      </c>
      <c r="BI17" s="382">
        <v>34882.570383840008</v>
      </c>
      <c r="BJ17">
        <v>0.5</v>
      </c>
    </row>
    <row r="18" spans="1:65">
      <c r="A18" s="203" t="s">
        <v>796</v>
      </c>
      <c r="B18" s="36">
        <v>3.4924040332701525</v>
      </c>
      <c r="C18" s="36">
        <v>0.6206159584981894</v>
      </c>
      <c r="D18" s="36">
        <v>0.34082807407658211</v>
      </c>
      <c r="E18" s="36">
        <v>0</v>
      </c>
      <c r="F18" s="36">
        <v>0.19600000000000001</v>
      </c>
      <c r="G18" s="36">
        <v>0.10383963301183052</v>
      </c>
      <c r="H18" s="36">
        <v>0</v>
      </c>
      <c r="I18" s="36">
        <v>0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0.41332570497861698</v>
      </c>
      <c r="Q18" s="36">
        <v>1.3858581954210061</v>
      </c>
      <c r="R18" s="36">
        <v>0</v>
      </c>
      <c r="S18" s="36">
        <v>0</v>
      </c>
      <c r="T18" s="36">
        <v>0</v>
      </c>
      <c r="U18" s="36">
        <v>0</v>
      </c>
      <c r="V18" s="36">
        <v>0.30499999999999999</v>
      </c>
      <c r="W18" s="36">
        <v>5.3999999999999999E-2</v>
      </c>
      <c r="X18" s="44">
        <v>0.57389140743253353</v>
      </c>
      <c r="Y18" s="279">
        <v>0</v>
      </c>
      <c r="Z18" s="279">
        <v>0</v>
      </c>
      <c r="AA18" s="44">
        <v>3.1601148813271807E-2</v>
      </c>
      <c r="AB18" s="44">
        <v>5.5088271622538446E-2</v>
      </c>
      <c r="AC18" s="36">
        <v>6.098463985797201E-3</v>
      </c>
      <c r="AD18" s="36">
        <v>4.7023211225965138</v>
      </c>
      <c r="AE18" s="36">
        <v>0</v>
      </c>
      <c r="AF18" s="36">
        <v>0</v>
      </c>
      <c r="AG18" s="105">
        <v>0</v>
      </c>
      <c r="AH18" s="105">
        <v>0</v>
      </c>
      <c r="AI18" s="105">
        <v>0</v>
      </c>
      <c r="AJ18" s="105">
        <v>0</v>
      </c>
      <c r="AK18" s="36">
        <v>12.280872013707032</v>
      </c>
      <c r="AL18" s="213">
        <v>1</v>
      </c>
      <c r="AM18" s="203" t="s">
        <v>1100</v>
      </c>
      <c r="AN18" s="93">
        <v>0.26109543220236098</v>
      </c>
      <c r="AO18" s="93">
        <v>7.5959180963919015E-2</v>
      </c>
      <c r="AQ18" s="99" t="s">
        <v>838</v>
      </c>
      <c r="AR18" s="100" t="s">
        <v>593</v>
      </c>
      <c r="AS18" s="101">
        <v>0</v>
      </c>
      <c r="AT18" s="101">
        <v>0</v>
      </c>
      <c r="AU18" s="101">
        <v>0</v>
      </c>
      <c r="AX18" s="184" t="str">
        <f>$O$38</f>
        <v>INDPTC</v>
      </c>
      <c r="AY18" s="456">
        <f>AS35</f>
        <v>0</v>
      </c>
      <c r="AZ18" s="456">
        <f>AT35</f>
        <v>0</v>
      </c>
      <c r="BA18" s="456">
        <f>AU35</f>
        <v>0</v>
      </c>
      <c r="BB18" s="2">
        <f>IF(AY18=0,0,AZ18/AY18)</f>
        <v>0</v>
      </c>
      <c r="BC18" s="2">
        <f>IF(BA18=0,0,AZ18/BA18)</f>
        <v>0</v>
      </c>
      <c r="BH18" t="s">
        <v>705</v>
      </c>
      <c r="BI18" s="382">
        <v>26445.782779560002</v>
      </c>
      <c r="BJ18">
        <v>0.5</v>
      </c>
    </row>
    <row r="19" spans="1:65">
      <c r="A19" s="203" t="s">
        <v>1014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36">
        <v>0</v>
      </c>
      <c r="AD19" s="36">
        <v>0</v>
      </c>
      <c r="AE19" s="36">
        <v>0</v>
      </c>
      <c r="AF19" s="36">
        <v>0</v>
      </c>
      <c r="AG19" s="105">
        <v>0</v>
      </c>
      <c r="AH19" s="105">
        <v>0</v>
      </c>
      <c r="AI19" s="105">
        <v>0</v>
      </c>
      <c r="AJ19" s="105">
        <v>0</v>
      </c>
      <c r="AK19" s="36">
        <v>0</v>
      </c>
      <c r="AL19" s="213"/>
      <c r="AM19" s="203" t="s">
        <v>1101</v>
      </c>
      <c r="AN19" s="93">
        <v>1.3568157804695389</v>
      </c>
      <c r="AO19" s="93">
        <v>0.95114584884325915</v>
      </c>
      <c r="AQ19" s="99" t="s">
        <v>841</v>
      </c>
      <c r="AR19" s="100" t="s">
        <v>805</v>
      </c>
      <c r="AS19" s="101">
        <v>0</v>
      </c>
      <c r="AT19" s="101">
        <v>0</v>
      </c>
      <c r="AU19" s="101">
        <v>0</v>
      </c>
      <c r="AX19" s="184" t="str">
        <f>$P$38</f>
        <v>INDBIO</v>
      </c>
      <c r="AY19" s="456">
        <f>SUM(AS26:AS28)</f>
        <v>0.46620043994402882</v>
      </c>
      <c r="AZ19" s="456">
        <f>SUM(AT26:AT28)</f>
        <v>9.4981833922225117E-2</v>
      </c>
      <c r="BA19" s="456">
        <f>SUM(AU26:AU28)</f>
        <v>0.27448712686234616</v>
      </c>
      <c r="BB19" s="2">
        <f>IF(AY19=0,0,AZ19/AY19)</f>
        <v>0.20373604523759881</v>
      </c>
      <c r="BC19" s="2">
        <f>IF(BA19=0,0,AZ19/BA19)</f>
        <v>0.34603383775392133</v>
      </c>
      <c r="BH19" t="s">
        <v>1097</v>
      </c>
      <c r="BI19" s="382">
        <v>332.16270875999999</v>
      </c>
      <c r="BJ19" s="2">
        <v>1</v>
      </c>
    </row>
    <row r="20" spans="1:65">
      <c r="A20" s="206" t="s">
        <v>594</v>
      </c>
      <c r="B20" s="36">
        <v>0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36">
        <v>0</v>
      </c>
      <c r="AD20" s="36">
        <v>0</v>
      </c>
      <c r="AE20" s="36">
        <v>0</v>
      </c>
      <c r="AF20" s="36">
        <v>0</v>
      </c>
      <c r="AG20" s="105">
        <v>0</v>
      </c>
      <c r="AH20" s="105">
        <v>0</v>
      </c>
      <c r="AI20" s="105">
        <v>0</v>
      </c>
      <c r="AJ20" s="105">
        <v>0</v>
      </c>
      <c r="AK20" s="36">
        <v>0</v>
      </c>
      <c r="AL20" s="213"/>
      <c r="AM20" s="203" t="s">
        <v>1102</v>
      </c>
      <c r="AN20" s="93">
        <v>4.0154342714906845E-2</v>
      </c>
      <c r="AO20" s="93">
        <v>2.7242986226111088E-2</v>
      </c>
      <c r="AQ20" s="99" t="s">
        <v>756</v>
      </c>
      <c r="AR20" s="100" t="s">
        <v>562</v>
      </c>
      <c r="AS20" s="101">
        <v>0</v>
      </c>
      <c r="AT20" s="101">
        <v>0</v>
      </c>
      <c r="AU20" s="101">
        <v>0</v>
      </c>
      <c r="AX20" s="184" t="str">
        <f>$P$38</f>
        <v>INDBIO</v>
      </c>
      <c r="AY20" s="456">
        <f>SUM(AS26:AS30)-AY19</f>
        <v>0</v>
      </c>
      <c r="AZ20" s="456">
        <f>SUM(AT26:AT30)-AZ19</f>
        <v>0</v>
      </c>
      <c r="BA20" s="456">
        <f>SUM(AU26:AU30)-BA19</f>
        <v>0</v>
      </c>
      <c r="BB20" s="2">
        <f t="shared" si="0"/>
        <v>0</v>
      </c>
      <c r="BC20" s="2">
        <f t="shared" si="1"/>
        <v>0</v>
      </c>
      <c r="BH20" t="s">
        <v>86</v>
      </c>
      <c r="BI20" s="382">
        <v>508.92982344000001</v>
      </c>
      <c r="BJ20" s="285">
        <f>0.384999605483794*0+0.24</f>
        <v>0.24</v>
      </c>
    </row>
    <row r="21" spans="1:65">
      <c r="A21" s="203" t="s">
        <v>903</v>
      </c>
      <c r="B21" s="36">
        <v>0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0.30499999999999999</v>
      </c>
      <c r="W21" s="36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36">
        <v>0</v>
      </c>
      <c r="AD21" s="36">
        <v>0</v>
      </c>
      <c r="AE21" s="36">
        <v>0</v>
      </c>
      <c r="AF21" s="36">
        <v>0</v>
      </c>
      <c r="AG21" s="105">
        <v>0</v>
      </c>
      <c r="AH21" s="105">
        <v>0</v>
      </c>
      <c r="AI21" s="105">
        <v>0</v>
      </c>
      <c r="AJ21" s="105">
        <v>0</v>
      </c>
      <c r="AK21" s="36">
        <v>0</v>
      </c>
      <c r="AL21" s="213"/>
      <c r="AM21" s="203" t="s">
        <v>1103</v>
      </c>
      <c r="AN21" s="93">
        <v>1.3089867305850269</v>
      </c>
      <c r="AO21" s="93">
        <v>0.57583610131495855</v>
      </c>
      <c r="AQ21" s="99" t="s">
        <v>840</v>
      </c>
      <c r="AR21" s="100" t="s">
        <v>893</v>
      </c>
      <c r="AS21" s="101">
        <v>0</v>
      </c>
      <c r="AT21" s="101">
        <v>0</v>
      </c>
      <c r="AU21" s="101">
        <v>0</v>
      </c>
      <c r="AX21" s="184" t="str">
        <f>$Q$38</f>
        <v>INDGEO</v>
      </c>
      <c r="AY21" s="456">
        <f>AS39</f>
        <v>0</v>
      </c>
      <c r="AZ21" s="456">
        <f>AT39</f>
        <v>0</v>
      </c>
      <c r="BA21" s="456">
        <f>AU39</f>
        <v>0</v>
      </c>
      <c r="BB21" s="2">
        <f t="shared" si="0"/>
        <v>0</v>
      </c>
      <c r="BC21" s="2">
        <f t="shared" si="1"/>
        <v>0</v>
      </c>
      <c r="BH21" t="s">
        <v>1098</v>
      </c>
      <c r="BI21" s="382">
        <v>672.59016071999997</v>
      </c>
      <c r="BJ21" s="2">
        <v>1</v>
      </c>
    </row>
    <row r="22" spans="1:65">
      <c r="A22" s="207" t="s">
        <v>19</v>
      </c>
      <c r="B22" s="36">
        <v>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36">
        <v>0</v>
      </c>
      <c r="AD22" s="36">
        <v>0</v>
      </c>
      <c r="AE22" s="36">
        <v>0</v>
      </c>
      <c r="AF22" s="36">
        <v>0</v>
      </c>
      <c r="AG22" s="44">
        <v>0</v>
      </c>
      <c r="AH22" s="44">
        <v>0</v>
      </c>
      <c r="AI22" s="44">
        <v>0</v>
      </c>
      <c r="AJ22" s="44">
        <v>0</v>
      </c>
      <c r="AK22" s="36">
        <v>0</v>
      </c>
      <c r="AL22" s="213"/>
      <c r="AM22" s="203" t="s">
        <v>1104</v>
      </c>
      <c r="AN22" s="93">
        <v>0.72224757140118789</v>
      </c>
      <c r="AO22" s="93">
        <v>0.18568245875165196</v>
      </c>
      <c r="AQ22" s="99" t="s">
        <v>839</v>
      </c>
      <c r="AR22" s="100" t="s">
        <v>594</v>
      </c>
      <c r="AS22" s="101">
        <v>0</v>
      </c>
      <c r="AT22" s="101">
        <v>0</v>
      </c>
      <c r="AU22" s="101">
        <v>0</v>
      </c>
      <c r="AX22" s="111" t="s">
        <v>590</v>
      </c>
      <c r="AY22" s="2">
        <f>SUM(AY7:AY21)</f>
        <v>2.9677927860329665</v>
      </c>
      <c r="AZ22" s="2">
        <f>SUM(AZ7:AZ21)</f>
        <v>1.1932949625651297</v>
      </c>
      <c r="BA22" s="2">
        <f>SUM(BA7:BA21)</f>
        <v>1.3023504343685459</v>
      </c>
      <c r="BB22" s="2">
        <f t="shared" si="0"/>
        <v>0.40208163055757035</v>
      </c>
      <c r="BC22" s="2">
        <f>IF(BA22=0,0,AZ22/BA22)</f>
        <v>0.91626257501400332</v>
      </c>
      <c r="BH22" t="s">
        <v>1099</v>
      </c>
      <c r="BI22" s="382">
        <v>872.9683153200001</v>
      </c>
      <c r="BJ22" s="2">
        <v>0.9</v>
      </c>
    </row>
    <row r="23" spans="1:65">
      <c r="A23" s="203" t="s">
        <v>20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36">
        <v>0</v>
      </c>
      <c r="AD23" s="36">
        <v>0</v>
      </c>
      <c r="AE23" s="36">
        <v>0</v>
      </c>
      <c r="AF23" s="36">
        <v>0</v>
      </c>
      <c r="AG23" s="44">
        <v>0</v>
      </c>
      <c r="AH23" s="44">
        <v>0</v>
      </c>
      <c r="AI23" s="44">
        <v>0</v>
      </c>
      <c r="AJ23" s="44">
        <v>0</v>
      </c>
      <c r="AK23" s="36">
        <v>0</v>
      </c>
      <c r="AL23" s="213"/>
      <c r="AM23" s="203" t="s">
        <v>1105</v>
      </c>
      <c r="AN23" s="93">
        <v>3.1974239198446948</v>
      </c>
      <c r="AO23" s="93">
        <v>0.32369760000000003</v>
      </c>
      <c r="AQ23" s="99" t="s">
        <v>837</v>
      </c>
      <c r="AR23" s="100" t="s">
        <v>890</v>
      </c>
      <c r="AS23" s="101">
        <v>0</v>
      </c>
      <c r="AT23" s="101">
        <v>0</v>
      </c>
      <c r="AU23" s="101">
        <v>0</v>
      </c>
      <c r="AZ23" s="2">
        <f t="array" ref="AZ23">MAX(0.01,SUM(IF($AY7:$AY21&gt;0,AZ7:AZ21,0)))</f>
        <v>1.1932949625651297</v>
      </c>
      <c r="BA23" s="2">
        <f t="array" ref="BA23">MAX(0.01,SUM(IF($AY7:$AY21&gt;0,BA7:BA21,0)))</f>
        <v>1.3023504343685459</v>
      </c>
      <c r="BH23" t="s">
        <v>1341</v>
      </c>
      <c r="BI23" s="382">
        <v>10</v>
      </c>
      <c r="BJ23" s="105">
        <v>0.6</v>
      </c>
    </row>
    <row r="24" spans="1:65" ht="13.5" thickBot="1">
      <c r="A24" s="203"/>
      <c r="B24" s="43" t="s">
        <v>557</v>
      </c>
      <c r="C24" s="43" t="s">
        <v>951</v>
      </c>
      <c r="D24" s="43" t="s">
        <v>1084</v>
      </c>
      <c r="E24" s="43" t="s">
        <v>756</v>
      </c>
      <c r="F24" s="43" t="s">
        <v>952</v>
      </c>
      <c r="G24" s="43" t="s">
        <v>953</v>
      </c>
      <c r="H24" s="43" t="s">
        <v>954</v>
      </c>
      <c r="I24" s="43" t="s">
        <v>955</v>
      </c>
      <c r="J24" s="43" t="s">
        <v>956</v>
      </c>
      <c r="K24" s="43" t="s">
        <v>830</v>
      </c>
      <c r="L24" s="43" t="s">
        <v>831</v>
      </c>
      <c r="M24" s="43" t="s">
        <v>832</v>
      </c>
      <c r="N24" s="43" t="s">
        <v>833</v>
      </c>
      <c r="O24" s="43" t="s">
        <v>834</v>
      </c>
      <c r="P24" s="43" t="s">
        <v>835</v>
      </c>
      <c r="Q24" s="43" t="s">
        <v>836</v>
      </c>
      <c r="R24" s="43" t="s">
        <v>837</v>
      </c>
      <c r="S24" s="43" t="s">
        <v>838</v>
      </c>
      <c r="T24" s="43" t="s">
        <v>839</v>
      </c>
      <c r="U24" s="43" t="s">
        <v>843</v>
      </c>
      <c r="V24" s="43" t="s">
        <v>841</v>
      </c>
      <c r="W24" s="43" t="s">
        <v>842</v>
      </c>
      <c r="X24" s="43" t="s">
        <v>606</v>
      </c>
      <c r="Y24" s="43" t="s">
        <v>846</v>
      </c>
      <c r="Z24" s="43" t="s">
        <v>1289</v>
      </c>
      <c r="AA24" s="145" t="s">
        <v>847</v>
      </c>
      <c r="AB24" s="43" t="s">
        <v>608</v>
      </c>
      <c r="AC24" s="43" t="s">
        <v>609</v>
      </c>
      <c r="AD24" s="43" t="s">
        <v>844</v>
      </c>
      <c r="AE24" s="43" t="s">
        <v>845</v>
      </c>
      <c r="AF24" s="43" t="s">
        <v>757</v>
      </c>
      <c r="AG24" s="94" t="s">
        <v>310</v>
      </c>
      <c r="AH24" s="94" t="s">
        <v>311</v>
      </c>
      <c r="AI24" s="94" t="s">
        <v>312</v>
      </c>
      <c r="AJ24" s="94" t="s">
        <v>313</v>
      </c>
      <c r="AK24" s="43"/>
      <c r="AL24" s="203"/>
      <c r="AM24" s="203"/>
      <c r="AN24" s="203"/>
      <c r="AQ24" s="99" t="s">
        <v>835</v>
      </c>
      <c r="AR24" s="100" t="s">
        <v>802</v>
      </c>
      <c r="AS24" s="101">
        <v>0.16551645484514596</v>
      </c>
      <c r="AT24" s="101">
        <v>6.6960000000000006E-2</v>
      </c>
      <c r="AU24" s="101">
        <v>7.9101212399999815E-2</v>
      </c>
      <c r="AX24" s="245"/>
      <c r="AY24" s="284" t="s">
        <v>997</v>
      </c>
      <c r="AZ24" s="284" t="s">
        <v>999</v>
      </c>
      <c r="BA24" s="284" t="s">
        <v>1000</v>
      </c>
      <c r="BB24" s="284" t="s">
        <v>998</v>
      </c>
      <c r="BC24" s="284" t="s">
        <v>739</v>
      </c>
      <c r="BD24" s="385">
        <f>SUMPRODUCT(AY7:AY21,AZ25:AZ39,BC25:BC39)</f>
        <v>9.7742583551846562E-2</v>
      </c>
    </row>
    <row r="25" spans="1:65">
      <c r="A25" s="203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40"/>
      <c r="AB25" s="239"/>
      <c r="AC25" s="239"/>
      <c r="AD25" s="239"/>
      <c r="AE25" s="239"/>
      <c r="AF25" s="239"/>
      <c r="AG25" s="237"/>
      <c r="AH25" s="237"/>
      <c r="AI25" s="237"/>
      <c r="AJ25" s="237"/>
      <c r="AK25" s="239"/>
      <c r="AL25" s="203"/>
      <c r="AM25" s="203"/>
      <c r="AN25" s="203"/>
      <c r="AQ25" s="99" t="s">
        <v>902</v>
      </c>
      <c r="AR25" s="100" t="s">
        <v>902</v>
      </c>
      <c r="AS25" s="131">
        <v>0.16551645484514596</v>
      </c>
      <c r="AT25" s="131">
        <v>6.6960000000000006E-2</v>
      </c>
      <c r="AU25" s="131">
        <v>7.9101212399999815E-2</v>
      </c>
      <c r="AX25" s="184" t="str">
        <f>$C$38</f>
        <v>INDNGA</v>
      </c>
      <c r="AY25" s="281">
        <v>0.84</v>
      </c>
      <c r="AZ25" s="293">
        <f t="shared" ref="AZ25:AZ39" si="3">MAX(0.15,BB7*AZ$22/AZ$23*(1-AZ$4))</f>
        <v>0.50022409117390976</v>
      </c>
      <c r="BA25" s="285">
        <f t="shared" ref="BA25:BA39" ca="1" si="4">MAX(0.01,(MAX(AY25,MIN(1,AZ25+BA7/(AY7+Tiny)*BA$22/BA$23))-AZ25)/AZ25)</f>
        <v>0.67924739096174891</v>
      </c>
      <c r="BB25" s="282">
        <f>AZ25*BA25*AY7</f>
        <v>0.62066582450206509</v>
      </c>
      <c r="BC25" s="129">
        <v>0.1</v>
      </c>
      <c r="BD25" s="282">
        <f>IF(BD$24&gt;0,AZ25*AY7*BC25*$BE$10/$BD$24*BA25)</f>
        <v>1.7462511787150661E-2</v>
      </c>
    </row>
    <row r="26" spans="1:65" ht="18">
      <c r="A26" s="86" t="s">
        <v>957</v>
      </c>
      <c r="B26" s="88"/>
      <c r="C26" s="88"/>
      <c r="D26" s="88"/>
      <c r="E26" s="88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Q26" s="99" t="s">
        <v>607</v>
      </c>
      <c r="AR26" s="100" t="s">
        <v>652</v>
      </c>
      <c r="AS26" s="101">
        <v>0</v>
      </c>
      <c r="AT26" s="101">
        <v>0</v>
      </c>
      <c r="AU26" s="101">
        <v>0</v>
      </c>
      <c r="AX26" s="184" t="str">
        <f>$D$38</f>
        <v>INDLPG</v>
      </c>
      <c r="AY26" s="281">
        <v>0.84</v>
      </c>
      <c r="AZ26" s="293">
        <f t="shared" si="3"/>
        <v>0.15</v>
      </c>
      <c r="BA26" s="285">
        <f t="shared" ca="1" si="4"/>
        <v>4.5999999999999996</v>
      </c>
      <c r="BB26" s="282">
        <f t="shared" ref="BB26:BB39" si="5">AZ26*BA26*AY8</f>
        <v>0</v>
      </c>
      <c r="BC26" s="129">
        <v>0.1</v>
      </c>
      <c r="BD26" s="282">
        <f t="shared" ref="BD26:BD39" si="6">IF(BD$24&gt;0,AZ26*AY8*BC26*$BE$10/$BD$24*BA26)</f>
        <v>0</v>
      </c>
    </row>
    <row r="27" spans="1:65">
      <c r="A27" s="203"/>
      <c r="B27" s="41" t="s">
        <v>781</v>
      </c>
      <c r="C27" s="41" t="s">
        <v>894</v>
      </c>
      <c r="D27" s="41" t="s">
        <v>663</v>
      </c>
      <c r="E27" s="41" t="s">
        <v>562</v>
      </c>
      <c r="F27" s="41" t="s">
        <v>545</v>
      </c>
      <c r="G27" s="41" t="s">
        <v>561</v>
      </c>
      <c r="H27" s="41" t="s">
        <v>898</v>
      </c>
      <c r="I27" s="41" t="s">
        <v>897</v>
      </c>
      <c r="J27" s="41" t="s">
        <v>1149</v>
      </c>
      <c r="K27" s="41" t="s">
        <v>895</v>
      </c>
      <c r="L27" s="41" t="s">
        <v>544</v>
      </c>
      <c r="M27" s="41" t="s">
        <v>779</v>
      </c>
      <c r="N27" s="41" t="s">
        <v>780</v>
      </c>
      <c r="O27" s="41" t="s">
        <v>899</v>
      </c>
      <c r="P27" s="41" t="s">
        <v>900</v>
      </c>
      <c r="Q27" s="41" t="s">
        <v>949</v>
      </c>
      <c r="R27" s="41" t="s">
        <v>901</v>
      </c>
      <c r="S27" s="41" t="s">
        <v>782</v>
      </c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Q27" s="99" t="s">
        <v>609</v>
      </c>
      <c r="AR27" s="100" t="s">
        <v>595</v>
      </c>
      <c r="AS27" s="101">
        <v>0</v>
      </c>
      <c r="AT27" s="101">
        <v>0</v>
      </c>
      <c r="AU27" s="101">
        <v>0</v>
      </c>
      <c r="AX27" s="184" t="str">
        <f>$E$38</f>
        <v>INDNGL</v>
      </c>
      <c r="AY27" s="281">
        <v>0.82</v>
      </c>
      <c r="AZ27" s="293">
        <f t="shared" si="3"/>
        <v>0.15</v>
      </c>
      <c r="BA27" s="285">
        <f t="shared" ca="1" si="4"/>
        <v>4.4666666666666668</v>
      </c>
      <c r="BB27" s="282">
        <f t="shared" si="5"/>
        <v>0</v>
      </c>
      <c r="BC27" s="129">
        <v>0.1</v>
      </c>
      <c r="BD27" s="282">
        <f t="shared" si="6"/>
        <v>0</v>
      </c>
    </row>
    <row r="28" spans="1:65">
      <c r="A28" s="237" t="s">
        <v>568</v>
      </c>
      <c r="B28" s="40">
        <f t="shared" ref="B28:B35" si="7">$B12</f>
        <v>7.286781894794557E-2</v>
      </c>
      <c r="C28" s="40">
        <f t="shared" ref="C28:C35" si="8">$C12+$M12</f>
        <v>1.2999999999999999E-2</v>
      </c>
      <c r="D28" s="40">
        <f t="shared" ref="D28:D35" si="9">$D12</f>
        <v>3.2000000000000001E-2</v>
      </c>
      <c r="E28" s="40">
        <f>MAX(0,$E12)</f>
        <v>0</v>
      </c>
      <c r="F28" s="40">
        <f>$F12</f>
        <v>0</v>
      </c>
      <c r="G28" s="40">
        <f t="shared" ref="G28:G35" si="10">$H12</f>
        <v>0</v>
      </c>
      <c r="H28" s="40">
        <f t="shared" ref="H28:H35" si="11">$J12</f>
        <v>0</v>
      </c>
      <c r="I28" s="40">
        <f>MAX(0,$K12+$I12+$L12)</f>
        <v>0</v>
      </c>
      <c r="J28" s="40">
        <f>MAX(0,$G12)</f>
        <v>0</v>
      </c>
      <c r="K28" s="40">
        <f>$P12+$O12+$T12</f>
        <v>1.4E-2</v>
      </c>
      <c r="L28" s="40">
        <f t="shared" ref="L28:L35" si="12">$Q12+$R12+$S12+$AF12</f>
        <v>1E-3</v>
      </c>
      <c r="M28" s="40">
        <f>$U12+$N12</f>
        <v>0</v>
      </c>
      <c r="N28" s="40">
        <f t="shared" ref="N28:N37" si="13">$V12</f>
        <v>0</v>
      </c>
      <c r="O28" s="40">
        <f>$W12</f>
        <v>0</v>
      </c>
      <c r="P28" s="40">
        <f>SUM(X12:AC12)</f>
        <v>0</v>
      </c>
      <c r="Q28" s="40">
        <f t="shared" ref="Q28:Q35" si="14">$AE12</f>
        <v>0</v>
      </c>
      <c r="R28" s="40">
        <f t="shared" ref="R28:R35" si="15">$AD12</f>
        <v>8.9999999999999993E-3</v>
      </c>
      <c r="S28" s="40">
        <f t="shared" ref="S28:S34" si="16">SUM(B28:R28)</f>
        <v>0.14186781894794559</v>
      </c>
      <c r="T28" s="203" t="str">
        <f t="shared" ref="T28:T34" si="17">A28</f>
        <v>IIS</v>
      </c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Q28" s="99" t="s">
        <v>608</v>
      </c>
      <c r="AR28" s="100" t="s">
        <v>178</v>
      </c>
      <c r="AS28" s="101">
        <v>0.46620043994402882</v>
      </c>
      <c r="AT28" s="101">
        <v>9.4981833922225117E-2</v>
      </c>
      <c r="AU28" s="101">
        <v>0.27448712686234616</v>
      </c>
      <c r="AX28" s="184" t="str">
        <f>$F$38</f>
        <v>INDCOA</v>
      </c>
      <c r="AY28" s="105">
        <v>0.81</v>
      </c>
      <c r="AZ28" s="293">
        <f t="shared" si="3"/>
        <v>0.15</v>
      </c>
      <c r="BA28" s="285">
        <f t="shared" ca="1" si="4"/>
        <v>4.6654095537472342</v>
      </c>
      <c r="BB28" s="282">
        <f t="shared" si="5"/>
        <v>0.35647289735214843</v>
      </c>
      <c r="BC28" s="129">
        <v>0</v>
      </c>
      <c r="BD28" s="282">
        <f t="shared" si="6"/>
        <v>0</v>
      </c>
    </row>
    <row r="29" spans="1:65">
      <c r="A29" s="237" t="s">
        <v>880</v>
      </c>
      <c r="B29" s="40">
        <f t="shared" si="7"/>
        <v>7.286781894794557E-2</v>
      </c>
      <c r="C29" s="40">
        <f t="shared" si="8"/>
        <v>1E-3</v>
      </c>
      <c r="D29" s="40">
        <f t="shared" si="9"/>
        <v>5.0000000000000001E-3</v>
      </c>
      <c r="E29" s="40">
        <f t="shared" ref="E29:E37" si="18">MAX(0,$E13)</f>
        <v>0</v>
      </c>
      <c r="F29" s="40">
        <f t="shared" ref="F29:F37" si="19">$F13</f>
        <v>0</v>
      </c>
      <c r="G29" s="40">
        <f t="shared" si="10"/>
        <v>0</v>
      </c>
      <c r="H29" s="40">
        <f t="shared" si="11"/>
        <v>0</v>
      </c>
      <c r="I29" s="40">
        <f t="shared" ref="I29:I37" si="20">MAX(0,$K13+$I13+$L13)</f>
        <v>0</v>
      </c>
      <c r="J29" s="40">
        <f t="shared" ref="J29:J37" si="21">MAX(0,$G13)</f>
        <v>0</v>
      </c>
      <c r="K29" s="40">
        <f t="shared" ref="K29:K37" si="22">$P13+$O13+$T13</f>
        <v>5.0000000000000001E-3</v>
      </c>
      <c r="L29" s="40">
        <f t="shared" si="12"/>
        <v>3.0000000000000001E-3</v>
      </c>
      <c r="M29" s="40">
        <f t="shared" ref="M29:M37" si="23">$U13+$N13</f>
        <v>0</v>
      </c>
      <c r="N29" s="40">
        <f t="shared" si="13"/>
        <v>0</v>
      </c>
      <c r="O29" s="40">
        <f t="shared" ref="O29:O37" si="24">$W13</f>
        <v>0</v>
      </c>
      <c r="P29" s="40">
        <f t="shared" ref="P29:P37" si="25">SUM(X13:AC13)</f>
        <v>4.0000000000000001E-3</v>
      </c>
      <c r="Q29" s="40">
        <f t="shared" si="14"/>
        <v>0</v>
      </c>
      <c r="R29" s="40">
        <f t="shared" si="15"/>
        <v>2.4E-2</v>
      </c>
      <c r="S29" s="40">
        <f t="shared" si="16"/>
        <v>0.11486781894794559</v>
      </c>
      <c r="T29" s="203" t="str">
        <f t="shared" si="17"/>
        <v>INF</v>
      </c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Q29" s="99" t="s">
        <v>606</v>
      </c>
      <c r="AR29" s="100" t="s">
        <v>947</v>
      </c>
      <c r="AS29" s="101">
        <v>0</v>
      </c>
      <c r="AT29" s="101">
        <v>0</v>
      </c>
      <c r="AU29" s="101">
        <v>0</v>
      </c>
      <c r="AX29" s="184" t="str">
        <f>$G$38</f>
        <v>INDCOK</v>
      </c>
      <c r="AY29" s="105">
        <v>0.8</v>
      </c>
      <c r="AZ29" s="293">
        <f t="shared" si="3"/>
        <v>0.15</v>
      </c>
      <c r="BA29" s="285">
        <f t="shared" ca="1" si="4"/>
        <v>4.3333333333333339</v>
      </c>
      <c r="BB29" s="282">
        <f t="shared" si="5"/>
        <v>0</v>
      </c>
      <c r="BC29" s="129">
        <v>0.1</v>
      </c>
      <c r="BD29" s="282">
        <f t="shared" si="6"/>
        <v>0</v>
      </c>
    </row>
    <row r="30" spans="1:65">
      <c r="A30" s="237" t="s">
        <v>787</v>
      </c>
      <c r="B30" s="40">
        <f t="shared" si="7"/>
        <v>0.36717810067276463</v>
      </c>
      <c r="C30" s="40">
        <f t="shared" si="8"/>
        <v>0.27400000000000002</v>
      </c>
      <c r="D30" s="40">
        <f t="shared" si="9"/>
        <v>0.12</v>
      </c>
      <c r="E30" s="40">
        <f t="shared" si="18"/>
        <v>0</v>
      </c>
      <c r="F30" s="40">
        <f t="shared" si="19"/>
        <v>0</v>
      </c>
      <c r="G30" s="40">
        <f t="shared" si="10"/>
        <v>0</v>
      </c>
      <c r="H30" s="40">
        <f t="shared" si="11"/>
        <v>0</v>
      </c>
      <c r="I30" s="40">
        <f t="shared" si="20"/>
        <v>0</v>
      </c>
      <c r="J30" s="40">
        <f t="shared" si="21"/>
        <v>0</v>
      </c>
      <c r="K30" s="40">
        <f t="shared" si="22"/>
        <v>6.6000000000000003E-2</v>
      </c>
      <c r="L30" s="40">
        <f t="shared" si="12"/>
        <v>4.0000000000000001E-3</v>
      </c>
      <c r="M30" s="40">
        <f t="shared" si="23"/>
        <v>0</v>
      </c>
      <c r="N30" s="40">
        <f t="shared" si="13"/>
        <v>0.30499999999999999</v>
      </c>
      <c r="O30" s="40">
        <f t="shared" si="24"/>
        <v>0</v>
      </c>
      <c r="P30" s="40">
        <f t="shared" si="25"/>
        <v>7.0000000000000001E-3</v>
      </c>
      <c r="Q30" s="40">
        <f t="shared" si="14"/>
        <v>0</v>
      </c>
      <c r="R30" s="40">
        <f t="shared" si="15"/>
        <v>0.30399999999999999</v>
      </c>
      <c r="S30" s="40">
        <f t="shared" si="16"/>
        <v>1.4471781006727644</v>
      </c>
      <c r="T30" s="203" t="str">
        <f t="shared" si="17"/>
        <v>ICH</v>
      </c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Q30" s="99" t="s">
        <v>596</v>
      </c>
      <c r="AR30" s="100" t="s">
        <v>597</v>
      </c>
      <c r="AS30" s="101">
        <v>0</v>
      </c>
      <c r="AT30" s="101">
        <v>0</v>
      </c>
      <c r="AU30" s="101">
        <v>0</v>
      </c>
      <c r="AX30" s="184" t="str">
        <f>$H$38</f>
        <v>INDCOG</v>
      </c>
      <c r="AY30" s="105">
        <v>0.8</v>
      </c>
      <c r="AZ30" s="293">
        <f t="shared" si="3"/>
        <v>0.15</v>
      </c>
      <c r="BA30" s="285">
        <f t="shared" ca="1" si="4"/>
        <v>4.3333333333333339</v>
      </c>
      <c r="BB30" s="282">
        <f t="shared" si="5"/>
        <v>0</v>
      </c>
      <c r="BC30" s="129">
        <v>0.1</v>
      </c>
      <c r="BD30" s="282">
        <f t="shared" si="6"/>
        <v>0</v>
      </c>
      <c r="BM30" s="80"/>
    </row>
    <row r="31" spans="1:65">
      <c r="A31" s="237" t="s">
        <v>978</v>
      </c>
      <c r="B31" s="40">
        <f t="shared" si="7"/>
        <v>8.9428686890660469E-2</v>
      </c>
      <c r="C31" s="40">
        <f t="shared" si="8"/>
        <v>2.5000000000000001E-2</v>
      </c>
      <c r="D31" s="40">
        <f t="shared" si="9"/>
        <v>3.0000000000000001E-3</v>
      </c>
      <c r="E31" s="40">
        <f t="shared" si="18"/>
        <v>0</v>
      </c>
      <c r="F31" s="40">
        <f t="shared" si="19"/>
        <v>1E-3</v>
      </c>
      <c r="G31" s="40">
        <f t="shared" si="10"/>
        <v>0</v>
      </c>
      <c r="H31" s="40">
        <f t="shared" si="11"/>
        <v>0</v>
      </c>
      <c r="I31" s="40">
        <f t="shared" si="20"/>
        <v>0</v>
      </c>
      <c r="J31" s="40">
        <f t="shared" si="21"/>
        <v>0.01</v>
      </c>
      <c r="K31" s="40">
        <f t="shared" si="22"/>
        <v>6.0000000000000001E-3</v>
      </c>
      <c r="L31" s="40">
        <f t="shared" si="12"/>
        <v>0</v>
      </c>
      <c r="M31" s="40">
        <f t="shared" si="23"/>
        <v>0</v>
      </c>
      <c r="N31" s="40">
        <f t="shared" si="13"/>
        <v>0</v>
      </c>
      <c r="O31" s="40">
        <f t="shared" si="24"/>
        <v>0</v>
      </c>
      <c r="P31" s="40">
        <f t="shared" si="25"/>
        <v>0.14200000000000002</v>
      </c>
      <c r="Q31" s="40">
        <f t="shared" si="14"/>
        <v>0</v>
      </c>
      <c r="R31" s="40">
        <f t="shared" si="15"/>
        <v>6.0000000000000001E-3</v>
      </c>
      <c r="S31" s="40">
        <f t="shared" si="16"/>
        <v>0.28242868689066047</v>
      </c>
      <c r="T31" s="203" t="str">
        <f t="shared" si="17"/>
        <v>ILP</v>
      </c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Q31" s="99" t="s">
        <v>902</v>
      </c>
      <c r="AR31" s="100" t="s">
        <v>902</v>
      </c>
      <c r="AS31" s="131">
        <v>0.46620043994402882</v>
      </c>
      <c r="AT31" s="131">
        <v>9.4981833922225117E-2</v>
      </c>
      <c r="AU31" s="131">
        <v>0.27448712686234616</v>
      </c>
      <c r="AX31" s="184" t="str">
        <f>$I$38</f>
        <v>INDBFG</v>
      </c>
      <c r="AY31" s="105">
        <v>0.8</v>
      </c>
      <c r="AZ31" s="293">
        <f t="shared" si="3"/>
        <v>0.15</v>
      </c>
      <c r="BA31" s="285">
        <f t="shared" ca="1" si="4"/>
        <v>4.3333333333333339</v>
      </c>
      <c r="BB31" s="282">
        <f t="shared" si="5"/>
        <v>0</v>
      </c>
      <c r="BC31" s="129">
        <v>0</v>
      </c>
      <c r="BD31" s="282">
        <f t="shared" si="6"/>
        <v>0</v>
      </c>
      <c r="BM31" s="80"/>
    </row>
    <row r="32" spans="1:65">
      <c r="A32" s="237" t="s">
        <v>879</v>
      </c>
      <c r="B32" s="40">
        <f t="shared" si="7"/>
        <v>0.18568245875165196</v>
      </c>
      <c r="C32" s="40">
        <f t="shared" si="8"/>
        <v>0.09</v>
      </c>
      <c r="D32" s="40">
        <f t="shared" si="9"/>
        <v>4.4999999999999998E-2</v>
      </c>
      <c r="E32" s="40">
        <f t="shared" si="18"/>
        <v>0</v>
      </c>
      <c r="F32" s="40">
        <f t="shared" si="19"/>
        <v>0.19500000000000001</v>
      </c>
      <c r="G32" s="40">
        <f t="shared" si="10"/>
        <v>0</v>
      </c>
      <c r="H32" s="40">
        <f t="shared" si="11"/>
        <v>0</v>
      </c>
      <c r="I32" s="40">
        <f t="shared" si="20"/>
        <v>0</v>
      </c>
      <c r="J32" s="40">
        <f t="shared" si="21"/>
        <v>1E-3</v>
      </c>
      <c r="K32" s="40">
        <f t="shared" si="22"/>
        <v>2.1999999999999999E-2</v>
      </c>
      <c r="L32" s="40">
        <f t="shared" si="12"/>
        <v>2.3E-2</v>
      </c>
      <c r="M32" s="40">
        <f t="shared" si="23"/>
        <v>0</v>
      </c>
      <c r="N32" s="40">
        <f t="shared" si="13"/>
        <v>0</v>
      </c>
      <c r="O32" s="40">
        <f t="shared" si="24"/>
        <v>5.3999999999999999E-2</v>
      </c>
      <c r="P32" s="40">
        <f t="shared" si="25"/>
        <v>0.01</v>
      </c>
      <c r="Q32" s="40">
        <f t="shared" si="14"/>
        <v>0</v>
      </c>
      <c r="R32" s="40">
        <f t="shared" si="15"/>
        <v>4.7E-2</v>
      </c>
      <c r="S32" s="40">
        <f t="shared" si="16"/>
        <v>0.67268245875165211</v>
      </c>
      <c r="T32" s="203" t="str">
        <f t="shared" si="17"/>
        <v>INM</v>
      </c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Q32" s="103" t="s">
        <v>953</v>
      </c>
      <c r="AR32" s="100" t="s">
        <v>193</v>
      </c>
      <c r="AS32" s="101">
        <v>0</v>
      </c>
      <c r="AT32" s="101">
        <v>0</v>
      </c>
      <c r="AU32" s="101">
        <v>0</v>
      </c>
      <c r="AX32" s="184" t="str">
        <f>$J$38</f>
        <v>INDBCO</v>
      </c>
      <c r="AY32" s="105">
        <v>0.81</v>
      </c>
      <c r="AZ32" s="293">
        <f t="shared" si="3"/>
        <v>0.15</v>
      </c>
      <c r="BA32" s="285">
        <f t="shared" ca="1" si="4"/>
        <v>4.4000000000000004</v>
      </c>
      <c r="BB32" s="282">
        <f t="shared" si="5"/>
        <v>0</v>
      </c>
      <c r="BC32" s="129">
        <v>0</v>
      </c>
      <c r="BD32" s="282">
        <f t="shared" si="6"/>
        <v>0</v>
      </c>
      <c r="BM32" s="80"/>
    </row>
    <row r="33" spans="1:65" ht="13.5" thickBot="1">
      <c r="A33" s="237" t="s">
        <v>722</v>
      </c>
      <c r="B33" s="40">
        <f t="shared" si="7"/>
        <v>2.7043791490591844</v>
      </c>
      <c r="C33" s="40">
        <f t="shared" si="8"/>
        <v>0.2176159584981894</v>
      </c>
      <c r="D33" s="40">
        <f t="shared" si="9"/>
        <v>0.13582807407658209</v>
      </c>
      <c r="E33" s="40">
        <f t="shared" si="18"/>
        <v>0</v>
      </c>
      <c r="F33" s="40">
        <f t="shared" si="19"/>
        <v>0</v>
      </c>
      <c r="G33" s="40">
        <f t="shared" si="10"/>
        <v>0</v>
      </c>
      <c r="H33" s="40">
        <f t="shared" si="11"/>
        <v>0</v>
      </c>
      <c r="I33" s="40">
        <f t="shared" si="20"/>
        <v>0</v>
      </c>
      <c r="J33" s="40">
        <f t="shared" si="21"/>
        <v>9.2839633011830527E-2</v>
      </c>
      <c r="K33" s="40">
        <f t="shared" si="22"/>
        <v>0.30032570497861699</v>
      </c>
      <c r="L33" s="40">
        <f t="shared" si="12"/>
        <v>1.3548581954210062</v>
      </c>
      <c r="M33" s="40">
        <f t="shared" si="23"/>
        <v>0</v>
      </c>
      <c r="N33" s="40">
        <f t="shared" si="13"/>
        <v>0</v>
      </c>
      <c r="O33" s="40">
        <f t="shared" si="24"/>
        <v>0</v>
      </c>
      <c r="P33" s="40">
        <f t="shared" si="25"/>
        <v>0.50367929185414095</v>
      </c>
      <c r="Q33" s="40">
        <f t="shared" si="14"/>
        <v>0</v>
      </c>
      <c r="R33" s="40">
        <f t="shared" si="15"/>
        <v>4.3123211225965141</v>
      </c>
      <c r="S33" s="40">
        <f t="shared" si="16"/>
        <v>9.6218471294960644</v>
      </c>
      <c r="T33" s="203" t="str">
        <f t="shared" si="17"/>
        <v>IOI</v>
      </c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Q33" s="103" t="s">
        <v>952</v>
      </c>
      <c r="AR33" s="100" t="s">
        <v>598</v>
      </c>
      <c r="AS33" s="101">
        <v>0.5093842148196559</v>
      </c>
      <c r="AT33" s="101">
        <v>7.0391596961919239E-2</v>
      </c>
      <c r="AU33" s="101">
        <v>0.35647289805195986</v>
      </c>
      <c r="AX33" s="184" t="str">
        <f>$K$38</f>
        <v>INDHFO</v>
      </c>
      <c r="AY33" s="105">
        <v>0.82</v>
      </c>
      <c r="AZ33" s="293">
        <f t="shared" si="3"/>
        <v>0.38467868275589584</v>
      </c>
      <c r="BA33" s="285">
        <f t="shared" ca="1" si="4"/>
        <v>1.242349648632926</v>
      </c>
      <c r="BB33" s="282">
        <f t="shared" si="5"/>
        <v>7.9101211922094378E-2</v>
      </c>
      <c r="BC33" s="129">
        <v>0.1</v>
      </c>
      <c r="BD33" s="282">
        <f t="shared" si="6"/>
        <v>2.2255226420363019E-3</v>
      </c>
      <c r="BF33" s="284"/>
      <c r="BG33" s="284" t="s">
        <v>946</v>
      </c>
      <c r="BH33" s="284" t="s">
        <v>888</v>
      </c>
      <c r="BI33" s="284" t="s">
        <v>736</v>
      </c>
      <c r="BJ33" s="284" t="s">
        <v>737</v>
      </c>
      <c r="BM33" s="80"/>
    </row>
    <row r="34" spans="1:65">
      <c r="A34" s="237" t="str">
        <f>A18</f>
        <v>TOTIND</v>
      </c>
      <c r="B34" s="40">
        <f t="shared" si="7"/>
        <v>3.4924040332701525</v>
      </c>
      <c r="C34" s="40">
        <f t="shared" si="8"/>
        <v>0.6206159584981894</v>
      </c>
      <c r="D34" s="40">
        <f t="shared" si="9"/>
        <v>0.34082807407658211</v>
      </c>
      <c r="E34" s="40">
        <f t="shared" si="18"/>
        <v>0</v>
      </c>
      <c r="F34" s="40">
        <f t="shared" si="19"/>
        <v>0.19600000000000001</v>
      </c>
      <c r="G34" s="40">
        <f t="shared" si="10"/>
        <v>0</v>
      </c>
      <c r="H34" s="40">
        <f t="shared" si="11"/>
        <v>0</v>
      </c>
      <c r="I34" s="40">
        <f t="shared" si="20"/>
        <v>0</v>
      </c>
      <c r="J34" s="40">
        <f t="shared" si="21"/>
        <v>0.10383963301183052</v>
      </c>
      <c r="K34" s="40">
        <f t="shared" si="22"/>
        <v>0.41332570497861698</v>
      </c>
      <c r="L34" s="40">
        <f t="shared" si="12"/>
        <v>1.3858581954210061</v>
      </c>
      <c r="M34" s="40">
        <f t="shared" si="23"/>
        <v>0</v>
      </c>
      <c r="N34" s="40">
        <f t="shared" si="13"/>
        <v>0.30499999999999999</v>
      </c>
      <c r="O34" s="40">
        <f t="shared" si="24"/>
        <v>5.3999999999999999E-2</v>
      </c>
      <c r="P34" s="40">
        <f t="shared" si="25"/>
        <v>0.66667929185414099</v>
      </c>
      <c r="Q34" s="40">
        <f t="shared" si="14"/>
        <v>0</v>
      </c>
      <c r="R34" s="40">
        <f t="shared" si="15"/>
        <v>4.7023211225965138</v>
      </c>
      <c r="S34" s="40">
        <f t="shared" si="16"/>
        <v>12.280872013707032</v>
      </c>
      <c r="T34" s="203" t="str">
        <f t="shared" si="17"/>
        <v>TOTIND</v>
      </c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Q34" s="103" t="s">
        <v>954</v>
      </c>
      <c r="AR34" s="100" t="s">
        <v>799</v>
      </c>
      <c r="AS34" s="101">
        <v>0</v>
      </c>
      <c r="AT34" s="101">
        <v>0</v>
      </c>
      <c r="AU34" s="101">
        <v>0</v>
      </c>
      <c r="AX34" s="184" t="str">
        <f>$L$38</f>
        <v>INDOIL</v>
      </c>
      <c r="AY34" s="105">
        <v>0.82</v>
      </c>
      <c r="AZ34" s="293">
        <f t="shared" si="3"/>
        <v>0.15</v>
      </c>
      <c r="BA34" s="285">
        <f t="shared" ca="1" si="4"/>
        <v>4.4666666666666668</v>
      </c>
      <c r="BB34" s="282">
        <f t="shared" si="5"/>
        <v>0</v>
      </c>
      <c r="BC34" s="129">
        <v>0.1</v>
      </c>
      <c r="BD34" s="282">
        <f t="shared" si="6"/>
        <v>0</v>
      </c>
      <c r="BF34" s="184" t="s">
        <v>577</v>
      </c>
      <c r="BG34" s="299">
        <f t="shared" ref="BG34:BH39" si="26">T59</f>
        <v>8.9999999999999993E-3</v>
      </c>
      <c r="BH34" s="299">
        <f t="shared" si="26"/>
        <v>1.32E-2</v>
      </c>
      <c r="BI34" s="300">
        <v>5</v>
      </c>
      <c r="BJ34" s="299">
        <f t="shared" ref="BJ34:BJ39" si="27">IF(BI$40&gt;0,MAX(0,BG34+BI34*BH34/BI$40*BB$42))</f>
        <v>9.1165597999088872E-3</v>
      </c>
    </row>
    <row r="35" spans="1:65">
      <c r="A35" s="237" t="s">
        <v>285</v>
      </c>
      <c r="B35" s="40">
        <f t="shared" si="7"/>
        <v>0</v>
      </c>
      <c r="C35" s="40">
        <f t="shared" si="8"/>
        <v>0</v>
      </c>
      <c r="D35" s="40">
        <f t="shared" si="9"/>
        <v>0</v>
      </c>
      <c r="E35" s="40">
        <f t="shared" si="18"/>
        <v>0</v>
      </c>
      <c r="F35" s="40">
        <f t="shared" si="19"/>
        <v>0</v>
      </c>
      <c r="G35" s="40">
        <f t="shared" si="10"/>
        <v>0</v>
      </c>
      <c r="H35" s="40">
        <f t="shared" si="11"/>
        <v>0</v>
      </c>
      <c r="I35" s="40">
        <f t="shared" si="20"/>
        <v>0</v>
      </c>
      <c r="J35" s="40">
        <f t="shared" si="21"/>
        <v>0</v>
      </c>
      <c r="K35" s="40">
        <f t="shared" si="22"/>
        <v>0</v>
      </c>
      <c r="L35" s="40">
        <f t="shared" si="12"/>
        <v>0</v>
      </c>
      <c r="M35" s="40">
        <f t="shared" si="23"/>
        <v>0</v>
      </c>
      <c r="N35" s="40">
        <f t="shared" si="13"/>
        <v>0</v>
      </c>
      <c r="O35" s="40">
        <f t="shared" si="24"/>
        <v>0</v>
      </c>
      <c r="P35" s="40">
        <f t="shared" si="25"/>
        <v>0</v>
      </c>
      <c r="Q35" s="40">
        <f t="shared" si="14"/>
        <v>0</v>
      </c>
      <c r="R35" s="40">
        <f t="shared" si="15"/>
        <v>0</v>
      </c>
      <c r="S35" s="40">
        <f>SUM(B35:R35)</f>
        <v>0</v>
      </c>
      <c r="T35" s="203" t="s">
        <v>285</v>
      </c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Q35" s="99" t="s">
        <v>842</v>
      </c>
      <c r="AR35" s="100" t="s">
        <v>806</v>
      </c>
      <c r="AS35" s="101">
        <v>0</v>
      </c>
      <c r="AT35" s="101">
        <v>0</v>
      </c>
      <c r="AU35" s="101">
        <v>0</v>
      </c>
      <c r="AX35" s="184" t="str">
        <f>$M$38</f>
        <v>INDETH</v>
      </c>
      <c r="AY35" s="105">
        <v>0.8</v>
      </c>
      <c r="AZ35" s="293">
        <f t="shared" si="3"/>
        <v>0.15</v>
      </c>
      <c r="BA35" s="285">
        <f t="shared" ca="1" si="4"/>
        <v>4.3333333333333339</v>
      </c>
      <c r="BB35" s="282">
        <f t="shared" si="5"/>
        <v>0</v>
      </c>
      <c r="BC35" s="129">
        <v>0.9</v>
      </c>
      <c r="BD35" s="282">
        <f t="shared" si="6"/>
        <v>0</v>
      </c>
      <c r="BF35" s="184" t="s">
        <v>859</v>
      </c>
      <c r="BG35" s="299">
        <f t="shared" si="26"/>
        <v>2.4E-2</v>
      </c>
      <c r="BH35" s="299">
        <f t="shared" si="26"/>
        <v>2.6100000000000002E-2</v>
      </c>
      <c r="BI35" s="300">
        <v>5</v>
      </c>
      <c r="BJ35" s="299">
        <f t="shared" si="27"/>
        <v>2.4230470513456212E-2</v>
      </c>
    </row>
    <row r="36" spans="1:65">
      <c r="A36" s="237" t="s">
        <v>151</v>
      </c>
      <c r="B36" s="40">
        <f>$B20</f>
        <v>0</v>
      </c>
      <c r="C36" s="40">
        <f>$C20+$M20</f>
        <v>0</v>
      </c>
      <c r="D36" s="40">
        <f>$D20</f>
        <v>0</v>
      </c>
      <c r="E36" s="40">
        <f t="shared" si="18"/>
        <v>0</v>
      </c>
      <c r="F36" s="40">
        <f t="shared" si="19"/>
        <v>0</v>
      </c>
      <c r="G36" s="146">
        <f>$H20</f>
        <v>0</v>
      </c>
      <c r="H36" s="146">
        <f>$J20</f>
        <v>0</v>
      </c>
      <c r="I36" s="40">
        <f t="shared" si="20"/>
        <v>0</v>
      </c>
      <c r="J36" s="40">
        <f t="shared" si="21"/>
        <v>0</v>
      </c>
      <c r="K36" s="40">
        <f t="shared" si="22"/>
        <v>0</v>
      </c>
      <c r="L36" s="40">
        <f>$Q20+$R20+$S20+$AF20</f>
        <v>0</v>
      </c>
      <c r="M36" s="40">
        <f t="shared" si="23"/>
        <v>0</v>
      </c>
      <c r="N36" s="40">
        <f t="shared" si="13"/>
        <v>0</v>
      </c>
      <c r="O36" s="40">
        <f t="shared" si="24"/>
        <v>0</v>
      </c>
      <c r="P36" s="40">
        <f t="shared" si="25"/>
        <v>0</v>
      </c>
      <c r="Q36" s="40">
        <f>$AE20</f>
        <v>0</v>
      </c>
      <c r="R36" s="40">
        <f>$AD20</f>
        <v>0</v>
      </c>
      <c r="S36" s="40">
        <f>SUM(B36:R36)</f>
        <v>0</v>
      </c>
      <c r="T36" s="203" t="str">
        <f>A36</f>
        <v>ONO</v>
      </c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Q36" s="99" t="s">
        <v>902</v>
      </c>
      <c r="AR36" s="100" t="s">
        <v>902</v>
      </c>
      <c r="AS36" s="132">
        <v>0.5093842148196559</v>
      </c>
      <c r="AT36" s="132">
        <v>7.0391596961919239E-2</v>
      </c>
      <c r="AU36" s="132">
        <v>0.35647289805195986</v>
      </c>
      <c r="AX36" s="184" t="str">
        <f>$O$38</f>
        <v>INDPTC</v>
      </c>
      <c r="AY36" s="105">
        <v>0.8</v>
      </c>
      <c r="AZ36" s="293">
        <f>MAX(0.15,BB18*AZ$22/AZ$23*(1-AZ$4))</f>
        <v>0.15</v>
      </c>
      <c r="BA36" s="285">
        <f ca="1">MAX(0.01,(MAX(AY36,MIN(1,AZ36+BA18/(AY18+Tiny)*BA$22/BA$23))-AZ36)/AZ36)</f>
        <v>4.3333333333333339</v>
      </c>
      <c r="BB36" s="282">
        <f>AZ36*BA36*AY18</f>
        <v>0</v>
      </c>
      <c r="BC36" s="129">
        <v>0.1</v>
      </c>
      <c r="BD36" s="282">
        <f>IF(BD$24&gt;0,AZ36*AY18*BC36*$BE$10/$BD$24*BA36)</f>
        <v>0</v>
      </c>
      <c r="BF36" s="184" t="s">
        <v>570</v>
      </c>
      <c r="BG36" s="299">
        <f t="shared" si="26"/>
        <v>0.30399999999999999</v>
      </c>
      <c r="BH36" s="299">
        <f t="shared" si="26"/>
        <v>0.3729874914584082</v>
      </c>
      <c r="BI36" s="300">
        <v>10</v>
      </c>
      <c r="BJ36" s="299">
        <f t="shared" si="27"/>
        <v>0.31058717384438034</v>
      </c>
    </row>
    <row r="37" spans="1:65">
      <c r="A37" s="237" t="s">
        <v>903</v>
      </c>
      <c r="B37" s="40">
        <f>$B21</f>
        <v>0</v>
      </c>
      <c r="C37" s="40">
        <f>$C21+$M21</f>
        <v>0</v>
      </c>
      <c r="D37" s="40">
        <f>$D21</f>
        <v>0</v>
      </c>
      <c r="E37" s="40">
        <f t="shared" si="18"/>
        <v>0</v>
      </c>
      <c r="F37" s="40">
        <f t="shared" si="19"/>
        <v>0</v>
      </c>
      <c r="G37" s="40">
        <f>$H21</f>
        <v>0</v>
      </c>
      <c r="H37" s="40">
        <f>$J21</f>
        <v>0</v>
      </c>
      <c r="I37" s="40">
        <f t="shared" si="20"/>
        <v>0</v>
      </c>
      <c r="J37" s="40">
        <f t="shared" si="21"/>
        <v>0</v>
      </c>
      <c r="K37" s="40">
        <f t="shared" si="22"/>
        <v>0</v>
      </c>
      <c r="L37" s="40">
        <f>$Q21+$R21+$S21+$AF21</f>
        <v>0</v>
      </c>
      <c r="M37" s="40">
        <f t="shared" si="23"/>
        <v>0</v>
      </c>
      <c r="N37" s="40">
        <f t="shared" si="13"/>
        <v>0.30499999999999999</v>
      </c>
      <c r="O37" s="40">
        <f t="shared" si="24"/>
        <v>0</v>
      </c>
      <c r="P37" s="40">
        <f t="shared" si="25"/>
        <v>0</v>
      </c>
      <c r="Q37" s="40">
        <f>$AE21</f>
        <v>0</v>
      </c>
      <c r="R37" s="40">
        <f>$AD21</f>
        <v>0</v>
      </c>
      <c r="S37" s="40">
        <f>SUM(B37:R37)</f>
        <v>0.30499999999999999</v>
      </c>
      <c r="T37" s="203" t="str">
        <f>A37</f>
        <v>NECHEM</v>
      </c>
      <c r="U37" s="316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Q37" s="104" t="s">
        <v>599</v>
      </c>
      <c r="AR37" s="100" t="s">
        <v>600</v>
      </c>
      <c r="AS37" s="101">
        <v>0</v>
      </c>
      <c r="AT37" s="101">
        <v>0</v>
      </c>
      <c r="AU37" s="101">
        <v>0</v>
      </c>
      <c r="AX37" s="184" t="str">
        <f>$P$38</f>
        <v>INDBIO</v>
      </c>
      <c r="AY37" s="105">
        <v>0.8</v>
      </c>
      <c r="AZ37" s="293">
        <f>MAX(0.15,BB19*AZ$22/AZ$23*(1-AZ$4))</f>
        <v>0.19372770012506149</v>
      </c>
      <c r="BA37" s="285">
        <f ca="1">MAX(0.01,(MAX(AY37,MIN(1,AZ37+BA19/(AY19+Tiny)*BA$22/BA$23))-AZ37)/AZ37)</f>
        <v>3.1295075483968358</v>
      </c>
      <c r="BB37" s="282">
        <f>AZ37*BA37*AY19</f>
        <v>0.28264441292757453</v>
      </c>
      <c r="BC37" s="129">
        <v>0</v>
      </c>
      <c r="BD37" s="282">
        <f>IF(BD$24&gt;0,AZ37*AY19*BC37*$BE$10/$BD$24*BA37)</f>
        <v>0</v>
      </c>
      <c r="BF37" s="184" t="s">
        <v>979</v>
      </c>
      <c r="BG37" s="299">
        <f t="shared" si="26"/>
        <v>6.0000000000000001E-3</v>
      </c>
      <c r="BH37" s="299">
        <f t="shared" si="26"/>
        <v>0.18025000000000002</v>
      </c>
      <c r="BI37" s="300">
        <v>10</v>
      </c>
      <c r="BJ37" s="299">
        <f t="shared" si="27"/>
        <v>9.1833187778147217E-3</v>
      </c>
    </row>
    <row r="38" spans="1:65">
      <c r="A38" s="203"/>
      <c r="B38" s="43" t="s">
        <v>905</v>
      </c>
      <c r="C38" s="43" t="s">
        <v>906</v>
      </c>
      <c r="D38" s="43" t="s">
        <v>907</v>
      </c>
      <c r="E38" s="43" t="s">
        <v>908</v>
      </c>
      <c r="F38" s="43" t="s">
        <v>909</v>
      </c>
      <c r="G38" s="43" t="s">
        <v>910</v>
      </c>
      <c r="H38" s="43" t="s">
        <v>911</v>
      </c>
      <c r="I38" s="43" t="s">
        <v>912</v>
      </c>
      <c r="J38" s="43" t="s">
        <v>1150</v>
      </c>
      <c r="K38" s="43" t="s">
        <v>913</v>
      </c>
      <c r="L38" s="43" t="s">
        <v>826</v>
      </c>
      <c r="M38" s="43" t="s">
        <v>914</v>
      </c>
      <c r="N38" s="43" t="s">
        <v>915</v>
      </c>
      <c r="O38" s="43" t="s">
        <v>916</v>
      </c>
      <c r="P38" s="43" t="s">
        <v>917</v>
      </c>
      <c r="Q38" s="43" t="s">
        <v>950</v>
      </c>
      <c r="R38" s="43" t="s">
        <v>946</v>
      </c>
      <c r="S38" s="43" t="s">
        <v>888</v>
      </c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Q38" s="104" t="s">
        <v>601</v>
      </c>
      <c r="AR38" s="100" t="s">
        <v>602</v>
      </c>
      <c r="AS38" s="101">
        <v>0</v>
      </c>
      <c r="AT38" s="101">
        <v>0</v>
      </c>
      <c r="AU38" s="101">
        <v>0</v>
      </c>
      <c r="AX38" s="184" t="s">
        <v>655</v>
      </c>
      <c r="AY38" s="105">
        <v>0.8</v>
      </c>
      <c r="AZ38" s="293">
        <f t="shared" si="3"/>
        <v>0.15</v>
      </c>
      <c r="BA38" s="285">
        <f t="shared" ca="1" si="4"/>
        <v>4.3333333333333339</v>
      </c>
      <c r="BB38" s="282">
        <f t="shared" si="5"/>
        <v>0</v>
      </c>
      <c r="BC38" s="129">
        <v>0</v>
      </c>
      <c r="BD38" s="282">
        <f t="shared" si="6"/>
        <v>0</v>
      </c>
      <c r="BF38" s="184" t="s">
        <v>92</v>
      </c>
      <c r="BG38" s="299">
        <f t="shared" si="26"/>
        <v>4.7E-2</v>
      </c>
      <c r="BH38" s="299">
        <f t="shared" si="26"/>
        <v>6.3799999999999996E-2</v>
      </c>
      <c r="BI38" s="300">
        <v>1</v>
      </c>
      <c r="BJ38" s="299">
        <f t="shared" si="27"/>
        <v>4.7112674473245256E-2</v>
      </c>
    </row>
    <row r="39" spans="1:65">
      <c r="A39" s="203"/>
      <c r="B39" s="203"/>
      <c r="C39" s="316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Q39" s="104" t="s">
        <v>603</v>
      </c>
      <c r="AR39" s="100" t="s">
        <v>604</v>
      </c>
      <c r="AS39" s="101">
        <v>0</v>
      </c>
      <c r="AT39" s="101">
        <v>0</v>
      </c>
      <c r="AU39" s="101">
        <v>0</v>
      </c>
      <c r="AX39" s="184" t="str">
        <f>$Q$38</f>
        <v>INDGEO</v>
      </c>
      <c r="AY39" s="105">
        <v>0.8</v>
      </c>
      <c r="AZ39" s="293">
        <f t="shared" si="3"/>
        <v>0.15</v>
      </c>
      <c r="BA39" s="285">
        <f t="shared" ca="1" si="4"/>
        <v>4.3333333333333339</v>
      </c>
      <c r="BB39" s="282">
        <f t="shared" si="5"/>
        <v>0</v>
      </c>
      <c r="BC39" s="129">
        <v>0.1</v>
      </c>
      <c r="BD39" s="282">
        <f t="shared" si="6"/>
        <v>0</v>
      </c>
      <c r="BF39" s="184" t="s">
        <v>48</v>
      </c>
      <c r="BG39" s="299">
        <f t="shared" si="26"/>
        <v>1.7249284490386056</v>
      </c>
      <c r="BH39" s="299">
        <f t="shared" si="26"/>
        <v>2.2358078014556004</v>
      </c>
      <c r="BI39" s="300">
        <v>2</v>
      </c>
      <c r="BJ39" s="299">
        <f t="shared" si="27"/>
        <v>1.7328255796438299</v>
      </c>
      <c r="BL39" s="2">
        <f>SUM(BJ39,T69,R36)</f>
        <v>4.3202182532017384</v>
      </c>
    </row>
    <row r="40" spans="1:65" ht="18">
      <c r="A40" s="86" t="s">
        <v>940</v>
      </c>
      <c r="B40" s="88"/>
      <c r="C40" s="88"/>
      <c r="D40" s="88"/>
      <c r="E40" s="88"/>
      <c r="F40" s="88"/>
      <c r="G40" s="189" t="s">
        <v>16</v>
      </c>
      <c r="H40" s="190"/>
      <c r="I40" s="190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AQ40" s="104" t="s">
        <v>605</v>
      </c>
      <c r="AR40" s="100" t="s">
        <v>610</v>
      </c>
      <c r="AS40" s="101">
        <v>0</v>
      </c>
      <c r="AT40" s="101">
        <v>0</v>
      </c>
      <c r="AU40" s="101">
        <v>0</v>
      </c>
      <c r="AX40" t="s">
        <v>1001</v>
      </c>
      <c r="AZ40" s="298">
        <f>SUMPRODUCT(AZ25:AZ39,AY7:AY21)</f>
        <v>1.1441494067690623</v>
      </c>
      <c r="BB40" s="298">
        <f>SUM(BB25:BB39)</f>
        <v>1.3388843467038825</v>
      </c>
      <c r="BC40" s="334" t="s">
        <v>1080</v>
      </c>
      <c r="BD40" s="298">
        <f>MIN(MAX(0,BB40-BA22),SUM(BD25:BD39))</f>
        <v>1.9688034429186964E-2</v>
      </c>
      <c r="BG40" s="301">
        <f>SUM(BG34:BG39)</f>
        <v>2.1149284490386058</v>
      </c>
      <c r="BH40" s="301">
        <f>SUM(BH34:BH39)</f>
        <v>2.8921452929140088</v>
      </c>
      <c r="BI40" s="302">
        <f>SUMPRODUCT(BH34:BH39,BI34:BI39)</f>
        <v>10.264290517495283</v>
      </c>
      <c r="BJ40" s="301">
        <f>SUM(BJ34:BJ39)</f>
        <v>2.1330557770526353</v>
      </c>
    </row>
    <row r="41" spans="1:65" ht="13.5" thickBot="1">
      <c r="A41" s="232" t="s">
        <v>873</v>
      </c>
      <c r="B41" s="233" t="s">
        <v>874</v>
      </c>
      <c r="C41" s="232" t="s">
        <v>555</v>
      </c>
      <c r="D41" s="43" t="str">
        <f t="shared" ref="D41:T41" si="28">B38</f>
        <v>INDELC</v>
      </c>
      <c r="E41" s="43" t="str">
        <f t="shared" si="28"/>
        <v>INDNGA</v>
      </c>
      <c r="F41" s="43" t="str">
        <f t="shared" si="28"/>
        <v>INDLPG</v>
      </c>
      <c r="G41" s="43" t="str">
        <f t="shared" si="28"/>
        <v>INDNGL</v>
      </c>
      <c r="H41" s="43" t="str">
        <f t="shared" si="28"/>
        <v>INDCOA</v>
      </c>
      <c r="I41" s="43" t="str">
        <f t="shared" si="28"/>
        <v>INDCOK</v>
      </c>
      <c r="J41" s="43" t="str">
        <f t="shared" si="28"/>
        <v>INDCOG</v>
      </c>
      <c r="K41" s="43" t="str">
        <f t="shared" si="28"/>
        <v>INDBFG</v>
      </c>
      <c r="L41" s="43" t="str">
        <f t="shared" si="28"/>
        <v>INDBCO</v>
      </c>
      <c r="M41" s="43" t="str">
        <f t="shared" si="28"/>
        <v>INDHFO</v>
      </c>
      <c r="N41" s="43" t="str">
        <f t="shared" si="28"/>
        <v>INDOIL</v>
      </c>
      <c r="O41" s="43" t="str">
        <f t="shared" si="28"/>
        <v>INDETH</v>
      </c>
      <c r="P41" s="43" t="str">
        <f t="shared" si="28"/>
        <v>INDNAP</v>
      </c>
      <c r="Q41" s="43" t="str">
        <f t="shared" si="28"/>
        <v>INDPTC</v>
      </c>
      <c r="R41" s="43" t="str">
        <f t="shared" si="28"/>
        <v>INDBIO</v>
      </c>
      <c r="S41" s="43" t="str">
        <f t="shared" si="28"/>
        <v>INDGEO</v>
      </c>
      <c r="T41" s="43" t="str">
        <f t="shared" si="28"/>
        <v>INDHET</v>
      </c>
      <c r="U41" s="203"/>
      <c r="V41" s="203"/>
      <c r="W41" s="203"/>
      <c r="AQ41" s="104" t="s">
        <v>611</v>
      </c>
      <c r="AR41" s="100" t="s">
        <v>612</v>
      </c>
      <c r="AS41" s="101">
        <v>0</v>
      </c>
      <c r="AT41" s="101">
        <v>0</v>
      </c>
      <c r="AU41" s="101">
        <v>0</v>
      </c>
      <c r="AZ41" t="s">
        <v>738</v>
      </c>
      <c r="BB41" s="298">
        <f>SUM(BA7:BA21)</f>
        <v>1.3023504343685459</v>
      </c>
      <c r="BF41" s="283"/>
    </row>
    <row r="42" spans="1:65">
      <c r="A42" s="234" t="s">
        <v>559</v>
      </c>
      <c r="B42" s="205" t="s">
        <v>577</v>
      </c>
      <c r="C42" s="235" t="s">
        <v>93</v>
      </c>
      <c r="D42" s="255">
        <v>0</v>
      </c>
      <c r="E42" s="17">
        <v>0.15</v>
      </c>
      <c r="F42" s="255">
        <v>0</v>
      </c>
      <c r="G42" s="255"/>
      <c r="H42" s="17">
        <v>0</v>
      </c>
      <c r="I42" s="255"/>
      <c r="J42" s="17">
        <v>0</v>
      </c>
      <c r="K42" s="17">
        <v>0</v>
      </c>
      <c r="L42" s="255"/>
      <c r="M42" s="17">
        <v>0.15</v>
      </c>
      <c r="N42" s="17">
        <v>0.15</v>
      </c>
      <c r="O42" s="255"/>
      <c r="P42" s="255"/>
      <c r="Q42" s="255"/>
      <c r="R42" s="255"/>
      <c r="S42" s="255">
        <v>1</v>
      </c>
      <c r="T42" s="194">
        <v>1</v>
      </c>
      <c r="U42" s="203"/>
      <c r="V42" s="203"/>
      <c r="W42" s="203"/>
      <c r="AQ42" s="104" t="s">
        <v>613</v>
      </c>
      <c r="AR42" s="100" t="s">
        <v>614</v>
      </c>
      <c r="AS42" s="101">
        <v>0</v>
      </c>
      <c r="AT42" s="101">
        <v>0</v>
      </c>
      <c r="AU42" s="101">
        <v>0</v>
      </c>
      <c r="AW42" t="s">
        <v>106</v>
      </c>
      <c r="AZ42" t="s">
        <v>1081</v>
      </c>
      <c r="BB42" s="298">
        <f>(BB40+BG69-BB41-BB69)*BC42-BD$40</f>
        <v>1.8127328014029574E-2</v>
      </c>
      <c r="BC42">
        <v>1</v>
      </c>
    </row>
    <row r="43" spans="1:65">
      <c r="A43" s="234" t="s">
        <v>878</v>
      </c>
      <c r="B43" s="205" t="s">
        <v>859</v>
      </c>
      <c r="C43" s="235" t="s">
        <v>93</v>
      </c>
      <c r="D43" s="255">
        <v>0</v>
      </c>
      <c r="E43" s="17">
        <v>0.1</v>
      </c>
      <c r="F43" s="255">
        <v>0</v>
      </c>
      <c r="G43" s="255"/>
      <c r="H43" s="17">
        <v>0.25</v>
      </c>
      <c r="I43" s="255"/>
      <c r="J43" s="255">
        <v>0</v>
      </c>
      <c r="K43" s="255">
        <v>1</v>
      </c>
      <c r="L43" s="255">
        <v>1</v>
      </c>
      <c r="M43" s="17">
        <v>0.25</v>
      </c>
      <c r="N43" s="17">
        <v>0.25</v>
      </c>
      <c r="O43" s="255"/>
      <c r="P43" s="255"/>
      <c r="Q43" s="255"/>
      <c r="R43" s="255">
        <v>0</v>
      </c>
      <c r="S43" s="255">
        <v>1</v>
      </c>
      <c r="T43" s="194">
        <v>1</v>
      </c>
      <c r="U43" s="203"/>
      <c r="V43" s="203"/>
      <c r="W43" s="203"/>
      <c r="AQ43" s="85" t="s">
        <v>902</v>
      </c>
      <c r="AR43" s="100" t="s">
        <v>615</v>
      </c>
      <c r="AS43" s="131">
        <v>2.9677927860329665</v>
      </c>
      <c r="AT43" s="131">
        <v>1.1932949625651299</v>
      </c>
      <c r="AU43" s="131">
        <v>1.3023504343685457</v>
      </c>
      <c r="AW43" s="286">
        <f>(AZ40+BE70)/B18</f>
        <v>0.32761083650957901</v>
      </c>
    </row>
    <row r="44" spans="1:65">
      <c r="A44" s="236" t="s">
        <v>883</v>
      </c>
      <c r="B44" s="205" t="s">
        <v>570</v>
      </c>
      <c r="C44" s="235" t="s">
        <v>93</v>
      </c>
      <c r="D44" s="17">
        <v>0</v>
      </c>
      <c r="E44" s="17">
        <v>0.23019500117896718</v>
      </c>
      <c r="F44" s="255"/>
      <c r="G44" s="255"/>
      <c r="H44" s="17">
        <v>1</v>
      </c>
      <c r="I44" s="256"/>
      <c r="J44" s="17">
        <v>1</v>
      </c>
      <c r="K44" s="255">
        <v>1</v>
      </c>
      <c r="L44" s="255">
        <v>1</v>
      </c>
      <c r="M44" s="17">
        <v>8.9606986899563465E-2</v>
      </c>
      <c r="N44" s="17">
        <v>0</v>
      </c>
      <c r="O44" s="255"/>
      <c r="P44" s="255"/>
      <c r="Q44" s="255"/>
      <c r="R44" s="255"/>
      <c r="S44" s="255">
        <v>1</v>
      </c>
      <c r="T44" s="194">
        <v>1</v>
      </c>
      <c r="U44" s="203"/>
      <c r="V44" s="203"/>
      <c r="W44" s="203"/>
    </row>
    <row r="45" spans="1:65">
      <c r="A45" s="236" t="s">
        <v>558</v>
      </c>
      <c r="B45" s="205" t="s">
        <v>979</v>
      </c>
      <c r="C45" s="235" t="s">
        <v>93</v>
      </c>
      <c r="D45" s="17">
        <v>0</v>
      </c>
      <c r="E45" s="17">
        <v>0.75</v>
      </c>
      <c r="F45" s="255">
        <v>0</v>
      </c>
      <c r="G45" s="255"/>
      <c r="H45" s="17">
        <v>1</v>
      </c>
      <c r="I45" s="255"/>
      <c r="J45" s="255">
        <v>1</v>
      </c>
      <c r="K45" s="255">
        <v>1</v>
      </c>
      <c r="L45" s="255">
        <v>1</v>
      </c>
      <c r="M45" s="17">
        <v>0.75</v>
      </c>
      <c r="N45" s="17">
        <v>0.7</v>
      </c>
      <c r="O45" s="255"/>
      <c r="P45" s="255"/>
      <c r="Q45" s="255"/>
      <c r="R45" s="17">
        <f>IF(P31&gt;0,X15/P31,0)</f>
        <v>0.9859154929577465</v>
      </c>
      <c r="S45" s="255">
        <v>1</v>
      </c>
      <c r="T45" s="194">
        <v>1</v>
      </c>
      <c r="U45" s="203"/>
      <c r="V45" s="203"/>
      <c r="W45" s="203"/>
    </row>
    <row r="46" spans="1:65" ht="15" customHeight="1">
      <c r="A46" s="236" t="s">
        <v>884</v>
      </c>
      <c r="B46" s="205" t="s">
        <v>92</v>
      </c>
      <c r="C46" s="235" t="s">
        <v>93</v>
      </c>
      <c r="D46" s="17">
        <v>0</v>
      </c>
      <c r="E46" s="17">
        <v>0.05</v>
      </c>
      <c r="F46" s="255">
        <v>0</v>
      </c>
      <c r="G46" s="255"/>
      <c r="H46" s="17"/>
      <c r="I46" s="255"/>
      <c r="J46" s="255"/>
      <c r="K46" s="255">
        <v>1</v>
      </c>
      <c r="L46" s="255">
        <v>1</v>
      </c>
      <c r="M46" s="17">
        <v>0.2</v>
      </c>
      <c r="N46" s="17">
        <v>0.3</v>
      </c>
      <c r="O46" s="255"/>
      <c r="P46" s="255"/>
      <c r="Q46" s="255"/>
      <c r="R46" s="255">
        <v>0</v>
      </c>
      <c r="S46" s="255">
        <v>1</v>
      </c>
      <c r="T46" s="194">
        <v>1</v>
      </c>
      <c r="U46" s="203"/>
      <c r="V46" s="203"/>
      <c r="W46" s="203"/>
      <c r="AE46" s="142" t="s">
        <v>138</v>
      </c>
      <c r="AF46" s="95"/>
      <c r="AG46" s="95"/>
      <c r="AH46" s="95"/>
      <c r="AQ46" s="87" t="s">
        <v>735</v>
      </c>
      <c r="AR46" s="89"/>
      <c r="AS46" s="90"/>
      <c r="AT46" s="95"/>
      <c r="AU46" s="91"/>
      <c r="AV46" s="91"/>
      <c r="AW46" s="14"/>
      <c r="AX46" s="142" t="s">
        <v>744</v>
      </c>
      <c r="AY46" s="89"/>
      <c r="AZ46" s="90"/>
      <c r="BA46" s="95"/>
      <c r="BB46" s="91"/>
      <c r="BF46" s="295" t="s">
        <v>1003</v>
      </c>
      <c r="BG46">
        <v>0.78</v>
      </c>
    </row>
    <row r="47" spans="1:65" ht="13.5" thickBot="1">
      <c r="A47" s="234" t="s">
        <v>885</v>
      </c>
      <c r="B47" s="205" t="s">
        <v>48</v>
      </c>
      <c r="C47" s="235" t="s">
        <v>93</v>
      </c>
      <c r="D47" s="17">
        <v>0</v>
      </c>
      <c r="E47" s="17">
        <v>0.1</v>
      </c>
      <c r="F47" s="17">
        <v>0.1</v>
      </c>
      <c r="G47" s="255"/>
      <c r="H47" s="17">
        <v>0.35</v>
      </c>
      <c r="I47" s="255"/>
      <c r="J47" s="17">
        <f>1-J51</f>
        <v>1</v>
      </c>
      <c r="K47" s="255"/>
      <c r="L47" s="255"/>
      <c r="M47" s="17">
        <v>0.1</v>
      </c>
      <c r="N47" s="17">
        <v>0.05</v>
      </c>
      <c r="O47" s="255"/>
      <c r="P47" s="255"/>
      <c r="Q47" s="255"/>
      <c r="R47" s="255">
        <v>0.75</v>
      </c>
      <c r="S47" s="255">
        <v>0</v>
      </c>
      <c r="T47" s="194">
        <f>1-INDEX($BJ$6:$BJ$23,RegIndex)</f>
        <v>0.4</v>
      </c>
      <c r="U47" s="203"/>
      <c r="V47" s="203"/>
      <c r="W47" s="203"/>
      <c r="AE47" s="111"/>
      <c r="AF47" s="284" t="s">
        <v>2</v>
      </c>
      <c r="AG47" s="284" t="s">
        <v>2</v>
      </c>
      <c r="AH47" s="284" t="s">
        <v>66</v>
      </c>
      <c r="AI47" s="284" t="s">
        <v>67</v>
      </c>
      <c r="AJ47" s="284" t="s">
        <v>903</v>
      </c>
      <c r="AK47" s="284" t="s">
        <v>65</v>
      </c>
      <c r="AL47" s="284" t="s">
        <v>68</v>
      </c>
      <c r="AM47" s="284" t="s">
        <v>69</v>
      </c>
      <c r="AN47" s="284"/>
      <c r="AO47" s="284" t="s">
        <v>70</v>
      </c>
      <c r="AQ47" s="246" t="s">
        <v>28</v>
      </c>
      <c r="AR47" s="169"/>
      <c r="AS47" s="247" t="s">
        <v>29</v>
      </c>
      <c r="AT47" s="248"/>
      <c r="AU47" s="247" t="s">
        <v>30</v>
      </c>
      <c r="AV47" s="249"/>
      <c r="AX47" s="96"/>
      <c r="AY47" s="96"/>
      <c r="AZ47" s="96"/>
      <c r="BA47" s="96"/>
      <c r="BB47" s="108"/>
      <c r="BF47" s="295" t="s">
        <v>1004</v>
      </c>
      <c r="BG47">
        <v>0.88</v>
      </c>
    </row>
    <row r="48" spans="1:65" ht="13.5" thickBot="1">
      <c r="A48" s="234" t="s">
        <v>885</v>
      </c>
      <c r="B48" s="205" t="s">
        <v>57</v>
      </c>
      <c r="C48" s="234" t="s">
        <v>875</v>
      </c>
      <c r="D48" s="17">
        <v>0.1</v>
      </c>
      <c r="E48" s="17">
        <v>0.5</v>
      </c>
      <c r="F48" s="17">
        <v>0.8</v>
      </c>
      <c r="G48" s="255"/>
      <c r="H48" s="17">
        <v>0.65</v>
      </c>
      <c r="I48" s="17">
        <v>0.7</v>
      </c>
      <c r="J48" s="255">
        <v>0</v>
      </c>
      <c r="K48" s="255">
        <v>1</v>
      </c>
      <c r="L48" s="255">
        <v>1</v>
      </c>
      <c r="M48" s="17">
        <v>0.2</v>
      </c>
      <c r="N48" s="17">
        <v>0.7</v>
      </c>
      <c r="O48" s="255"/>
      <c r="P48" s="255"/>
      <c r="Q48" s="255"/>
      <c r="R48" s="255"/>
      <c r="S48" s="255"/>
      <c r="T48" s="255"/>
      <c r="U48" s="203"/>
      <c r="V48" s="203"/>
      <c r="W48" s="203"/>
      <c r="AE48" s="184" t="s">
        <v>951</v>
      </c>
      <c r="AF48" s="9">
        <f>MATCH($AE48,$B$24:$AJ$24,0)</f>
        <v>2</v>
      </c>
      <c r="AG48" s="9">
        <f t="shared" ref="AG48:AG71" si="29">MATCH($AE48,AQ$51:AQ$83,0)</f>
        <v>5</v>
      </c>
      <c r="AH48" s="46">
        <f t="shared" ref="AH48:AH72" si="30">INDEX($B$18:$AK$18,$AF48)</f>
        <v>0.6206159584981894</v>
      </c>
      <c r="AI48" s="46">
        <f t="shared" ref="AI48:AI72" si="31">INDEX($B$20:$AK$20,$AF48)</f>
        <v>0</v>
      </c>
      <c r="AJ48" s="46">
        <f t="shared" ref="AJ48:AJ72" si="32">INDEX($B$21:$AK$21,$AF48)</f>
        <v>0</v>
      </c>
      <c r="AK48" s="9">
        <f t="shared" ref="AK48:AK71" si="33">IF(ISNA($AG48),0,INDEX(AS$7:AS$36,$AG48)+INDEX(AS$51:AS$80,$AG48)+INDEX(AU$51:AU$80,$AG48))</f>
        <v>1.895254713224136</v>
      </c>
      <c r="AL48" s="46">
        <f>AH48+AI48-AJ48+AK48</f>
        <v>2.5158706717223254</v>
      </c>
      <c r="AM48" s="184" t="s">
        <v>906</v>
      </c>
      <c r="AN48" s="9">
        <f t="shared" ref="AN48:AN71" si="34">MATCH(AM48,BI$49:BI$63,0)</f>
        <v>1</v>
      </c>
      <c r="AO48" s="542">
        <f t="shared" ref="AO48:AO69" ca="1" si="35">AL48/MAX(Tiny,INDEX(BK$49:BK$63,AN48))</f>
        <v>1</v>
      </c>
      <c r="AQ48" s="250">
        <f>IF(AT59+AT69+AT75+AT80=0,3,(AS59+AS69+AS75+AS80)/(AT59+AT69+AT75+AT80))</f>
        <v>3</v>
      </c>
      <c r="AR48" s="83"/>
      <c r="AS48" s="97" t="s">
        <v>581</v>
      </c>
      <c r="AT48" s="251" t="s">
        <v>582</v>
      </c>
      <c r="AU48" s="133" t="s">
        <v>581</v>
      </c>
      <c r="AV48" s="133" t="s">
        <v>583</v>
      </c>
      <c r="AX48" s="244"/>
      <c r="AY48" s="254" t="s">
        <v>746</v>
      </c>
      <c r="AZ48" s="254" t="s">
        <v>747</v>
      </c>
      <c r="BA48" s="245" t="s">
        <v>582</v>
      </c>
      <c r="BB48" s="245" t="s">
        <v>583</v>
      </c>
      <c r="BC48" s="98" t="s">
        <v>589</v>
      </c>
      <c r="BD48" s="98" t="s">
        <v>645</v>
      </c>
      <c r="BE48" s="284" t="s">
        <v>7</v>
      </c>
      <c r="BF48" s="284" t="s">
        <v>1002</v>
      </c>
      <c r="BG48" s="284" t="s">
        <v>998</v>
      </c>
      <c r="BI48" s="284"/>
      <c r="BJ48" s="284" t="s">
        <v>63</v>
      </c>
      <c r="BK48" s="284" t="s">
        <v>64</v>
      </c>
      <c r="BL48" s="284" t="s">
        <v>1244</v>
      </c>
    </row>
    <row r="49" spans="1:64">
      <c r="A49" s="234" t="s">
        <v>885</v>
      </c>
      <c r="B49" s="205" t="s">
        <v>60</v>
      </c>
      <c r="C49" s="234" t="s">
        <v>876</v>
      </c>
      <c r="D49" s="17">
        <v>0.37</v>
      </c>
      <c r="E49" s="17">
        <v>0</v>
      </c>
      <c r="F49" s="17">
        <v>0</v>
      </c>
      <c r="G49" s="255"/>
      <c r="H49" s="17"/>
      <c r="I49" s="255"/>
      <c r="J49" s="255"/>
      <c r="K49" s="255"/>
      <c r="L49" s="255"/>
      <c r="M49" s="17">
        <v>0</v>
      </c>
      <c r="N49" s="17">
        <v>0</v>
      </c>
      <c r="O49" s="255"/>
      <c r="P49" s="255"/>
      <c r="Q49" s="255"/>
      <c r="R49" s="255"/>
      <c r="S49" s="255"/>
      <c r="T49" s="255"/>
      <c r="U49" s="203"/>
      <c r="V49" s="203"/>
      <c r="W49" s="203"/>
      <c r="AE49" s="184" t="s">
        <v>832</v>
      </c>
      <c r="AF49" s="9">
        <f t="shared" ref="AF49:AF72" si="36">MATCH(AE49,$B$24:$AJ$24,0)</f>
        <v>12</v>
      </c>
      <c r="AG49" s="9">
        <f t="shared" si="29"/>
        <v>1</v>
      </c>
      <c r="AH49" s="46">
        <f t="shared" si="30"/>
        <v>0</v>
      </c>
      <c r="AI49" s="46">
        <f t="shared" si="31"/>
        <v>0</v>
      </c>
      <c r="AJ49" s="46">
        <f t="shared" si="32"/>
        <v>0</v>
      </c>
      <c r="AK49" s="9">
        <f t="shared" si="33"/>
        <v>0</v>
      </c>
      <c r="AL49" s="46">
        <f t="shared" ref="AL49:AL71" si="37">AH49+AI49-AJ49+AK49</f>
        <v>0</v>
      </c>
      <c r="AM49" s="184" t="s">
        <v>906</v>
      </c>
      <c r="AN49" s="9">
        <f t="shared" si="34"/>
        <v>1</v>
      </c>
      <c r="AO49" s="542">
        <f t="shared" ca="1" si="35"/>
        <v>0</v>
      </c>
      <c r="AQ49" s="82"/>
      <c r="AR49" s="173"/>
      <c r="AS49" s="269">
        <v>-4.1868000000000002E-2</v>
      </c>
      <c r="AT49" s="270">
        <v>3.5999999999999999E-3</v>
      </c>
      <c r="AU49" s="269">
        <v>-4.1868000000000002E-2</v>
      </c>
      <c r="AV49" s="270">
        <v>1E-3</v>
      </c>
      <c r="AX49" s="184" t="str">
        <f>$C$38</f>
        <v>INDNGA</v>
      </c>
      <c r="AY49" s="102">
        <f>AS51+AS55</f>
        <v>0</v>
      </c>
      <c r="AZ49" s="102">
        <f>AU51+AU55</f>
        <v>6.8563036800000018E-2</v>
      </c>
      <c r="BA49" s="102">
        <f>AT51+AT55</f>
        <v>0</v>
      </c>
      <c r="BB49" s="102">
        <f>AV51+AV55</f>
        <v>6.4995883200000007E-2</v>
      </c>
      <c r="BC49" s="2">
        <f>IF(AY49=0,0,MAX(0.15,BA49/AY49*(1-AZ$4)))</f>
        <v>0</v>
      </c>
      <c r="BD49" s="2">
        <f t="shared" ref="BD49:BD63" si="38">IF(AZ49=0,0,BB49/AZ49)</f>
        <v>0.94797264289203698</v>
      </c>
      <c r="BE49" s="293">
        <f>BC49*AY49*BA$69/BA$70</f>
        <v>0</v>
      </c>
      <c r="BF49" s="293">
        <f>MAX(BG$46,MIN(BG$47,BD49))</f>
        <v>0.88</v>
      </c>
      <c r="BG49" s="293">
        <f t="shared" ref="BG49:BG63" si="39">BF49*AZ49</f>
        <v>6.0335472384000013E-2</v>
      </c>
      <c r="BH49">
        <f>MATCH(AX49,$B$38:$R$38,0)</f>
        <v>2</v>
      </c>
      <c r="BI49" s="184" t="s">
        <v>906</v>
      </c>
      <c r="BJ49" s="102">
        <f>SUM(AY7,AY49,AZ49)</f>
        <v>1.895254713224136</v>
      </c>
      <c r="BK49" s="102">
        <f ca="1">BJ49+OFFSET($A$34,0,$BH49)+OFFSET($A$36,0,$BH49)-INDEX($B$37:$S$37,$BH49)</f>
        <v>2.5158706717223254</v>
      </c>
      <c r="BL49" s="102">
        <f ca="1">BK49</f>
        <v>2.5158706717223254</v>
      </c>
    </row>
    <row r="50" spans="1:64" ht="13.5" thickBot="1">
      <c r="A50" s="234" t="s">
        <v>885</v>
      </c>
      <c r="B50" s="205" t="s">
        <v>61</v>
      </c>
      <c r="C50" s="234" t="s">
        <v>0</v>
      </c>
      <c r="D50" s="17">
        <v>0.23</v>
      </c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03"/>
      <c r="V50" s="203"/>
      <c r="W50" s="203"/>
      <c r="AE50" s="184" t="s">
        <v>1084</v>
      </c>
      <c r="AF50" s="9">
        <f t="shared" si="36"/>
        <v>3</v>
      </c>
      <c r="AG50" s="9" t="e">
        <f t="shared" si="29"/>
        <v>#N/A</v>
      </c>
      <c r="AH50" s="46">
        <f t="shared" si="30"/>
        <v>0.34082807407658211</v>
      </c>
      <c r="AI50" s="46">
        <f t="shared" si="31"/>
        <v>0</v>
      </c>
      <c r="AJ50" s="46">
        <f t="shared" si="32"/>
        <v>0</v>
      </c>
      <c r="AK50" s="9">
        <f t="shared" si="33"/>
        <v>0</v>
      </c>
      <c r="AL50" s="46">
        <f t="shared" si="37"/>
        <v>0.34082807407658211</v>
      </c>
      <c r="AM50" s="184" t="s">
        <v>907</v>
      </c>
      <c r="AN50" s="9">
        <f t="shared" si="34"/>
        <v>2</v>
      </c>
      <c r="AO50" s="542">
        <f t="shared" ca="1" si="35"/>
        <v>1</v>
      </c>
      <c r="AQ50" s="168"/>
      <c r="AR50" s="242" t="s">
        <v>585</v>
      </c>
      <c r="AS50" s="252" t="s">
        <v>31</v>
      </c>
      <c r="AT50" s="253" t="s">
        <v>32</v>
      </c>
      <c r="AU50" s="252" t="s">
        <v>33</v>
      </c>
      <c r="AV50" s="252" t="s">
        <v>34</v>
      </c>
      <c r="AX50" s="184" t="str">
        <f>$D$38</f>
        <v>INDLPG</v>
      </c>
      <c r="AY50" s="102">
        <f>AS57</f>
        <v>0</v>
      </c>
      <c r="AZ50" s="102">
        <f>AU57</f>
        <v>0</v>
      </c>
      <c r="BA50" s="102">
        <f>AT57</f>
        <v>0</v>
      </c>
      <c r="BB50" s="102">
        <f>AV57</f>
        <v>0</v>
      </c>
      <c r="BC50" s="2">
        <f t="shared" ref="BC50:BC63" si="40">IF(AY50=0,0,MAX(0.15,BA50/AY50*(1-AZ$4)))</f>
        <v>0</v>
      </c>
      <c r="BD50" s="2">
        <f t="shared" si="38"/>
        <v>0</v>
      </c>
      <c r="BE50" s="293">
        <f t="shared" ref="BE50:BE67" si="41">BC50*AY50*BA$69/BA$70</f>
        <v>0</v>
      </c>
      <c r="BF50" s="293">
        <f t="shared" ref="BF50:BF63" si="42">MAX(BG$46,MIN(BG$47,BD50))</f>
        <v>0.78</v>
      </c>
      <c r="BG50" s="293">
        <f t="shared" si="39"/>
        <v>0</v>
      </c>
      <c r="BH50">
        <f t="shared" ref="BH50:BH63" si="43">MATCH(AX50,$B$38:$R$38,0)</f>
        <v>3</v>
      </c>
      <c r="BI50" s="184" t="s">
        <v>907</v>
      </c>
      <c r="BJ50" s="102">
        <f t="shared" ref="BJ50:BJ63" si="44">SUM(AY8,AY50,AZ50)</f>
        <v>0</v>
      </c>
      <c r="BK50" s="102">
        <f ca="1">BJ50+OFFSET($A$34,0,$BH50)+OFFSET($A$36,0,$BH50)-INDEX($B$37:$S$37,$BH50)</f>
        <v>0.34082807407658211</v>
      </c>
      <c r="BL50" s="102">
        <f t="shared" ref="BL50:BL61" ca="1" si="45">BK50</f>
        <v>0.34082807407658211</v>
      </c>
    </row>
    <row r="51" spans="1:64">
      <c r="A51" s="234" t="s">
        <v>885</v>
      </c>
      <c r="B51" s="205" t="s">
        <v>94</v>
      </c>
      <c r="C51" s="234" t="s">
        <v>877</v>
      </c>
      <c r="D51" s="255"/>
      <c r="E51" s="255"/>
      <c r="F51" s="255"/>
      <c r="G51" s="255">
        <v>1</v>
      </c>
      <c r="H51" s="255"/>
      <c r="I51" s="255"/>
      <c r="J51" s="255"/>
      <c r="K51" s="255"/>
      <c r="L51" s="255"/>
      <c r="M51" s="255"/>
      <c r="N51" s="255"/>
      <c r="O51" s="255">
        <v>1</v>
      </c>
      <c r="P51" s="255">
        <v>1</v>
      </c>
      <c r="Q51" s="255">
        <v>0.5</v>
      </c>
      <c r="R51" s="255">
        <v>0</v>
      </c>
      <c r="S51" s="255"/>
      <c r="T51" s="255"/>
      <c r="U51" s="203"/>
      <c r="V51" s="203"/>
      <c r="W51" s="203"/>
      <c r="AE51" s="184" t="s">
        <v>756</v>
      </c>
      <c r="AF51" s="9">
        <f t="shared" si="36"/>
        <v>4</v>
      </c>
      <c r="AG51" s="9">
        <f t="shared" si="29"/>
        <v>14</v>
      </c>
      <c r="AH51" s="46">
        <f t="shared" si="30"/>
        <v>0</v>
      </c>
      <c r="AI51" s="46">
        <f t="shared" si="31"/>
        <v>0</v>
      </c>
      <c r="AJ51" s="46">
        <f t="shared" si="32"/>
        <v>0</v>
      </c>
      <c r="AK51" s="9">
        <f t="shared" si="33"/>
        <v>0</v>
      </c>
      <c r="AL51" s="46">
        <f t="shared" si="37"/>
        <v>0</v>
      </c>
      <c r="AM51" s="184" t="s">
        <v>908</v>
      </c>
      <c r="AN51" s="9">
        <f t="shared" si="34"/>
        <v>3</v>
      </c>
      <c r="AO51" s="542">
        <f t="shared" ca="1" si="35"/>
        <v>0</v>
      </c>
      <c r="AQ51" s="99" t="s">
        <v>832</v>
      </c>
      <c r="AR51" s="100" t="s">
        <v>591</v>
      </c>
      <c r="AS51" s="134">
        <v>0</v>
      </c>
      <c r="AT51" s="134">
        <v>0</v>
      </c>
      <c r="AU51" s="134">
        <v>0</v>
      </c>
      <c r="AV51" s="134">
        <v>0</v>
      </c>
      <c r="AX51" s="184" t="str">
        <f>$E$38</f>
        <v>INDNGL</v>
      </c>
      <c r="AY51" s="102">
        <f>AS64</f>
        <v>0</v>
      </c>
      <c r="AZ51" s="102">
        <f>AU64</f>
        <v>0</v>
      </c>
      <c r="BA51" s="102">
        <f>AT64</f>
        <v>0</v>
      </c>
      <c r="BB51" s="102">
        <f>AV64</f>
        <v>0</v>
      </c>
      <c r="BC51" s="2">
        <f t="shared" si="40"/>
        <v>0</v>
      </c>
      <c r="BD51" s="2">
        <f t="shared" si="38"/>
        <v>0</v>
      </c>
      <c r="BE51" s="293">
        <f t="shared" si="41"/>
        <v>0</v>
      </c>
      <c r="BF51" s="293">
        <f t="shared" si="42"/>
        <v>0.78</v>
      </c>
      <c r="BG51" s="293">
        <f t="shared" si="39"/>
        <v>0</v>
      </c>
      <c r="BH51">
        <f t="shared" si="43"/>
        <v>4</v>
      </c>
      <c r="BI51" s="184" t="s">
        <v>908</v>
      </c>
      <c r="BJ51" s="102">
        <f t="shared" si="44"/>
        <v>0</v>
      </c>
      <c r="BK51" s="102">
        <f ca="1">BJ51+OFFSET($A$34,0,$BH51)+OFFSET($A$36,0,$BH51)-INDEX($B$37:$S$37,$BH51)</f>
        <v>0</v>
      </c>
      <c r="BL51" s="102">
        <f t="shared" ca="1" si="45"/>
        <v>0</v>
      </c>
    </row>
    <row r="52" spans="1:64" ht="12.75" customHeight="1">
      <c r="A52" s="234" t="s">
        <v>885</v>
      </c>
      <c r="B52" s="205" t="s">
        <v>75</v>
      </c>
      <c r="C52" s="234" t="s">
        <v>560</v>
      </c>
      <c r="D52" s="17">
        <f>1-SUM(D47:D51)</f>
        <v>0.30000000000000004</v>
      </c>
      <c r="E52" s="17">
        <f>1-SUM(E47:E51)</f>
        <v>0.4</v>
      </c>
      <c r="F52" s="17">
        <f t="shared" ref="F52:R52" si="46">1-SUM(F47:F51)</f>
        <v>9.9999999999999978E-2</v>
      </c>
      <c r="G52" s="255">
        <f t="shared" si="46"/>
        <v>0</v>
      </c>
      <c r="H52" s="17">
        <f t="shared" si="46"/>
        <v>0</v>
      </c>
      <c r="I52" s="17">
        <f>1-SUM(I47:I51)</f>
        <v>0.30000000000000004</v>
      </c>
      <c r="J52" s="255">
        <f t="shared" si="46"/>
        <v>0</v>
      </c>
      <c r="K52" s="255">
        <f t="shared" si="46"/>
        <v>0</v>
      </c>
      <c r="L52" s="255">
        <f t="shared" si="46"/>
        <v>0</v>
      </c>
      <c r="M52" s="17">
        <f t="shared" si="46"/>
        <v>0.7</v>
      </c>
      <c r="N52" s="17">
        <f t="shared" si="46"/>
        <v>0.25</v>
      </c>
      <c r="O52" s="255">
        <f t="shared" si="46"/>
        <v>0</v>
      </c>
      <c r="P52" s="255">
        <f t="shared" si="46"/>
        <v>0</v>
      </c>
      <c r="Q52" s="194">
        <f>1-SUM(Q47:Q51)</f>
        <v>0.5</v>
      </c>
      <c r="R52" s="194">
        <f t="shared" si="46"/>
        <v>0.25</v>
      </c>
      <c r="S52" s="17">
        <f>1-SUM(S47:S51)</f>
        <v>1</v>
      </c>
      <c r="T52" s="17">
        <f>1-SUM(T47:T51)</f>
        <v>0.6</v>
      </c>
      <c r="U52" s="203"/>
      <c r="V52" s="203"/>
      <c r="W52" s="203"/>
      <c r="AE52" s="184" t="s">
        <v>952</v>
      </c>
      <c r="AF52" s="9">
        <f t="shared" si="36"/>
        <v>5</v>
      </c>
      <c r="AG52" s="9">
        <f t="shared" si="29"/>
        <v>27</v>
      </c>
      <c r="AH52" s="46">
        <f t="shared" si="30"/>
        <v>0.19600000000000001</v>
      </c>
      <c r="AI52" s="46">
        <f t="shared" si="31"/>
        <v>0</v>
      </c>
      <c r="AJ52" s="46">
        <f t="shared" si="32"/>
        <v>0</v>
      </c>
      <c r="AK52" s="9">
        <f t="shared" si="33"/>
        <v>0.5093842148196559</v>
      </c>
      <c r="AL52" s="46">
        <f t="shared" si="37"/>
        <v>0.70538421481965585</v>
      </c>
      <c r="AM52" s="184" t="s">
        <v>909</v>
      </c>
      <c r="AN52" s="9">
        <f t="shared" si="34"/>
        <v>4</v>
      </c>
      <c r="AO52" s="542">
        <f t="shared" ca="1" si="35"/>
        <v>1</v>
      </c>
      <c r="AQ52" s="99" t="s">
        <v>830</v>
      </c>
      <c r="AR52" s="100" t="s">
        <v>801</v>
      </c>
      <c r="AS52" s="134">
        <v>0</v>
      </c>
      <c r="AT52" s="134">
        <v>0</v>
      </c>
      <c r="AU52" s="134">
        <v>0</v>
      </c>
      <c r="AV52" s="134">
        <v>0</v>
      </c>
      <c r="AX52" s="184" t="str">
        <f>$F$38</f>
        <v>INDCOA</v>
      </c>
      <c r="AY52" s="102">
        <f>AS77</f>
        <v>0</v>
      </c>
      <c r="AZ52" s="102">
        <f>AU77</f>
        <v>0</v>
      </c>
      <c r="BA52" s="102">
        <f>AT77</f>
        <v>0</v>
      </c>
      <c r="BB52" s="102">
        <f>AV77</f>
        <v>0</v>
      </c>
      <c r="BC52" s="2">
        <f t="shared" si="40"/>
        <v>0</v>
      </c>
      <c r="BD52" s="2">
        <f t="shared" si="38"/>
        <v>0</v>
      </c>
      <c r="BE52" s="293">
        <f t="shared" si="41"/>
        <v>0</v>
      </c>
      <c r="BF52" s="293">
        <f t="shared" si="42"/>
        <v>0.78</v>
      </c>
      <c r="BG52" s="293">
        <f t="shared" si="39"/>
        <v>0</v>
      </c>
      <c r="BH52">
        <f t="shared" si="43"/>
        <v>5</v>
      </c>
      <c r="BI52" s="184" t="s">
        <v>909</v>
      </c>
      <c r="BJ52" s="102">
        <f t="shared" si="44"/>
        <v>0.5093842148196559</v>
      </c>
      <c r="BK52" s="102">
        <f ca="1">BJ52+OFFSET($A$34,0,$BH52)+OFFSET($A$36,0,$BH52)-INDEX($B$37:$S$37,$BH52)</f>
        <v>0.70538421481965585</v>
      </c>
      <c r="BL52" s="102">
        <f t="shared" ca="1" si="45"/>
        <v>0.70538421481965585</v>
      </c>
    </row>
    <row r="53" spans="1:64">
      <c r="A53" s="203"/>
      <c r="B53" s="203"/>
      <c r="C53" s="203"/>
      <c r="D53" s="260">
        <f t="shared" ref="D53:T53" si="47">SUM(D47:D52)</f>
        <v>1</v>
      </c>
      <c r="E53" s="260">
        <f t="shared" si="47"/>
        <v>1</v>
      </c>
      <c r="F53" s="260">
        <f t="shared" si="47"/>
        <v>1</v>
      </c>
      <c r="G53" s="260">
        <f t="shared" si="47"/>
        <v>1</v>
      </c>
      <c r="H53" s="260">
        <f t="shared" si="47"/>
        <v>1</v>
      </c>
      <c r="I53" s="260">
        <f>SUM(I47:I52)</f>
        <v>1</v>
      </c>
      <c r="J53" s="260">
        <f t="shared" si="47"/>
        <v>1</v>
      </c>
      <c r="K53" s="260">
        <f t="shared" si="47"/>
        <v>1</v>
      </c>
      <c r="L53" s="260">
        <f t="shared" si="47"/>
        <v>1</v>
      </c>
      <c r="M53" s="260">
        <f t="shared" si="47"/>
        <v>1</v>
      </c>
      <c r="N53" s="260">
        <f t="shared" si="47"/>
        <v>1</v>
      </c>
      <c r="O53" s="260">
        <f t="shared" si="47"/>
        <v>1</v>
      </c>
      <c r="P53" s="260">
        <f t="shared" si="47"/>
        <v>1</v>
      </c>
      <c r="Q53" s="260">
        <f t="shared" si="47"/>
        <v>1</v>
      </c>
      <c r="R53" s="260">
        <f t="shared" si="47"/>
        <v>1</v>
      </c>
      <c r="S53" s="260">
        <f t="shared" si="47"/>
        <v>1</v>
      </c>
      <c r="T53" s="260">
        <f t="shared" si="47"/>
        <v>1</v>
      </c>
      <c r="U53" s="203"/>
      <c r="V53" s="203"/>
      <c r="W53" s="203"/>
      <c r="AE53" s="184" t="s">
        <v>953</v>
      </c>
      <c r="AF53" s="9">
        <f t="shared" si="36"/>
        <v>6</v>
      </c>
      <c r="AG53" s="9">
        <f t="shared" si="29"/>
        <v>26</v>
      </c>
      <c r="AH53" s="46">
        <f t="shared" si="30"/>
        <v>0.10383963301183052</v>
      </c>
      <c r="AI53" s="46">
        <f t="shared" si="31"/>
        <v>0</v>
      </c>
      <c r="AJ53" s="46">
        <f t="shared" si="32"/>
        <v>0</v>
      </c>
      <c r="AK53" s="9">
        <f t="shared" si="33"/>
        <v>0</v>
      </c>
      <c r="AL53" s="46">
        <f t="shared" si="37"/>
        <v>0.10383963301183052</v>
      </c>
      <c r="AM53" s="184" t="s">
        <v>1150</v>
      </c>
      <c r="AN53" s="9">
        <f t="shared" si="34"/>
        <v>8</v>
      </c>
      <c r="AO53" s="542">
        <f t="shared" ca="1" si="35"/>
        <v>1</v>
      </c>
      <c r="AQ53" s="99" t="s">
        <v>956</v>
      </c>
      <c r="AR53" s="100" t="s">
        <v>800</v>
      </c>
      <c r="AS53" s="134">
        <v>0</v>
      </c>
      <c r="AT53" s="134">
        <v>0</v>
      </c>
      <c r="AU53" s="134">
        <v>0</v>
      </c>
      <c r="AV53" s="134">
        <v>0</v>
      </c>
      <c r="AX53" s="184" t="str">
        <f>$G$38</f>
        <v>INDCOK</v>
      </c>
      <c r="AY53" s="102">
        <f>AS78</f>
        <v>0</v>
      </c>
      <c r="AZ53" s="102">
        <f>AU78</f>
        <v>0</v>
      </c>
      <c r="BA53" s="102">
        <f>AT78</f>
        <v>0</v>
      </c>
      <c r="BB53" s="102">
        <f>AV78</f>
        <v>0</v>
      </c>
      <c r="BC53" s="2">
        <f t="shared" si="40"/>
        <v>0</v>
      </c>
      <c r="BD53" s="2">
        <f t="shared" si="38"/>
        <v>0</v>
      </c>
      <c r="BE53" s="293">
        <f t="shared" si="41"/>
        <v>0</v>
      </c>
      <c r="BF53" s="293">
        <f t="shared" si="42"/>
        <v>0.78</v>
      </c>
      <c r="BG53" s="293">
        <f t="shared" si="39"/>
        <v>0</v>
      </c>
      <c r="BH53">
        <f t="shared" si="43"/>
        <v>6</v>
      </c>
      <c r="BI53" s="184" t="s">
        <v>910</v>
      </c>
      <c r="BJ53" s="102">
        <f t="shared" si="44"/>
        <v>0</v>
      </c>
      <c r="BK53" s="102">
        <f t="shared" ref="BK53:BK63" ca="1" si="48">BJ53+OFFSET($A$34,0,$BH53)+OFFSET($A$36,0,$BH53)-INDEX($B$37:$S$37,$BH53)</f>
        <v>0</v>
      </c>
      <c r="BL53" s="102">
        <f t="shared" ca="1" si="45"/>
        <v>0</v>
      </c>
    </row>
    <row r="54" spans="1:64" ht="14.25" customHeight="1">
      <c r="A54" s="234" t="s">
        <v>885</v>
      </c>
      <c r="B54" s="203" t="s">
        <v>1332</v>
      </c>
      <c r="C54" s="234" t="s">
        <v>1333</v>
      </c>
      <c r="D54" s="255">
        <v>0.1</v>
      </c>
      <c r="E54" s="255"/>
      <c r="F54" s="255">
        <v>0.14000000000000001</v>
      </c>
      <c r="G54" s="255"/>
      <c r="H54" s="255"/>
      <c r="I54" s="255"/>
      <c r="J54" s="255"/>
      <c r="K54" s="255"/>
      <c r="L54" s="255"/>
      <c r="M54" s="255"/>
      <c r="N54" s="255">
        <f>0.9-F54</f>
        <v>0.76</v>
      </c>
      <c r="O54" s="255"/>
      <c r="P54" s="255"/>
      <c r="Q54" s="255"/>
      <c r="R54" s="255"/>
      <c r="S54" s="255"/>
      <c r="T54" s="255"/>
      <c r="U54" s="203"/>
      <c r="V54" s="203"/>
      <c r="W54" s="203"/>
      <c r="AE54" s="184" t="s">
        <v>954</v>
      </c>
      <c r="AF54" s="9">
        <f t="shared" si="36"/>
        <v>7</v>
      </c>
      <c r="AG54" s="9">
        <f t="shared" si="29"/>
        <v>28</v>
      </c>
      <c r="AH54" s="46">
        <f t="shared" si="30"/>
        <v>0</v>
      </c>
      <c r="AI54" s="46">
        <f t="shared" si="31"/>
        <v>0</v>
      </c>
      <c r="AJ54" s="46">
        <f t="shared" si="32"/>
        <v>0</v>
      </c>
      <c r="AK54" s="9">
        <f t="shared" si="33"/>
        <v>0</v>
      </c>
      <c r="AL54" s="46">
        <f t="shared" si="37"/>
        <v>0</v>
      </c>
      <c r="AM54" s="184" t="s">
        <v>910</v>
      </c>
      <c r="AN54" s="9">
        <f t="shared" si="34"/>
        <v>5</v>
      </c>
      <c r="AO54" s="542">
        <f t="shared" ca="1" si="35"/>
        <v>0</v>
      </c>
      <c r="AQ54" s="99" t="s">
        <v>831</v>
      </c>
      <c r="AR54" s="100" t="s">
        <v>592</v>
      </c>
      <c r="AS54" s="134">
        <v>0</v>
      </c>
      <c r="AT54" s="134">
        <v>0</v>
      </c>
      <c r="AU54" s="134">
        <v>0</v>
      </c>
      <c r="AV54" s="134">
        <v>0</v>
      </c>
      <c r="AX54" s="184" t="str">
        <f>$H$38</f>
        <v>INDCOG</v>
      </c>
      <c r="AY54" s="102">
        <f>AS53</f>
        <v>0</v>
      </c>
      <c r="AZ54" s="102">
        <f>AU53</f>
        <v>0</v>
      </c>
      <c r="BA54" s="102">
        <f>AT53</f>
        <v>0</v>
      </c>
      <c r="BB54" s="102">
        <f>AV53</f>
        <v>0</v>
      </c>
      <c r="BC54" s="2">
        <f t="shared" si="40"/>
        <v>0</v>
      </c>
      <c r="BD54" s="2">
        <f t="shared" si="38"/>
        <v>0</v>
      </c>
      <c r="BE54" s="293">
        <f t="shared" si="41"/>
        <v>0</v>
      </c>
      <c r="BF54" s="293">
        <f t="shared" si="42"/>
        <v>0.78</v>
      </c>
      <c r="BG54" s="293">
        <f t="shared" si="39"/>
        <v>0</v>
      </c>
      <c r="BH54">
        <f t="shared" si="43"/>
        <v>7</v>
      </c>
      <c r="BI54" s="184" t="s">
        <v>911</v>
      </c>
      <c r="BJ54" s="102">
        <f t="shared" si="44"/>
        <v>0</v>
      </c>
      <c r="BK54" s="102">
        <f t="shared" ca="1" si="48"/>
        <v>0</v>
      </c>
      <c r="BL54" s="102">
        <f t="shared" ca="1" si="45"/>
        <v>0</v>
      </c>
    </row>
    <row r="55" spans="1:64">
      <c r="A55" s="234" t="s">
        <v>885</v>
      </c>
      <c r="B55" s="203" t="s">
        <v>1332</v>
      </c>
      <c r="C55" s="234" t="s">
        <v>1118</v>
      </c>
      <c r="D55" s="255">
        <v>0.22</v>
      </c>
      <c r="E55" s="255"/>
      <c r="F55" s="255">
        <v>0.05</v>
      </c>
      <c r="G55" s="255"/>
      <c r="H55" s="255"/>
      <c r="I55" s="255"/>
      <c r="J55" s="255"/>
      <c r="K55" s="255"/>
      <c r="L55" s="255"/>
      <c r="M55" s="255"/>
      <c r="N55" s="255">
        <f>0.95-F55</f>
        <v>0.89999999999999991</v>
      </c>
      <c r="O55" s="255"/>
      <c r="P55" s="255"/>
      <c r="Q55" s="255"/>
      <c r="R55" s="255"/>
      <c r="S55" s="255"/>
      <c r="T55" s="255"/>
      <c r="AE55" s="184" t="s">
        <v>956</v>
      </c>
      <c r="AF55" s="9">
        <f t="shared" si="36"/>
        <v>9</v>
      </c>
      <c r="AG55" s="9">
        <f t="shared" si="29"/>
        <v>3</v>
      </c>
      <c r="AH55" s="46">
        <f t="shared" si="30"/>
        <v>0</v>
      </c>
      <c r="AI55" s="46">
        <f t="shared" si="31"/>
        <v>0</v>
      </c>
      <c r="AJ55" s="46">
        <f t="shared" si="32"/>
        <v>0</v>
      </c>
      <c r="AK55" s="9">
        <f t="shared" si="33"/>
        <v>0</v>
      </c>
      <c r="AL55" s="46">
        <f t="shared" si="37"/>
        <v>0</v>
      </c>
      <c r="AM55" s="184" t="s">
        <v>911</v>
      </c>
      <c r="AN55" s="9">
        <f t="shared" si="34"/>
        <v>6</v>
      </c>
      <c r="AO55" s="542">
        <f t="shared" ca="1" si="35"/>
        <v>0</v>
      </c>
      <c r="AQ55" s="99" t="s">
        <v>951</v>
      </c>
      <c r="AR55" s="100" t="s">
        <v>798</v>
      </c>
      <c r="AS55" s="134">
        <v>0</v>
      </c>
      <c r="AT55" s="134">
        <v>0</v>
      </c>
      <c r="AU55" s="134">
        <v>6.8563036800000018E-2</v>
      </c>
      <c r="AV55" s="134">
        <v>6.4995883200000007E-2</v>
      </c>
      <c r="AX55" s="184" t="str">
        <f>$I$38</f>
        <v>INDBFG</v>
      </c>
      <c r="AY55" s="102">
        <f>AS52+AS54</f>
        <v>0</v>
      </c>
      <c r="AZ55" s="102">
        <f>AU52+AU54</f>
        <v>0</v>
      </c>
      <c r="BA55" s="102">
        <f>AT52+AT54</f>
        <v>0</v>
      </c>
      <c r="BB55" s="102">
        <f>AV52+AV54</f>
        <v>0</v>
      </c>
      <c r="BC55" s="2">
        <f t="shared" si="40"/>
        <v>0</v>
      </c>
      <c r="BD55" s="2">
        <f t="shared" si="38"/>
        <v>0</v>
      </c>
      <c r="BE55" s="293">
        <f t="shared" si="41"/>
        <v>0</v>
      </c>
      <c r="BF55" s="293">
        <f t="shared" si="42"/>
        <v>0.78</v>
      </c>
      <c r="BG55" s="293">
        <f t="shared" si="39"/>
        <v>0</v>
      </c>
      <c r="BH55">
        <f t="shared" si="43"/>
        <v>8</v>
      </c>
      <c r="BI55" s="184" t="s">
        <v>912</v>
      </c>
      <c r="BJ55" s="102">
        <f t="shared" si="44"/>
        <v>0</v>
      </c>
      <c r="BK55" s="102">
        <f t="shared" ca="1" si="48"/>
        <v>0</v>
      </c>
      <c r="BL55" s="102">
        <f t="shared" ca="1" si="45"/>
        <v>0</v>
      </c>
    </row>
    <row r="56" spans="1:64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AE56" s="184" t="s">
        <v>830</v>
      </c>
      <c r="AF56" s="9">
        <f t="shared" si="36"/>
        <v>10</v>
      </c>
      <c r="AG56" s="9">
        <f t="shared" si="29"/>
        <v>2</v>
      </c>
      <c r="AH56" s="46">
        <f t="shared" si="30"/>
        <v>0</v>
      </c>
      <c r="AI56" s="46">
        <f t="shared" si="31"/>
        <v>0</v>
      </c>
      <c r="AJ56" s="46">
        <f t="shared" si="32"/>
        <v>0</v>
      </c>
      <c r="AK56" s="9">
        <f t="shared" si="33"/>
        <v>0</v>
      </c>
      <c r="AL56" s="46">
        <f t="shared" si="37"/>
        <v>0</v>
      </c>
      <c r="AM56" s="184" t="s">
        <v>912</v>
      </c>
      <c r="AN56" s="9">
        <f t="shared" si="34"/>
        <v>7</v>
      </c>
      <c r="AO56" s="542">
        <f t="shared" ca="1" si="35"/>
        <v>0</v>
      </c>
      <c r="AQ56" s="99" t="s">
        <v>833</v>
      </c>
      <c r="AR56" s="100" t="s">
        <v>891</v>
      </c>
      <c r="AS56" s="134">
        <v>0</v>
      </c>
      <c r="AT56" s="134">
        <v>0</v>
      </c>
      <c r="AU56" s="134">
        <v>0</v>
      </c>
      <c r="AV56" s="134">
        <v>0</v>
      </c>
      <c r="AX56" s="184" t="str">
        <f>$J$38</f>
        <v>INDBCO</v>
      </c>
      <c r="AY56" s="102">
        <f>AS76</f>
        <v>0</v>
      </c>
      <c r="AZ56" s="102">
        <f>AU76</f>
        <v>0</v>
      </c>
      <c r="BA56" s="102">
        <f>AT76</f>
        <v>0</v>
      </c>
      <c r="BB56" s="102">
        <f>AV76</f>
        <v>0</v>
      </c>
      <c r="BC56" s="2">
        <f t="shared" si="40"/>
        <v>0</v>
      </c>
      <c r="BD56" s="2">
        <f t="shared" si="38"/>
        <v>0</v>
      </c>
      <c r="BE56" s="293">
        <f t="shared" si="41"/>
        <v>0</v>
      </c>
      <c r="BF56" s="293">
        <f t="shared" si="42"/>
        <v>0.78</v>
      </c>
      <c r="BG56" s="293">
        <f t="shared" si="39"/>
        <v>0</v>
      </c>
      <c r="BH56">
        <f t="shared" si="43"/>
        <v>9</v>
      </c>
      <c r="BI56" s="184" t="s">
        <v>1150</v>
      </c>
      <c r="BJ56" s="102">
        <f t="shared" si="44"/>
        <v>0</v>
      </c>
      <c r="BK56" s="102">
        <f t="shared" ca="1" si="48"/>
        <v>0.10383963301183052</v>
      </c>
      <c r="BL56" s="102">
        <f t="shared" ca="1" si="45"/>
        <v>0.10383963301183052</v>
      </c>
    </row>
    <row r="57" spans="1:64" ht="14.25" customHeight="1">
      <c r="A57" s="86" t="s">
        <v>988</v>
      </c>
      <c r="B57" s="106"/>
      <c r="C57" s="107"/>
      <c r="D57" s="88"/>
      <c r="E57" s="88"/>
      <c r="F57" s="88"/>
      <c r="G57" s="88"/>
      <c r="H57" s="88"/>
      <c r="I57" s="88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AE57" s="184" t="s">
        <v>955</v>
      </c>
      <c r="AF57" s="9">
        <f t="shared" si="36"/>
        <v>8</v>
      </c>
      <c r="AG57" s="9" t="e">
        <f t="shared" si="29"/>
        <v>#N/A</v>
      </c>
      <c r="AH57" s="46">
        <f t="shared" si="30"/>
        <v>0</v>
      </c>
      <c r="AI57" s="46">
        <f t="shared" si="31"/>
        <v>0</v>
      </c>
      <c r="AJ57" s="46">
        <f t="shared" si="32"/>
        <v>0</v>
      </c>
      <c r="AK57" s="9">
        <f t="shared" si="33"/>
        <v>0</v>
      </c>
      <c r="AL57" s="46">
        <f t="shared" si="37"/>
        <v>0</v>
      </c>
      <c r="AM57" s="184" t="s">
        <v>912</v>
      </c>
      <c r="AN57" s="9">
        <f t="shared" si="34"/>
        <v>7</v>
      </c>
      <c r="AO57" s="542">
        <f t="shared" ca="1" si="35"/>
        <v>0</v>
      </c>
      <c r="AQ57" s="99" t="s">
        <v>1297</v>
      </c>
      <c r="AR57" s="100" t="s">
        <v>663</v>
      </c>
      <c r="AS57" s="134">
        <v>0</v>
      </c>
      <c r="AT57" s="134">
        <v>0</v>
      </c>
      <c r="AU57" s="134">
        <v>0</v>
      </c>
      <c r="AV57" s="134">
        <v>0</v>
      </c>
      <c r="AX57" s="184" t="str">
        <f>$K$38</f>
        <v>INDHFO</v>
      </c>
      <c r="AY57" s="102">
        <f>AS68+AS60+AS65+AS66</f>
        <v>0</v>
      </c>
      <c r="AZ57" s="102">
        <f>AU68+AU60+AU65+AU66</f>
        <v>3.2003899200000005E-2</v>
      </c>
      <c r="BA57" s="102">
        <f>AT68+AT60+AT65+AT66</f>
        <v>0</v>
      </c>
      <c r="BB57" s="102">
        <f>AV68+AV60+AV65+AV66</f>
        <v>2.5397128800000002E-2</v>
      </c>
      <c r="BC57" s="2">
        <f t="shared" si="40"/>
        <v>0</v>
      </c>
      <c r="BD57" s="2">
        <f t="shared" si="38"/>
        <v>0.79356357927786492</v>
      </c>
      <c r="BE57" s="293">
        <f t="shared" si="41"/>
        <v>0</v>
      </c>
      <c r="BF57" s="293">
        <f t="shared" si="42"/>
        <v>0.79356357927786492</v>
      </c>
      <c r="BG57" s="293">
        <f t="shared" si="39"/>
        <v>2.5397128800000002E-2</v>
      </c>
      <c r="BH57">
        <f t="shared" si="43"/>
        <v>10</v>
      </c>
      <c r="BI57" s="184" t="s">
        <v>913</v>
      </c>
      <c r="BJ57" s="102">
        <f t="shared" si="44"/>
        <v>0.19752035404514595</v>
      </c>
      <c r="BK57" s="102">
        <f t="shared" ca="1" si="48"/>
        <v>0.61084605902376299</v>
      </c>
      <c r="BL57" s="102">
        <f t="shared" ca="1" si="45"/>
        <v>0.61084605902376299</v>
      </c>
    </row>
    <row r="58" spans="1:64" ht="14.25" customHeight="1" thickBot="1">
      <c r="A58" s="233" t="s">
        <v>873</v>
      </c>
      <c r="B58" s="233" t="s">
        <v>874</v>
      </c>
      <c r="C58" s="233" t="s">
        <v>555</v>
      </c>
      <c r="D58" s="188" t="str">
        <f t="shared" ref="D58:T58" si="49">B38</f>
        <v>INDELC</v>
      </c>
      <c r="E58" s="188" t="str">
        <f t="shared" si="49"/>
        <v>INDNGA</v>
      </c>
      <c r="F58" s="188" t="str">
        <f t="shared" si="49"/>
        <v>INDLPG</v>
      </c>
      <c r="G58" s="188" t="str">
        <f t="shared" si="49"/>
        <v>INDNGL</v>
      </c>
      <c r="H58" s="188" t="str">
        <f t="shared" si="49"/>
        <v>INDCOA</v>
      </c>
      <c r="I58" s="188" t="str">
        <f t="shared" si="49"/>
        <v>INDCOK</v>
      </c>
      <c r="J58" s="188" t="str">
        <f t="shared" si="49"/>
        <v>INDCOG</v>
      </c>
      <c r="K58" s="188" t="str">
        <f t="shared" si="49"/>
        <v>INDBFG</v>
      </c>
      <c r="L58" s="188" t="str">
        <f t="shared" si="49"/>
        <v>INDBCO</v>
      </c>
      <c r="M58" s="188" t="str">
        <f t="shared" si="49"/>
        <v>INDHFO</v>
      </c>
      <c r="N58" s="188" t="str">
        <f t="shared" si="49"/>
        <v>INDOIL</v>
      </c>
      <c r="O58" s="188" t="str">
        <f t="shared" si="49"/>
        <v>INDETH</v>
      </c>
      <c r="P58" s="188" t="str">
        <f t="shared" si="49"/>
        <v>INDNAP</v>
      </c>
      <c r="Q58" s="188" t="str">
        <f t="shared" si="49"/>
        <v>INDPTC</v>
      </c>
      <c r="R58" s="188" t="str">
        <f t="shared" si="49"/>
        <v>INDBIO</v>
      </c>
      <c r="S58" s="188" t="str">
        <f t="shared" si="49"/>
        <v>INDGEO</v>
      </c>
      <c r="T58" s="188" t="str">
        <f t="shared" si="49"/>
        <v>INDHET</v>
      </c>
      <c r="U58" s="188" t="s">
        <v>888</v>
      </c>
      <c r="V58" s="203"/>
      <c r="W58" s="203"/>
      <c r="AE58" s="184" t="s">
        <v>831</v>
      </c>
      <c r="AF58" s="9">
        <f t="shared" si="36"/>
        <v>11</v>
      </c>
      <c r="AG58" s="9">
        <f t="shared" si="29"/>
        <v>4</v>
      </c>
      <c r="AH58" s="46">
        <f t="shared" si="30"/>
        <v>0</v>
      </c>
      <c r="AI58" s="46">
        <f t="shared" si="31"/>
        <v>0</v>
      </c>
      <c r="AJ58" s="46">
        <f t="shared" si="32"/>
        <v>0</v>
      </c>
      <c r="AK58" s="9">
        <f t="shared" si="33"/>
        <v>0</v>
      </c>
      <c r="AL58" s="46">
        <f t="shared" si="37"/>
        <v>0</v>
      </c>
      <c r="AM58" s="184" t="s">
        <v>912</v>
      </c>
      <c r="AN58" s="9">
        <f t="shared" si="34"/>
        <v>7</v>
      </c>
      <c r="AO58" s="542">
        <f t="shared" ca="1" si="35"/>
        <v>0</v>
      </c>
      <c r="AQ58" s="135" t="s">
        <v>843</v>
      </c>
      <c r="AR58" s="136" t="s">
        <v>804</v>
      </c>
      <c r="AS58" s="134">
        <v>0</v>
      </c>
      <c r="AT58" s="134">
        <v>0</v>
      </c>
      <c r="AU58" s="134">
        <v>0</v>
      </c>
      <c r="AV58" s="134">
        <v>0</v>
      </c>
      <c r="AX58" s="184" t="str">
        <f>$L$38</f>
        <v>INDOIL</v>
      </c>
      <c r="AY58" s="102">
        <f>AS61+AS62+AS67</f>
        <v>0</v>
      </c>
      <c r="AZ58" s="102">
        <f>AU61+AU62+AU67</f>
        <v>0</v>
      </c>
      <c r="BA58" s="102">
        <f>AT61+AT62+AT67</f>
        <v>0</v>
      </c>
      <c r="BB58" s="102">
        <f>AV61+AV62+AV67</f>
        <v>0</v>
      </c>
      <c r="BC58" s="2">
        <f t="shared" si="40"/>
        <v>0</v>
      </c>
      <c r="BD58" s="2">
        <f t="shared" si="38"/>
        <v>0</v>
      </c>
      <c r="BE58" s="293">
        <f t="shared" si="41"/>
        <v>0</v>
      </c>
      <c r="BF58" s="293">
        <f t="shared" si="42"/>
        <v>0.78</v>
      </c>
      <c r="BG58" s="293">
        <f t="shared" si="39"/>
        <v>0</v>
      </c>
      <c r="BH58">
        <f t="shared" si="43"/>
        <v>11</v>
      </c>
      <c r="BI58" s="184" t="s">
        <v>826</v>
      </c>
      <c r="BJ58" s="102">
        <f t="shared" si="44"/>
        <v>0</v>
      </c>
      <c r="BK58" s="102">
        <f t="shared" ca="1" si="48"/>
        <v>1.3858581954210061</v>
      </c>
      <c r="BL58" s="102">
        <f t="shared" ca="1" si="45"/>
        <v>1.3858581954210061</v>
      </c>
    </row>
    <row r="59" spans="1:64" ht="14.25" customHeight="1">
      <c r="A59" s="259" t="str">
        <f t="shared" ref="A59:C69" si="50">A42</f>
        <v>Iron and Steel</v>
      </c>
      <c r="B59" s="259" t="str">
        <f t="shared" si="50"/>
        <v>ISIS</v>
      </c>
      <c r="C59" s="259" t="str">
        <f t="shared" si="50"/>
        <v>Steam Boiler</v>
      </c>
      <c r="D59" s="68">
        <f>D42*B$28</f>
        <v>0</v>
      </c>
      <c r="E59" s="68">
        <f t="shared" ref="E59:T59" si="51">(E42*C$28)</f>
        <v>1.9499999999999999E-3</v>
      </c>
      <c r="F59" s="68">
        <f t="shared" si="51"/>
        <v>0</v>
      </c>
      <c r="G59" s="68">
        <f t="shared" si="51"/>
        <v>0</v>
      </c>
      <c r="H59" s="68">
        <f t="shared" si="51"/>
        <v>0</v>
      </c>
      <c r="I59" s="68">
        <f t="shared" si="51"/>
        <v>0</v>
      </c>
      <c r="J59" s="68">
        <f t="shared" si="51"/>
        <v>0</v>
      </c>
      <c r="K59" s="68">
        <f t="shared" si="51"/>
        <v>0</v>
      </c>
      <c r="L59" s="68">
        <f t="shared" si="51"/>
        <v>0</v>
      </c>
      <c r="M59" s="68">
        <f t="shared" si="51"/>
        <v>2.0999999999999999E-3</v>
      </c>
      <c r="N59" s="68">
        <f t="shared" si="51"/>
        <v>1.4999999999999999E-4</v>
      </c>
      <c r="O59" s="68">
        <f t="shared" si="51"/>
        <v>0</v>
      </c>
      <c r="P59" s="68">
        <f t="shared" si="51"/>
        <v>0</v>
      </c>
      <c r="Q59" s="68">
        <f t="shared" si="51"/>
        <v>0</v>
      </c>
      <c r="R59" s="68">
        <f t="shared" si="51"/>
        <v>0</v>
      </c>
      <c r="S59" s="68">
        <f t="shared" si="51"/>
        <v>0</v>
      </c>
      <c r="T59" s="68">
        <f t="shared" si="51"/>
        <v>8.9999999999999993E-3</v>
      </c>
      <c r="U59" s="68">
        <f>SUM(D59:T59)</f>
        <v>1.32E-2</v>
      </c>
      <c r="V59" s="213"/>
      <c r="W59" s="203"/>
      <c r="AE59" s="184" t="s">
        <v>835</v>
      </c>
      <c r="AF59" s="9">
        <f t="shared" si="36"/>
        <v>15</v>
      </c>
      <c r="AG59" s="9">
        <f t="shared" si="29"/>
        <v>18</v>
      </c>
      <c r="AH59" s="46">
        <f t="shared" si="30"/>
        <v>0.41332570497861698</v>
      </c>
      <c r="AI59" s="46">
        <f t="shared" si="31"/>
        <v>0</v>
      </c>
      <c r="AJ59" s="46">
        <f t="shared" si="32"/>
        <v>0</v>
      </c>
      <c r="AK59" s="9">
        <f t="shared" si="33"/>
        <v>0.19752035404514595</v>
      </c>
      <c r="AL59" s="46">
        <f t="shared" si="37"/>
        <v>0.61084605902376299</v>
      </c>
      <c r="AM59" s="184" t="s">
        <v>913</v>
      </c>
      <c r="AN59" s="9">
        <f t="shared" si="34"/>
        <v>9</v>
      </c>
      <c r="AO59" s="542">
        <f t="shared" ca="1" si="35"/>
        <v>1</v>
      </c>
      <c r="AQ59" s="99" t="s">
        <v>902</v>
      </c>
      <c r="AR59" s="100" t="s">
        <v>902</v>
      </c>
      <c r="AS59" s="137">
        <v>0</v>
      </c>
      <c r="AT59" s="137">
        <v>0</v>
      </c>
      <c r="AU59" s="137">
        <v>6.8563036800000018E-2</v>
      </c>
      <c r="AV59" s="137">
        <v>6.4995883200000007E-2</v>
      </c>
      <c r="AX59" s="184" t="str">
        <f>$M$38</f>
        <v>INDETH</v>
      </c>
      <c r="AY59" s="102">
        <f>AS56+AS58</f>
        <v>0</v>
      </c>
      <c r="AZ59" s="102">
        <f>AU56+AU58</f>
        <v>0</v>
      </c>
      <c r="BA59" s="102">
        <f>AT56+AT58</f>
        <v>0</v>
      </c>
      <c r="BB59" s="102">
        <f>AV56+AV58</f>
        <v>0</v>
      </c>
      <c r="BC59" s="2">
        <f t="shared" si="40"/>
        <v>0</v>
      </c>
      <c r="BD59" s="2">
        <f t="shared" si="38"/>
        <v>0</v>
      </c>
      <c r="BE59" s="293">
        <f t="shared" si="41"/>
        <v>0</v>
      </c>
      <c r="BF59" s="293">
        <f t="shared" si="42"/>
        <v>0.78</v>
      </c>
      <c r="BG59" s="293">
        <f t="shared" si="39"/>
        <v>0</v>
      </c>
      <c r="BH59">
        <f t="shared" si="43"/>
        <v>12</v>
      </c>
      <c r="BI59" s="184" t="s">
        <v>914</v>
      </c>
      <c r="BJ59" s="102">
        <f t="shared" si="44"/>
        <v>0</v>
      </c>
      <c r="BK59" s="102">
        <f t="shared" ca="1" si="48"/>
        <v>0</v>
      </c>
      <c r="BL59" s="102">
        <f t="shared" ca="1" si="45"/>
        <v>0</v>
      </c>
    </row>
    <row r="60" spans="1:64" ht="14.25" customHeight="1">
      <c r="A60" s="259" t="str">
        <f t="shared" si="50"/>
        <v>Non-ferrous Metals</v>
      </c>
      <c r="B60" s="259" t="str">
        <f t="shared" si="50"/>
        <v>ISNF</v>
      </c>
      <c r="C60" s="259" t="str">
        <f t="shared" si="50"/>
        <v>Steam Boiler</v>
      </c>
      <c r="D60" s="68">
        <f>D43*B$29</f>
        <v>0</v>
      </c>
      <c r="E60" s="68">
        <f t="shared" ref="E60:T60" si="52">(E43*C$29)</f>
        <v>1E-4</v>
      </c>
      <c r="F60" s="68">
        <f t="shared" si="52"/>
        <v>0</v>
      </c>
      <c r="G60" s="68">
        <f t="shared" si="52"/>
        <v>0</v>
      </c>
      <c r="H60" s="68">
        <f t="shared" si="52"/>
        <v>0</v>
      </c>
      <c r="I60" s="68">
        <f t="shared" si="52"/>
        <v>0</v>
      </c>
      <c r="J60" s="68">
        <f t="shared" si="52"/>
        <v>0</v>
      </c>
      <c r="K60" s="68">
        <f t="shared" si="52"/>
        <v>0</v>
      </c>
      <c r="L60" s="68">
        <f t="shared" si="52"/>
        <v>0</v>
      </c>
      <c r="M60" s="68">
        <f t="shared" si="52"/>
        <v>1.25E-3</v>
      </c>
      <c r="N60" s="68">
        <f t="shared" si="52"/>
        <v>7.5000000000000002E-4</v>
      </c>
      <c r="O60" s="68">
        <f t="shared" si="52"/>
        <v>0</v>
      </c>
      <c r="P60" s="68">
        <f t="shared" si="52"/>
        <v>0</v>
      </c>
      <c r="Q60" s="68">
        <f t="shared" si="52"/>
        <v>0</v>
      </c>
      <c r="R60" s="68">
        <f t="shared" si="52"/>
        <v>0</v>
      </c>
      <c r="S60" s="68">
        <f t="shared" si="52"/>
        <v>0</v>
      </c>
      <c r="T60" s="68">
        <f t="shared" si="52"/>
        <v>2.4E-2</v>
      </c>
      <c r="U60" s="68">
        <f>SUM(D60:T60)</f>
        <v>2.6100000000000002E-2</v>
      </c>
      <c r="V60" s="213"/>
      <c r="W60" s="203"/>
      <c r="AE60" s="184" t="s">
        <v>834</v>
      </c>
      <c r="AF60" s="9">
        <f t="shared" si="36"/>
        <v>14</v>
      </c>
      <c r="AG60" s="9">
        <f t="shared" si="29"/>
        <v>10</v>
      </c>
      <c r="AH60" s="46">
        <f t="shared" si="30"/>
        <v>0</v>
      </c>
      <c r="AI60" s="46">
        <f t="shared" si="31"/>
        <v>0</v>
      </c>
      <c r="AJ60" s="46">
        <f t="shared" si="32"/>
        <v>0</v>
      </c>
      <c r="AK60" s="9">
        <f t="shared" si="33"/>
        <v>0</v>
      </c>
      <c r="AL60" s="46">
        <f t="shared" si="37"/>
        <v>0</v>
      </c>
      <c r="AM60" s="184" t="s">
        <v>913</v>
      </c>
      <c r="AN60" s="9">
        <f t="shared" si="34"/>
        <v>9</v>
      </c>
      <c r="AO60" s="542">
        <f t="shared" ca="1" si="35"/>
        <v>0</v>
      </c>
      <c r="AQ60" s="99" t="s">
        <v>834</v>
      </c>
      <c r="AR60" s="100" t="s">
        <v>892</v>
      </c>
      <c r="AS60" s="134">
        <v>0</v>
      </c>
      <c r="AT60" s="134">
        <v>0</v>
      </c>
      <c r="AU60" s="134">
        <v>0</v>
      </c>
      <c r="AV60" s="134">
        <v>0</v>
      </c>
      <c r="AX60" s="184" t="str">
        <f>$N$38</f>
        <v>INDNAP</v>
      </c>
      <c r="AY60" s="102">
        <f>AS63</f>
        <v>0</v>
      </c>
      <c r="AZ60" s="102">
        <f>AU63</f>
        <v>0</v>
      </c>
      <c r="BA60" s="102">
        <f>AT63</f>
        <v>0</v>
      </c>
      <c r="BB60" s="102">
        <f>AV63</f>
        <v>0</v>
      </c>
      <c r="BC60" s="2">
        <f t="shared" si="40"/>
        <v>0</v>
      </c>
      <c r="BD60" s="2">
        <f t="shared" si="38"/>
        <v>0</v>
      </c>
      <c r="BE60" s="293">
        <f t="shared" si="41"/>
        <v>0</v>
      </c>
      <c r="BF60" s="293">
        <f t="shared" si="42"/>
        <v>0.78</v>
      </c>
      <c r="BG60" s="293">
        <f t="shared" si="39"/>
        <v>0</v>
      </c>
      <c r="BH60">
        <f t="shared" si="43"/>
        <v>13</v>
      </c>
      <c r="BI60" s="184" t="s">
        <v>915</v>
      </c>
      <c r="BJ60" s="102">
        <f>SUM(AY60,AZ60)</f>
        <v>0</v>
      </c>
      <c r="BK60" s="102">
        <f ca="1">MAX(0,BJ60+OFFSET($A$34,0,$BH60)+OFFSET($A$36,0,$BH60)-INDEX($B$37:$S$37,$BH60))</f>
        <v>0</v>
      </c>
      <c r="BL60" s="102">
        <f t="shared" ca="1" si="45"/>
        <v>0</v>
      </c>
    </row>
    <row r="61" spans="1:64" ht="14.25" customHeight="1">
      <c r="A61" s="259" t="str">
        <f t="shared" si="50"/>
        <v>Chemicals and Petrochemicals</v>
      </c>
      <c r="B61" s="259" t="str">
        <f t="shared" si="50"/>
        <v>ISCH</v>
      </c>
      <c r="C61" s="259" t="str">
        <f t="shared" si="50"/>
        <v>Steam Boiler</v>
      </c>
      <c r="D61" s="68">
        <f t="shared" ref="D61:T61" si="53">D44*(B$30)</f>
        <v>0</v>
      </c>
      <c r="E61" s="68">
        <f t="shared" si="53"/>
        <v>6.3073430323037014E-2</v>
      </c>
      <c r="F61" s="68">
        <f t="shared" si="53"/>
        <v>0</v>
      </c>
      <c r="G61" s="68">
        <f t="shared" si="53"/>
        <v>0</v>
      </c>
      <c r="H61" s="68">
        <f t="shared" si="53"/>
        <v>0</v>
      </c>
      <c r="I61" s="68">
        <f t="shared" si="53"/>
        <v>0</v>
      </c>
      <c r="J61" s="68">
        <f t="shared" si="53"/>
        <v>0</v>
      </c>
      <c r="K61" s="68">
        <f t="shared" si="53"/>
        <v>0</v>
      </c>
      <c r="L61" s="68">
        <f t="shared" si="53"/>
        <v>0</v>
      </c>
      <c r="M61" s="68">
        <f t="shared" si="53"/>
        <v>5.9140611353711891E-3</v>
      </c>
      <c r="N61" s="68">
        <f t="shared" si="53"/>
        <v>0</v>
      </c>
      <c r="O61" s="68">
        <f t="shared" si="53"/>
        <v>0</v>
      </c>
      <c r="P61" s="68">
        <f t="shared" si="53"/>
        <v>0</v>
      </c>
      <c r="Q61" s="68">
        <f t="shared" si="53"/>
        <v>0</v>
      </c>
      <c r="R61" s="68">
        <f t="shared" si="53"/>
        <v>0</v>
      </c>
      <c r="S61" s="68">
        <f t="shared" si="53"/>
        <v>0</v>
      </c>
      <c r="T61" s="68">
        <f t="shared" si="53"/>
        <v>0.30399999999999999</v>
      </c>
      <c r="U61" s="68">
        <f>SUM(D61:T61)</f>
        <v>0.3729874914584082</v>
      </c>
      <c r="V61" s="213"/>
      <c r="W61" s="203"/>
      <c r="AE61" s="184" t="s">
        <v>839</v>
      </c>
      <c r="AF61" s="9">
        <f t="shared" si="36"/>
        <v>19</v>
      </c>
      <c r="AG61" s="9">
        <f t="shared" si="29"/>
        <v>16</v>
      </c>
      <c r="AH61" s="46">
        <f t="shared" si="30"/>
        <v>0</v>
      </c>
      <c r="AI61" s="46">
        <f t="shared" si="31"/>
        <v>0</v>
      </c>
      <c r="AJ61" s="46">
        <f t="shared" si="32"/>
        <v>0</v>
      </c>
      <c r="AK61" s="9">
        <f t="shared" si="33"/>
        <v>0</v>
      </c>
      <c r="AL61" s="46">
        <f t="shared" si="37"/>
        <v>0</v>
      </c>
      <c r="AM61" s="184" t="s">
        <v>913</v>
      </c>
      <c r="AN61" s="9">
        <f t="shared" si="34"/>
        <v>9</v>
      </c>
      <c r="AO61" s="542">
        <f t="shared" ca="1" si="35"/>
        <v>0</v>
      </c>
      <c r="AQ61" s="99" t="s">
        <v>836</v>
      </c>
      <c r="AR61" s="100" t="s">
        <v>803</v>
      </c>
      <c r="AS61" s="134">
        <v>0</v>
      </c>
      <c r="AT61" s="134">
        <v>0</v>
      </c>
      <c r="AU61" s="134">
        <v>0</v>
      </c>
      <c r="AV61" s="134">
        <v>0</v>
      </c>
      <c r="AX61" s="184" t="str">
        <f>$O$38</f>
        <v>INDPTC</v>
      </c>
      <c r="AY61" s="102">
        <f>AS79</f>
        <v>0</v>
      </c>
      <c r="AZ61" s="102">
        <f>AU79</f>
        <v>0</v>
      </c>
      <c r="BA61" s="102">
        <f>AT79</f>
        <v>0</v>
      </c>
      <c r="BB61" s="102">
        <f>AV79</f>
        <v>0</v>
      </c>
      <c r="BC61" s="2">
        <f t="shared" si="40"/>
        <v>0</v>
      </c>
      <c r="BD61" s="2">
        <f t="shared" si="38"/>
        <v>0</v>
      </c>
      <c r="BE61" s="293">
        <f t="shared" si="41"/>
        <v>0</v>
      </c>
      <c r="BF61" s="293">
        <f t="shared" si="42"/>
        <v>0.78</v>
      </c>
      <c r="BG61" s="293">
        <f t="shared" si="39"/>
        <v>0</v>
      </c>
      <c r="BH61">
        <f t="shared" si="43"/>
        <v>14</v>
      </c>
      <c r="BI61" s="184" t="s">
        <v>916</v>
      </c>
      <c r="BJ61" s="102">
        <f>SUM(AY18,AY61,AZ61)</f>
        <v>0</v>
      </c>
      <c r="BK61" s="102">
        <f t="shared" ca="1" si="48"/>
        <v>5.3999999999999999E-2</v>
      </c>
      <c r="BL61" s="102">
        <f t="shared" ca="1" si="45"/>
        <v>5.3999999999999999E-2</v>
      </c>
    </row>
    <row r="62" spans="1:64" ht="14.25" customHeight="1">
      <c r="A62" s="259" t="str">
        <f t="shared" si="50"/>
        <v>Paper, Pulp and Printing</v>
      </c>
      <c r="B62" s="259" t="str">
        <f t="shared" si="50"/>
        <v>ISLP</v>
      </c>
      <c r="C62" s="259" t="str">
        <f t="shared" si="50"/>
        <v>Steam Boiler</v>
      </c>
      <c r="D62" s="68">
        <f t="shared" ref="D62:T62" si="54">D45*B$31</f>
        <v>0</v>
      </c>
      <c r="E62" s="68">
        <f t="shared" si="54"/>
        <v>1.8750000000000003E-2</v>
      </c>
      <c r="F62" s="68">
        <f t="shared" si="54"/>
        <v>0</v>
      </c>
      <c r="G62" s="68">
        <f t="shared" si="54"/>
        <v>0</v>
      </c>
      <c r="H62" s="68">
        <f t="shared" si="54"/>
        <v>1E-3</v>
      </c>
      <c r="I62" s="68">
        <f t="shared" si="54"/>
        <v>0</v>
      </c>
      <c r="J62" s="68">
        <f t="shared" si="54"/>
        <v>0</v>
      </c>
      <c r="K62" s="68">
        <f t="shared" si="54"/>
        <v>0</v>
      </c>
      <c r="L62" s="68">
        <f t="shared" si="54"/>
        <v>0.01</v>
      </c>
      <c r="M62" s="68">
        <f t="shared" si="54"/>
        <v>4.5000000000000005E-3</v>
      </c>
      <c r="N62" s="68">
        <f t="shared" si="54"/>
        <v>0</v>
      </c>
      <c r="O62" s="68">
        <f t="shared" si="54"/>
        <v>0</v>
      </c>
      <c r="P62" s="68">
        <f t="shared" si="54"/>
        <v>0</v>
      </c>
      <c r="Q62" s="68">
        <f t="shared" si="54"/>
        <v>0</v>
      </c>
      <c r="R62" s="68">
        <f t="shared" si="54"/>
        <v>0.14000000000000001</v>
      </c>
      <c r="S62" s="68">
        <f t="shared" si="54"/>
        <v>0</v>
      </c>
      <c r="T62" s="68">
        <f t="shared" si="54"/>
        <v>6.0000000000000001E-3</v>
      </c>
      <c r="U62" s="68">
        <f>SUM(D62:T62)</f>
        <v>0.18025000000000002</v>
      </c>
      <c r="V62" s="213"/>
      <c r="W62" s="203"/>
      <c r="AE62" s="184" t="s">
        <v>836</v>
      </c>
      <c r="AF62" s="9">
        <f t="shared" si="36"/>
        <v>16</v>
      </c>
      <c r="AG62" s="9">
        <f t="shared" si="29"/>
        <v>11</v>
      </c>
      <c r="AH62" s="46">
        <f t="shared" si="30"/>
        <v>1.3858581954210061</v>
      </c>
      <c r="AI62" s="46">
        <f t="shared" si="31"/>
        <v>0</v>
      </c>
      <c r="AJ62" s="46">
        <f t="shared" si="32"/>
        <v>0</v>
      </c>
      <c r="AK62" s="9">
        <f t="shared" si="33"/>
        <v>0</v>
      </c>
      <c r="AL62" s="46">
        <f t="shared" si="37"/>
        <v>1.3858581954210061</v>
      </c>
      <c r="AM62" s="184" t="s">
        <v>826</v>
      </c>
      <c r="AN62" s="9">
        <f t="shared" si="34"/>
        <v>10</v>
      </c>
      <c r="AO62" s="542">
        <f t="shared" ca="1" si="35"/>
        <v>1</v>
      </c>
      <c r="AQ62" s="99" t="s">
        <v>838</v>
      </c>
      <c r="AR62" s="100" t="s">
        <v>593</v>
      </c>
      <c r="AS62" s="134">
        <v>0</v>
      </c>
      <c r="AT62" s="134">
        <v>0</v>
      </c>
      <c r="AU62" s="134">
        <v>0</v>
      </c>
      <c r="AV62" s="134">
        <v>0</v>
      </c>
      <c r="AX62" s="184" t="str">
        <f>$P$38</f>
        <v>INDBIO</v>
      </c>
      <c r="AY62" s="102">
        <f>SUM(AS70:AS74)</f>
        <v>0</v>
      </c>
      <c r="AZ62" s="102">
        <f>SUM(AU70:AU74)</f>
        <v>0.147617545446</v>
      </c>
      <c r="BA62" s="102">
        <f>SUM(AT70:AT74)</f>
        <v>0</v>
      </c>
      <c r="BB62" s="102">
        <f>SUM(AV70:AV74)</f>
        <v>0.109199824524</v>
      </c>
      <c r="BC62" s="2">
        <f t="shared" si="40"/>
        <v>0</v>
      </c>
      <c r="BD62" s="2">
        <f t="shared" si="38"/>
        <v>0.73974827446203817</v>
      </c>
      <c r="BE62" s="293">
        <f t="shared" si="41"/>
        <v>0</v>
      </c>
      <c r="BF62" s="293">
        <f t="shared" si="42"/>
        <v>0.78</v>
      </c>
      <c r="BG62" s="293">
        <f t="shared" si="39"/>
        <v>0.11514168544788</v>
      </c>
      <c r="BH62">
        <f t="shared" si="43"/>
        <v>15</v>
      </c>
      <c r="BI62" s="184" t="s">
        <v>917</v>
      </c>
      <c r="BJ62" s="102">
        <f>SUM(AY19,AY20,AY62,AZ62)</f>
        <v>0.61381798539002885</v>
      </c>
      <c r="BK62" s="102">
        <f t="shared" ca="1" si="48"/>
        <v>1.2804972772441698</v>
      </c>
      <c r="BL62" s="409">
        <f ca="1">BK62-X15-Drivers2!P127-'CHP2'!F72-0</f>
        <v>1.1404972772441697</v>
      </c>
    </row>
    <row r="63" spans="1:64" ht="14.25" customHeight="1">
      <c r="A63" s="259" t="str">
        <f t="shared" si="50"/>
        <v>Non-Metallic minerals (SCG)</v>
      </c>
      <c r="B63" s="259" t="str">
        <f t="shared" si="50"/>
        <v>ISNM</v>
      </c>
      <c r="C63" s="259" t="str">
        <f t="shared" si="50"/>
        <v>Steam Boiler</v>
      </c>
      <c r="D63" s="68">
        <f t="shared" ref="D63:T63" si="55">D46*B$32</f>
        <v>0</v>
      </c>
      <c r="E63" s="68">
        <f t="shared" si="55"/>
        <v>4.4999999999999997E-3</v>
      </c>
      <c r="F63" s="68">
        <f t="shared" si="55"/>
        <v>0</v>
      </c>
      <c r="G63" s="68">
        <f t="shared" si="55"/>
        <v>0</v>
      </c>
      <c r="H63" s="68">
        <f t="shared" si="55"/>
        <v>0</v>
      </c>
      <c r="I63" s="68">
        <f t="shared" si="55"/>
        <v>0</v>
      </c>
      <c r="J63" s="68">
        <f t="shared" si="55"/>
        <v>0</v>
      </c>
      <c r="K63" s="68">
        <f t="shared" si="55"/>
        <v>0</v>
      </c>
      <c r="L63" s="68">
        <f t="shared" si="55"/>
        <v>1E-3</v>
      </c>
      <c r="M63" s="68">
        <f t="shared" si="55"/>
        <v>4.4000000000000003E-3</v>
      </c>
      <c r="N63" s="68">
        <f t="shared" si="55"/>
        <v>6.8999999999999999E-3</v>
      </c>
      <c r="O63" s="68">
        <f t="shared" si="55"/>
        <v>0</v>
      </c>
      <c r="P63" s="68">
        <f t="shared" si="55"/>
        <v>0</v>
      </c>
      <c r="Q63" s="68">
        <f t="shared" si="55"/>
        <v>0</v>
      </c>
      <c r="R63" s="68">
        <f t="shared" si="55"/>
        <v>0</v>
      </c>
      <c r="S63" s="68">
        <f t="shared" si="55"/>
        <v>0</v>
      </c>
      <c r="T63" s="68">
        <f t="shared" si="55"/>
        <v>4.7E-2</v>
      </c>
      <c r="U63" s="68">
        <f>SUM(D63:T63)</f>
        <v>6.3799999999999996E-2</v>
      </c>
      <c r="V63" s="213"/>
      <c r="W63" s="203"/>
      <c r="AE63" s="184" t="s">
        <v>837</v>
      </c>
      <c r="AF63" s="9">
        <f t="shared" si="36"/>
        <v>17</v>
      </c>
      <c r="AG63" s="9">
        <f t="shared" si="29"/>
        <v>17</v>
      </c>
      <c r="AH63" s="46">
        <f t="shared" si="30"/>
        <v>0</v>
      </c>
      <c r="AI63" s="46">
        <f t="shared" si="31"/>
        <v>0</v>
      </c>
      <c r="AJ63" s="46">
        <f t="shared" si="32"/>
        <v>0</v>
      </c>
      <c r="AK63" s="9">
        <f t="shared" si="33"/>
        <v>0</v>
      </c>
      <c r="AL63" s="46">
        <f t="shared" si="37"/>
        <v>0</v>
      </c>
      <c r="AM63" s="184" t="s">
        <v>826</v>
      </c>
      <c r="AN63" s="9">
        <f t="shared" si="34"/>
        <v>10</v>
      </c>
      <c r="AO63" s="542">
        <f t="shared" ca="1" si="35"/>
        <v>0</v>
      </c>
      <c r="AQ63" s="99" t="s">
        <v>841</v>
      </c>
      <c r="AR63" s="100" t="s">
        <v>805</v>
      </c>
      <c r="AS63" s="134">
        <v>0</v>
      </c>
      <c r="AT63" s="134">
        <v>0</v>
      </c>
      <c r="AU63" s="134">
        <v>0</v>
      </c>
      <c r="AV63" s="134">
        <v>0</v>
      </c>
      <c r="AX63" s="184" t="str">
        <f>$Q$38</f>
        <v>INDGEO</v>
      </c>
      <c r="AY63" s="102">
        <f>AS83</f>
        <v>0</v>
      </c>
      <c r="AZ63" s="102">
        <f>AU83</f>
        <v>0</v>
      </c>
      <c r="BA63" s="102">
        <f>AT83</f>
        <v>0</v>
      </c>
      <c r="BB63" s="102">
        <f>AV83</f>
        <v>0</v>
      </c>
      <c r="BC63" s="2">
        <f t="shared" si="40"/>
        <v>0</v>
      </c>
      <c r="BD63" s="2">
        <f t="shared" si="38"/>
        <v>0</v>
      </c>
      <c r="BE63" s="293">
        <f t="shared" si="41"/>
        <v>0</v>
      </c>
      <c r="BF63" s="293">
        <f t="shared" si="42"/>
        <v>0.78</v>
      </c>
      <c r="BG63" s="293">
        <f t="shared" si="39"/>
        <v>0</v>
      </c>
      <c r="BH63">
        <f t="shared" si="43"/>
        <v>16</v>
      </c>
      <c r="BI63" s="184" t="s">
        <v>950</v>
      </c>
      <c r="BJ63" s="102">
        <f t="shared" si="44"/>
        <v>0</v>
      </c>
      <c r="BK63" s="102">
        <f t="shared" ca="1" si="48"/>
        <v>0</v>
      </c>
      <c r="BL63" s="102">
        <f ca="1">BK63</f>
        <v>0</v>
      </c>
    </row>
    <row r="64" spans="1:64" ht="14.25" customHeight="1">
      <c r="A64" s="259" t="str">
        <f t="shared" si="50"/>
        <v>Other Industrial</v>
      </c>
      <c r="B64" s="259" t="str">
        <f t="shared" si="50"/>
        <v>ISOI</v>
      </c>
      <c r="C64" s="259" t="str">
        <f t="shared" si="50"/>
        <v>Steam Boiler</v>
      </c>
      <c r="D64" s="68">
        <f t="shared" ref="D64:M69" si="56">D47*B$33</f>
        <v>0</v>
      </c>
      <c r="E64" s="68">
        <f t="shared" si="56"/>
        <v>2.1761595849818943E-2</v>
      </c>
      <c r="F64" s="68">
        <f t="shared" si="56"/>
        <v>1.358280740765821E-2</v>
      </c>
      <c r="G64" s="68">
        <f t="shared" si="56"/>
        <v>0</v>
      </c>
      <c r="H64" s="68">
        <f t="shared" si="56"/>
        <v>0</v>
      </c>
      <c r="I64" s="68">
        <f t="shared" si="56"/>
        <v>0</v>
      </c>
      <c r="J64" s="68">
        <f t="shared" si="56"/>
        <v>0</v>
      </c>
      <c r="K64" s="68">
        <f t="shared" si="56"/>
        <v>0</v>
      </c>
      <c r="L64" s="68">
        <f t="shared" si="56"/>
        <v>0</v>
      </c>
      <c r="M64" s="68">
        <f t="shared" si="56"/>
        <v>3.0032570497861701E-2</v>
      </c>
      <c r="N64" s="68">
        <f t="shared" ref="N64:T69" si="57">N47*L$33</f>
        <v>6.7742909771050311E-2</v>
      </c>
      <c r="O64" s="68">
        <f t="shared" si="57"/>
        <v>0</v>
      </c>
      <c r="P64" s="68">
        <f t="shared" si="57"/>
        <v>0</v>
      </c>
      <c r="Q64" s="68">
        <f t="shared" si="57"/>
        <v>0</v>
      </c>
      <c r="R64" s="68">
        <f t="shared" si="57"/>
        <v>0.37775946889060574</v>
      </c>
      <c r="S64" s="68">
        <f t="shared" si="57"/>
        <v>0</v>
      </c>
      <c r="T64" s="68">
        <f t="shared" si="57"/>
        <v>1.7249284490386056</v>
      </c>
      <c r="U64" s="68">
        <f t="shared" ref="U64:U72" si="58">SUM(D64:T64)</f>
        <v>2.2358078014556004</v>
      </c>
      <c r="V64" s="213">
        <f t="shared" ref="V64:V69" si="59">U64/$U$70</f>
        <v>0.23236783658739119</v>
      </c>
      <c r="W64" s="203"/>
      <c r="AE64" s="184" t="s">
        <v>838</v>
      </c>
      <c r="AF64" s="9">
        <f t="shared" si="36"/>
        <v>18</v>
      </c>
      <c r="AG64" s="9">
        <f t="shared" si="29"/>
        <v>12</v>
      </c>
      <c r="AH64" s="46">
        <f t="shared" si="30"/>
        <v>0</v>
      </c>
      <c r="AI64" s="46">
        <f t="shared" si="31"/>
        <v>0</v>
      </c>
      <c r="AJ64" s="46">
        <f t="shared" si="32"/>
        <v>0</v>
      </c>
      <c r="AK64" s="9">
        <f t="shared" si="33"/>
        <v>0</v>
      </c>
      <c r="AL64" s="46">
        <f t="shared" si="37"/>
        <v>0</v>
      </c>
      <c r="AM64" s="184" t="s">
        <v>826</v>
      </c>
      <c r="AN64" s="9">
        <f t="shared" si="34"/>
        <v>10</v>
      </c>
      <c r="AO64" s="542">
        <f t="shared" ca="1" si="35"/>
        <v>0</v>
      </c>
      <c r="AQ64" s="99" t="s">
        <v>756</v>
      </c>
      <c r="AR64" s="100" t="s">
        <v>562</v>
      </c>
      <c r="AS64" s="134">
        <v>0</v>
      </c>
      <c r="AT64" s="134">
        <v>0</v>
      </c>
      <c r="AU64" s="134">
        <v>0</v>
      </c>
      <c r="AV64" s="134">
        <v>0</v>
      </c>
      <c r="AX64" s="184" t="s">
        <v>35</v>
      </c>
      <c r="AY64" s="138">
        <f>AS81</f>
        <v>0</v>
      </c>
      <c r="AZ64" s="139"/>
      <c r="BA64" s="138">
        <f>AT81</f>
        <v>0</v>
      </c>
      <c r="BB64" s="139"/>
      <c r="BC64" s="2">
        <f>IF(AY64=0,0.3,MAX(0.15,BA64/AY64*(1-AZ$4)))</f>
        <v>0.3</v>
      </c>
      <c r="BE64" s="293">
        <f t="shared" si="41"/>
        <v>0</v>
      </c>
      <c r="BJ64" s="2">
        <f>SUM(BJ49:BJ63)</f>
        <v>3.2159772674789666</v>
      </c>
      <c r="BK64" s="93">
        <f ca="1">SUM(BK49:BK63)</f>
        <v>6.997124125319333</v>
      </c>
      <c r="BL64" s="93"/>
    </row>
    <row r="65" spans="1:59" ht="14.25" customHeight="1">
      <c r="A65" s="259" t="str">
        <f t="shared" si="50"/>
        <v>Other Industrial</v>
      </c>
      <c r="B65" s="259" t="str">
        <f t="shared" si="50"/>
        <v>IPOI</v>
      </c>
      <c r="C65" s="259" t="str">
        <f t="shared" si="50"/>
        <v>Process Heat</v>
      </c>
      <c r="D65" s="68">
        <f t="shared" si="56"/>
        <v>0.27043791490591845</v>
      </c>
      <c r="E65" s="68">
        <f t="shared" si="56"/>
        <v>0.1088079792490947</v>
      </c>
      <c r="F65" s="68">
        <f t="shared" si="56"/>
        <v>0.10866245926126568</v>
      </c>
      <c r="G65" s="68">
        <f t="shared" si="56"/>
        <v>0</v>
      </c>
      <c r="H65" s="68">
        <f t="shared" si="56"/>
        <v>0</v>
      </c>
      <c r="I65" s="68">
        <f t="shared" si="56"/>
        <v>0</v>
      </c>
      <c r="J65" s="68">
        <f t="shared" si="56"/>
        <v>0</v>
      </c>
      <c r="K65" s="68">
        <f t="shared" si="56"/>
        <v>0</v>
      </c>
      <c r="L65" s="68">
        <f t="shared" si="56"/>
        <v>9.2839633011830527E-2</v>
      </c>
      <c r="M65" s="68">
        <f t="shared" si="56"/>
        <v>6.0065140995723403E-2</v>
      </c>
      <c r="N65" s="68">
        <f t="shared" si="57"/>
        <v>0.94840073679470427</v>
      </c>
      <c r="O65" s="68">
        <f t="shared" si="57"/>
        <v>0</v>
      </c>
      <c r="P65" s="68">
        <f t="shared" si="57"/>
        <v>0</v>
      </c>
      <c r="Q65" s="68">
        <f t="shared" si="57"/>
        <v>0</v>
      </c>
      <c r="R65" s="68">
        <f t="shared" si="57"/>
        <v>0</v>
      </c>
      <c r="S65" s="68">
        <f t="shared" si="57"/>
        <v>0</v>
      </c>
      <c r="T65" s="68">
        <f t="shared" si="57"/>
        <v>0</v>
      </c>
      <c r="U65" s="68">
        <f t="shared" si="58"/>
        <v>1.5892138642185369</v>
      </c>
      <c r="V65" s="213">
        <f t="shared" si="59"/>
        <v>0.16516723273920592</v>
      </c>
      <c r="W65" s="203"/>
      <c r="AE65" s="184" t="s">
        <v>757</v>
      </c>
      <c r="AF65" s="9">
        <f t="shared" si="36"/>
        <v>31</v>
      </c>
      <c r="AG65" s="9" t="e">
        <f t="shared" si="29"/>
        <v>#N/A</v>
      </c>
      <c r="AH65" s="46">
        <f t="shared" si="30"/>
        <v>0</v>
      </c>
      <c r="AI65" s="46">
        <f t="shared" si="31"/>
        <v>0</v>
      </c>
      <c r="AJ65" s="46">
        <f t="shared" si="32"/>
        <v>0</v>
      </c>
      <c r="AK65" s="9">
        <f t="shared" si="33"/>
        <v>0</v>
      </c>
      <c r="AL65" s="46">
        <f t="shared" si="37"/>
        <v>0</v>
      </c>
      <c r="AM65" s="184" t="s">
        <v>826</v>
      </c>
      <c r="AN65" s="9">
        <f t="shared" si="34"/>
        <v>10</v>
      </c>
      <c r="AO65" s="542">
        <f t="shared" ca="1" si="35"/>
        <v>0</v>
      </c>
      <c r="AQ65" s="99" t="s">
        <v>840</v>
      </c>
      <c r="AR65" s="100" t="s">
        <v>893</v>
      </c>
      <c r="AS65" s="134">
        <v>0</v>
      </c>
      <c r="AT65" s="134">
        <v>0</v>
      </c>
      <c r="AU65" s="134">
        <v>0</v>
      </c>
      <c r="AV65" s="134">
        <v>0</v>
      </c>
      <c r="AX65" s="184" t="s">
        <v>36</v>
      </c>
      <c r="AY65" s="138">
        <f>AS82</f>
        <v>0</v>
      </c>
      <c r="AZ65" s="139"/>
      <c r="BA65" s="138">
        <f>AT82</f>
        <v>0</v>
      </c>
      <c r="BB65" s="139"/>
      <c r="BC65" s="2">
        <f>IF(AY65=0,0,MAX(0.9,BA65/AY65))</f>
        <v>0</v>
      </c>
      <c r="BD65" s="2"/>
      <c r="BE65" s="293">
        <f t="shared" si="41"/>
        <v>0</v>
      </c>
    </row>
    <row r="66" spans="1:59" ht="14.25" customHeight="1">
      <c r="A66" s="259" t="str">
        <f t="shared" si="50"/>
        <v>Other Industrial</v>
      </c>
      <c r="B66" s="259" t="str">
        <f t="shared" si="50"/>
        <v>IMOI</v>
      </c>
      <c r="C66" s="259" t="str">
        <f t="shared" si="50"/>
        <v>Machine Drive</v>
      </c>
      <c r="D66" s="68">
        <f t="shared" si="56"/>
        <v>1.0006202851518982</v>
      </c>
      <c r="E66" s="68">
        <f t="shared" si="56"/>
        <v>0</v>
      </c>
      <c r="F66" s="68">
        <f t="shared" si="56"/>
        <v>0</v>
      </c>
      <c r="G66" s="68">
        <f t="shared" si="56"/>
        <v>0</v>
      </c>
      <c r="H66" s="68">
        <f t="shared" si="56"/>
        <v>0</v>
      </c>
      <c r="I66" s="68">
        <f t="shared" si="56"/>
        <v>0</v>
      </c>
      <c r="J66" s="68">
        <f t="shared" si="56"/>
        <v>0</v>
      </c>
      <c r="K66" s="68">
        <f t="shared" si="56"/>
        <v>0</v>
      </c>
      <c r="L66" s="68">
        <f t="shared" si="56"/>
        <v>0</v>
      </c>
      <c r="M66" s="68">
        <f t="shared" si="56"/>
        <v>0</v>
      </c>
      <c r="N66" s="68">
        <f t="shared" si="57"/>
        <v>0</v>
      </c>
      <c r="O66" s="68">
        <f t="shared" si="57"/>
        <v>0</v>
      </c>
      <c r="P66" s="68">
        <f t="shared" si="57"/>
        <v>0</v>
      </c>
      <c r="Q66" s="68">
        <f t="shared" si="57"/>
        <v>0</v>
      </c>
      <c r="R66" s="68">
        <f t="shared" si="57"/>
        <v>0</v>
      </c>
      <c r="S66" s="68">
        <f t="shared" si="57"/>
        <v>0</v>
      </c>
      <c r="T66" s="68">
        <f t="shared" si="57"/>
        <v>0</v>
      </c>
      <c r="U66" s="68">
        <f t="shared" si="58"/>
        <v>1.0006202851518982</v>
      </c>
      <c r="V66" s="213">
        <f t="shared" si="59"/>
        <v>0.10399461472262081</v>
      </c>
      <c r="W66" s="203"/>
      <c r="AE66" s="184" t="s">
        <v>843</v>
      </c>
      <c r="AF66" s="9">
        <f t="shared" si="36"/>
        <v>20</v>
      </c>
      <c r="AG66" s="9">
        <f t="shared" si="29"/>
        <v>8</v>
      </c>
      <c r="AH66" s="46">
        <f t="shared" si="30"/>
        <v>0</v>
      </c>
      <c r="AI66" s="46">
        <f t="shared" si="31"/>
        <v>0</v>
      </c>
      <c r="AJ66" s="46">
        <f t="shared" si="32"/>
        <v>0</v>
      </c>
      <c r="AK66" s="9">
        <f t="shared" si="33"/>
        <v>0</v>
      </c>
      <c r="AL66" s="46">
        <f t="shared" si="37"/>
        <v>0</v>
      </c>
      <c r="AM66" s="184" t="s">
        <v>914</v>
      </c>
      <c r="AN66" s="9">
        <f t="shared" si="34"/>
        <v>11</v>
      </c>
      <c r="AO66" s="542">
        <f t="shared" ca="1" si="35"/>
        <v>0</v>
      </c>
      <c r="AQ66" s="99" t="s">
        <v>839</v>
      </c>
      <c r="AR66" s="100" t="s">
        <v>594</v>
      </c>
      <c r="AS66" s="134">
        <v>0</v>
      </c>
      <c r="AT66" s="134">
        <v>0</v>
      </c>
      <c r="AU66" s="134">
        <v>0</v>
      </c>
      <c r="AV66" s="134">
        <v>0</v>
      </c>
      <c r="AX66" s="184" t="s">
        <v>37</v>
      </c>
      <c r="AY66" s="138">
        <f>AS84</f>
        <v>0</v>
      </c>
      <c r="AZ66" s="139"/>
      <c r="BA66" s="138">
        <f>AT84</f>
        <v>0</v>
      </c>
      <c r="BB66" s="139"/>
      <c r="BC66" s="2">
        <f>IF(AY66=0,0,MAX(0.9,BA66/AY66))</f>
        <v>0</v>
      </c>
      <c r="BE66" s="293">
        <f t="shared" si="41"/>
        <v>0</v>
      </c>
    </row>
    <row r="67" spans="1:59" ht="14.25" customHeight="1">
      <c r="A67" s="259" t="str">
        <f t="shared" si="50"/>
        <v>Other Industrial</v>
      </c>
      <c r="B67" s="259" t="str">
        <f t="shared" si="50"/>
        <v>IEOI</v>
      </c>
      <c r="C67" s="259" t="str">
        <f t="shared" si="50"/>
        <v>Specific electricity uses</v>
      </c>
      <c r="D67" s="68">
        <f t="shared" si="56"/>
        <v>0.62200720428361245</v>
      </c>
      <c r="E67" s="68">
        <f t="shared" si="56"/>
        <v>0</v>
      </c>
      <c r="F67" s="68">
        <f t="shared" si="56"/>
        <v>0</v>
      </c>
      <c r="G67" s="68">
        <f t="shared" si="56"/>
        <v>0</v>
      </c>
      <c r="H67" s="68">
        <f t="shared" si="56"/>
        <v>0</v>
      </c>
      <c r="I67" s="68">
        <f t="shared" si="56"/>
        <v>0</v>
      </c>
      <c r="J67" s="68">
        <f t="shared" si="56"/>
        <v>0</v>
      </c>
      <c r="K67" s="68">
        <f t="shared" si="56"/>
        <v>0</v>
      </c>
      <c r="L67" s="68">
        <f t="shared" si="56"/>
        <v>0</v>
      </c>
      <c r="M67" s="68">
        <f t="shared" si="56"/>
        <v>0</v>
      </c>
      <c r="N67" s="68">
        <f t="shared" si="57"/>
        <v>0</v>
      </c>
      <c r="O67" s="68">
        <f t="shared" si="57"/>
        <v>0</v>
      </c>
      <c r="P67" s="68">
        <f t="shared" si="57"/>
        <v>0</v>
      </c>
      <c r="Q67" s="68">
        <f t="shared" si="57"/>
        <v>0</v>
      </c>
      <c r="R67" s="68">
        <f t="shared" si="57"/>
        <v>0</v>
      </c>
      <c r="S67" s="68">
        <f t="shared" si="57"/>
        <v>0</v>
      </c>
      <c r="T67" s="68">
        <f t="shared" si="57"/>
        <v>0</v>
      </c>
      <c r="U67" s="68">
        <f t="shared" si="58"/>
        <v>0.62200720428361245</v>
      </c>
      <c r="V67" s="213">
        <f t="shared" si="59"/>
        <v>6.464530104379132E-2</v>
      </c>
      <c r="W67" s="203"/>
      <c r="AE67" s="184" t="s">
        <v>833</v>
      </c>
      <c r="AF67" s="9">
        <f t="shared" si="36"/>
        <v>13</v>
      </c>
      <c r="AG67" s="9">
        <f t="shared" si="29"/>
        <v>6</v>
      </c>
      <c r="AH67" s="46">
        <f t="shared" si="30"/>
        <v>0</v>
      </c>
      <c r="AI67" s="46">
        <f t="shared" si="31"/>
        <v>0</v>
      </c>
      <c r="AJ67" s="46">
        <f t="shared" si="32"/>
        <v>0</v>
      </c>
      <c r="AK67" s="9">
        <f t="shared" si="33"/>
        <v>0</v>
      </c>
      <c r="AL67" s="46">
        <f t="shared" si="37"/>
        <v>0</v>
      </c>
      <c r="AM67" s="184" t="s">
        <v>914</v>
      </c>
      <c r="AN67" s="9">
        <f t="shared" si="34"/>
        <v>11</v>
      </c>
      <c r="AO67" s="542">
        <f t="shared" ca="1" si="35"/>
        <v>0</v>
      </c>
      <c r="AQ67" s="99" t="s">
        <v>837</v>
      </c>
      <c r="AR67" s="100" t="s">
        <v>890</v>
      </c>
      <c r="AS67" s="134">
        <v>0</v>
      </c>
      <c r="AT67" s="134">
        <v>0</v>
      </c>
      <c r="AU67" s="134">
        <v>0</v>
      </c>
      <c r="AV67" s="134">
        <v>0</v>
      </c>
      <c r="AX67" s="184" t="s">
        <v>38</v>
      </c>
      <c r="AY67" s="138">
        <f>AS85</f>
        <v>0</v>
      </c>
      <c r="AZ67" s="139"/>
      <c r="BA67" s="138">
        <f>AT85</f>
        <v>0</v>
      </c>
      <c r="BB67" s="139"/>
      <c r="BC67" s="2">
        <f>IF(AY67=0,0,MAX(0.9,BA67/AY67))</f>
        <v>0</v>
      </c>
      <c r="BE67" s="293">
        <f t="shared" si="41"/>
        <v>0</v>
      </c>
    </row>
    <row r="68" spans="1:59" ht="14.25" customHeight="1">
      <c r="A68" s="259" t="str">
        <f t="shared" si="50"/>
        <v>Other Industrial</v>
      </c>
      <c r="B68" s="259" t="str">
        <f t="shared" si="50"/>
        <v>n.a.</v>
      </c>
      <c r="C68" s="259" t="str">
        <f t="shared" si="50"/>
        <v xml:space="preserve">Feedstocks </v>
      </c>
      <c r="D68" s="68">
        <f t="shared" si="56"/>
        <v>0</v>
      </c>
      <c r="E68" s="68">
        <f t="shared" si="56"/>
        <v>0</v>
      </c>
      <c r="F68" s="68">
        <f t="shared" si="56"/>
        <v>0</v>
      </c>
      <c r="G68" s="68">
        <f t="shared" si="56"/>
        <v>0</v>
      </c>
      <c r="H68" s="68">
        <f t="shared" si="56"/>
        <v>0</v>
      </c>
      <c r="I68" s="68">
        <f t="shared" si="56"/>
        <v>0</v>
      </c>
      <c r="J68" s="68">
        <f t="shared" si="56"/>
        <v>0</v>
      </c>
      <c r="K68" s="68">
        <f t="shared" si="56"/>
        <v>0</v>
      </c>
      <c r="L68" s="68">
        <f t="shared" si="56"/>
        <v>0</v>
      </c>
      <c r="M68" s="68">
        <f t="shared" si="56"/>
        <v>0</v>
      </c>
      <c r="N68" s="68">
        <f t="shared" si="57"/>
        <v>0</v>
      </c>
      <c r="O68" s="68">
        <f t="shared" si="57"/>
        <v>0</v>
      </c>
      <c r="P68" s="68">
        <f t="shared" si="57"/>
        <v>0</v>
      </c>
      <c r="Q68" s="68">
        <f t="shared" si="57"/>
        <v>0</v>
      </c>
      <c r="R68" s="68">
        <f t="shared" si="57"/>
        <v>0</v>
      </c>
      <c r="S68" s="68">
        <f t="shared" si="57"/>
        <v>0</v>
      </c>
      <c r="T68" s="68">
        <f t="shared" si="57"/>
        <v>0</v>
      </c>
      <c r="U68" s="68">
        <f t="shared" si="58"/>
        <v>0</v>
      </c>
      <c r="V68" s="213">
        <f t="shared" si="59"/>
        <v>0</v>
      </c>
      <c r="W68" s="203"/>
      <c r="AE68" s="184" t="s">
        <v>841</v>
      </c>
      <c r="AF68" s="9">
        <f t="shared" si="36"/>
        <v>21</v>
      </c>
      <c r="AG68" s="9">
        <f t="shared" si="29"/>
        <v>13</v>
      </c>
      <c r="AH68" s="46">
        <f t="shared" si="30"/>
        <v>0.30499999999999999</v>
      </c>
      <c r="AI68" s="46">
        <f t="shared" si="31"/>
        <v>0</v>
      </c>
      <c r="AJ68" s="46">
        <f t="shared" si="32"/>
        <v>0.30499999999999999</v>
      </c>
      <c r="AK68" s="9">
        <f t="shared" si="33"/>
        <v>0</v>
      </c>
      <c r="AL68" s="46">
        <f>MAX(0,AH68+AI68-AJ68+AK68)</f>
        <v>0</v>
      </c>
      <c r="AM68" s="184" t="s">
        <v>915</v>
      </c>
      <c r="AN68" s="9">
        <f t="shared" si="34"/>
        <v>12</v>
      </c>
      <c r="AO68" s="542">
        <f t="shared" ca="1" si="35"/>
        <v>0</v>
      </c>
      <c r="AQ68" s="99" t="s">
        <v>835</v>
      </c>
      <c r="AR68" s="100" t="s">
        <v>802</v>
      </c>
      <c r="AS68" s="134">
        <v>0</v>
      </c>
      <c r="AT68" s="134">
        <v>0</v>
      </c>
      <c r="AU68" s="134">
        <v>3.2003899200000005E-2</v>
      </c>
      <c r="AV68" s="134">
        <v>2.5397128800000002E-2</v>
      </c>
      <c r="AX68" s="184" t="s">
        <v>946</v>
      </c>
      <c r="AY68" s="138">
        <f>AS86</f>
        <v>0</v>
      </c>
      <c r="AZ68" s="138">
        <f>AU86</f>
        <v>0</v>
      </c>
      <c r="BA68" s="138">
        <f>AT86</f>
        <v>0</v>
      </c>
      <c r="BB68" s="138">
        <f>AV86</f>
        <v>0</v>
      </c>
      <c r="BC68" s="2">
        <f>IF(AY68=0,1,MAX(1,BA68/AY68))</f>
        <v>1</v>
      </c>
      <c r="BD68" s="2">
        <f>IF(AZ68=0,0.9,BB68/AZ68)</f>
        <v>0.9</v>
      </c>
      <c r="BE68" s="293">
        <f>BA68</f>
        <v>0</v>
      </c>
      <c r="BF68" s="402">
        <f>10</f>
        <v>10</v>
      </c>
      <c r="BG68" s="293">
        <f>BB68</f>
        <v>0</v>
      </c>
    </row>
    <row r="69" spans="1:59" ht="14.25" customHeight="1">
      <c r="A69" s="259" t="str">
        <f t="shared" si="50"/>
        <v>Other Industrial</v>
      </c>
      <c r="B69" s="259" t="str">
        <f t="shared" si="50"/>
        <v>IOOI</v>
      </c>
      <c r="C69" s="259" t="str">
        <f t="shared" si="50"/>
        <v>Other</v>
      </c>
      <c r="D69" s="68">
        <f t="shared" si="56"/>
        <v>0.81131374471775541</v>
      </c>
      <c r="E69" s="68">
        <f t="shared" si="56"/>
        <v>8.704638339927577E-2</v>
      </c>
      <c r="F69" s="68">
        <f t="shared" si="56"/>
        <v>1.3582807407658206E-2</v>
      </c>
      <c r="G69" s="68">
        <f t="shared" si="56"/>
        <v>0</v>
      </c>
      <c r="H69" s="68">
        <f t="shared" si="56"/>
        <v>0</v>
      </c>
      <c r="I69" s="68">
        <f t="shared" si="56"/>
        <v>0</v>
      </c>
      <c r="J69" s="68">
        <f t="shared" si="56"/>
        <v>0</v>
      </c>
      <c r="K69" s="68">
        <f t="shared" si="56"/>
        <v>0</v>
      </c>
      <c r="L69" s="68">
        <f t="shared" si="56"/>
        <v>0</v>
      </c>
      <c r="M69" s="68">
        <f t="shared" si="56"/>
        <v>0.21022799348503188</v>
      </c>
      <c r="N69" s="68">
        <f t="shared" si="57"/>
        <v>0.33871454885525154</v>
      </c>
      <c r="O69" s="68">
        <f t="shared" si="57"/>
        <v>0</v>
      </c>
      <c r="P69" s="68">
        <f t="shared" si="57"/>
        <v>0</v>
      </c>
      <c r="Q69" s="68">
        <f t="shared" si="57"/>
        <v>0</v>
      </c>
      <c r="R69" s="68">
        <f t="shared" si="57"/>
        <v>0.12591982296353524</v>
      </c>
      <c r="S69" s="68">
        <f t="shared" si="57"/>
        <v>0</v>
      </c>
      <c r="T69" s="68">
        <f t="shared" si="57"/>
        <v>2.5873926735579085</v>
      </c>
      <c r="U69" s="68">
        <f t="shared" si="58"/>
        <v>4.1741979743864164</v>
      </c>
      <c r="V69" s="213">
        <f t="shared" si="59"/>
        <v>0.43382501490699077</v>
      </c>
      <c r="W69" s="203"/>
      <c r="AE69" s="184" t="s">
        <v>842</v>
      </c>
      <c r="AF69" s="9">
        <f t="shared" si="36"/>
        <v>22</v>
      </c>
      <c r="AG69" s="9">
        <f t="shared" si="29"/>
        <v>29</v>
      </c>
      <c r="AH69" s="46">
        <f t="shared" si="30"/>
        <v>5.3999999999999999E-2</v>
      </c>
      <c r="AI69" s="46">
        <f t="shared" si="31"/>
        <v>0</v>
      </c>
      <c r="AJ69" s="46">
        <f t="shared" si="32"/>
        <v>0</v>
      </c>
      <c r="AK69" s="9">
        <f t="shared" si="33"/>
        <v>0</v>
      </c>
      <c r="AL69" s="46">
        <f t="shared" si="37"/>
        <v>5.3999999999999999E-2</v>
      </c>
      <c r="AM69" s="184" t="s">
        <v>916</v>
      </c>
      <c r="AN69" s="9">
        <f t="shared" si="34"/>
        <v>13</v>
      </c>
      <c r="AO69" s="542">
        <f t="shared" ca="1" si="35"/>
        <v>1</v>
      </c>
      <c r="AQ69" s="99" t="s">
        <v>902</v>
      </c>
      <c r="AR69" s="100" t="s">
        <v>902</v>
      </c>
      <c r="AS69" s="137">
        <v>0</v>
      </c>
      <c r="AT69" s="137">
        <v>0</v>
      </c>
      <c r="AU69" s="137">
        <v>3.2003899200000005E-2</v>
      </c>
      <c r="AV69" s="137">
        <v>2.5397128800000002E-2</v>
      </c>
      <c r="AY69" s="2">
        <f>SUM(AY49:AY68)</f>
        <v>0</v>
      </c>
      <c r="AZ69" s="2">
        <f>SUM(AZ49:AZ68)</f>
        <v>0.24818448144600003</v>
      </c>
      <c r="BA69" s="2">
        <f>SUM(BA49:BA64)*(1-$AZ$4)+SUM(BA65:BA68)</f>
        <v>0</v>
      </c>
      <c r="BB69" s="2">
        <f>SUM(BB49:BB68)</f>
        <v>0.19959283652400001</v>
      </c>
      <c r="BC69" s="2">
        <f>IF(AY69=0,0,BA69/AY69)</f>
        <v>0</v>
      </c>
      <c r="BD69" s="2">
        <f>IF(AZ69=0,0,BB69/AZ69)</f>
        <v>0.80421159035049261</v>
      </c>
      <c r="BE69" s="2">
        <f>SUM(BE49:BE68)</f>
        <v>0</v>
      </c>
      <c r="BF69" s="2">
        <f>IF(AZ69&gt;0,BG69/AZ69)</f>
        <v>0.80937488702566696</v>
      </c>
      <c r="BG69" s="294">
        <f>SUM(BG49:BG68)</f>
        <v>0.20087428663188001</v>
      </c>
    </row>
    <row r="70" spans="1:59" ht="14.25" customHeight="1">
      <c r="A70" s="259"/>
      <c r="B70" s="259"/>
      <c r="C70" s="259"/>
      <c r="D70" s="261">
        <f t="shared" ref="D70:U70" si="60">SUM(D64:D69)</f>
        <v>2.7043791490591844</v>
      </c>
      <c r="E70" s="261">
        <f t="shared" si="60"/>
        <v>0.21761595849818943</v>
      </c>
      <c r="F70" s="261">
        <f t="shared" si="60"/>
        <v>0.13582807407658209</v>
      </c>
      <c r="G70" s="261">
        <f t="shared" si="60"/>
        <v>0</v>
      </c>
      <c r="H70" s="261">
        <f t="shared" si="60"/>
        <v>0</v>
      </c>
      <c r="I70" s="261">
        <f t="shared" si="60"/>
        <v>0</v>
      </c>
      <c r="J70" s="261">
        <f t="shared" si="60"/>
        <v>0</v>
      </c>
      <c r="K70" s="261">
        <f t="shared" si="60"/>
        <v>0</v>
      </c>
      <c r="L70" s="261">
        <f t="shared" si="60"/>
        <v>9.2839633011830527E-2</v>
      </c>
      <c r="M70" s="261">
        <f t="shared" si="60"/>
        <v>0.30032570497861699</v>
      </c>
      <c r="N70" s="261">
        <f t="shared" si="60"/>
        <v>1.3548581954210062</v>
      </c>
      <c r="O70" s="261">
        <f t="shared" si="60"/>
        <v>0</v>
      </c>
      <c r="P70" s="261">
        <f t="shared" si="60"/>
        <v>0</v>
      </c>
      <c r="Q70" s="261">
        <f t="shared" si="60"/>
        <v>0</v>
      </c>
      <c r="R70" s="261">
        <f t="shared" si="60"/>
        <v>0.50367929185414095</v>
      </c>
      <c r="S70" s="261">
        <f t="shared" si="60"/>
        <v>0</v>
      </c>
      <c r="T70" s="261">
        <f t="shared" si="60"/>
        <v>4.3123211225965141</v>
      </c>
      <c r="U70" s="261">
        <f t="shared" si="60"/>
        <v>9.6218471294960644</v>
      </c>
      <c r="V70" s="203"/>
      <c r="W70" s="203"/>
      <c r="AE70" s="184" t="s">
        <v>606</v>
      </c>
      <c r="AF70" s="9">
        <f t="shared" si="36"/>
        <v>23</v>
      </c>
      <c r="AG70" s="9">
        <f t="shared" si="29"/>
        <v>23</v>
      </c>
      <c r="AH70" s="46">
        <f t="shared" si="30"/>
        <v>0.57389140743253353</v>
      </c>
      <c r="AI70" s="46">
        <f t="shared" si="31"/>
        <v>0</v>
      </c>
      <c r="AJ70" s="46">
        <f t="shared" si="32"/>
        <v>0</v>
      </c>
      <c r="AK70" s="9">
        <f t="shared" si="33"/>
        <v>0</v>
      </c>
      <c r="AL70" s="46">
        <f t="shared" si="37"/>
        <v>0.57389140743253353</v>
      </c>
      <c r="AM70" s="184" t="s">
        <v>917</v>
      </c>
      <c r="AN70" s="9">
        <f t="shared" si="34"/>
        <v>14</v>
      </c>
      <c r="AO70" s="542">
        <f t="shared" ref="AO70:AO75" ca="1" si="61">AL70/MAX(Tiny,AL70,INDEX(BL$49:BL$63,AN70))</f>
        <v>0.50319401798069241</v>
      </c>
      <c r="AQ70" s="99" t="s">
        <v>607</v>
      </c>
      <c r="AR70" s="100" t="s">
        <v>652</v>
      </c>
      <c r="AS70" s="134">
        <v>0</v>
      </c>
      <c r="AT70" s="134">
        <v>0</v>
      </c>
      <c r="AU70" s="134">
        <v>0</v>
      </c>
      <c r="AV70" s="134">
        <v>0</v>
      </c>
      <c r="AY70" t="s">
        <v>1001</v>
      </c>
      <c r="BA70" s="296">
        <f>MAX(0.01,SUMPRODUCT(AY49:AY67,BC49:BC67)+BA68)</f>
        <v>0.01</v>
      </c>
      <c r="BD70" t="s">
        <v>1001</v>
      </c>
      <c r="BE70" s="296">
        <f>BE69</f>
        <v>0</v>
      </c>
    </row>
    <row r="71" spans="1:59" ht="14.25" customHeight="1">
      <c r="A71" s="259" t="s">
        <v>885</v>
      </c>
      <c r="B71" s="259" t="s">
        <v>1332</v>
      </c>
      <c r="C71" s="259" t="s">
        <v>1333</v>
      </c>
      <c r="D71" s="440">
        <f>MIN(D54*($AO$20),B$33*D$48)</f>
        <v>2.7242986226111089E-3</v>
      </c>
      <c r="E71" s="429"/>
      <c r="F71" s="440">
        <f>MIN(F54*($AN$20-$AO$20),D$33*F$48)</f>
        <v>1.8075899084314061E-3</v>
      </c>
      <c r="G71" s="429"/>
      <c r="H71" s="429"/>
      <c r="I71" s="429"/>
      <c r="J71" s="429"/>
      <c r="K71" s="429"/>
      <c r="L71" s="429"/>
      <c r="M71" s="429"/>
      <c r="N71" s="440">
        <f>MIN(N54*($AN$20-$AO$20),L$33*N$48)</f>
        <v>9.812630931484774E-3</v>
      </c>
      <c r="O71" s="429"/>
      <c r="P71" s="429"/>
      <c r="Q71" s="429"/>
      <c r="R71" s="429"/>
      <c r="S71" s="429"/>
      <c r="T71" s="429"/>
      <c r="U71" s="441">
        <f t="shared" si="58"/>
        <v>1.4344519462527289E-2</v>
      </c>
      <c r="V71" s="203"/>
      <c r="W71" s="203"/>
      <c r="AE71" s="184" t="s">
        <v>846</v>
      </c>
      <c r="AF71" s="9">
        <f t="shared" si="36"/>
        <v>24</v>
      </c>
      <c r="AG71" s="9" t="e">
        <f t="shared" si="29"/>
        <v>#N/A</v>
      </c>
      <c r="AH71" s="46">
        <f t="shared" si="30"/>
        <v>0</v>
      </c>
      <c r="AI71" s="46">
        <f t="shared" si="31"/>
        <v>0</v>
      </c>
      <c r="AJ71" s="46">
        <f t="shared" si="32"/>
        <v>0</v>
      </c>
      <c r="AK71" s="9">
        <f t="shared" si="33"/>
        <v>0</v>
      </c>
      <c r="AL71" s="46">
        <f t="shared" si="37"/>
        <v>0</v>
      </c>
      <c r="AM71" s="184" t="s">
        <v>917</v>
      </c>
      <c r="AN71" s="9">
        <f t="shared" si="34"/>
        <v>14</v>
      </c>
      <c r="AO71" s="542">
        <f t="shared" ca="1" si="61"/>
        <v>0</v>
      </c>
      <c r="AQ71" s="99" t="s">
        <v>609</v>
      </c>
      <c r="AR71" s="100" t="s">
        <v>595</v>
      </c>
      <c r="AS71" s="134">
        <v>0</v>
      </c>
      <c r="AT71" s="134">
        <v>0</v>
      </c>
      <c r="AU71" s="134">
        <v>0</v>
      </c>
      <c r="AV71" s="134">
        <v>0</v>
      </c>
    </row>
    <row r="72" spans="1:59" ht="14.25" customHeight="1">
      <c r="A72" s="259" t="s">
        <v>885</v>
      </c>
      <c r="B72" s="259" t="s">
        <v>1332</v>
      </c>
      <c r="C72" s="259" t="s">
        <v>1118</v>
      </c>
      <c r="D72" s="440">
        <f>MIN(D55*($AO$23),B$33*D$48-D71)</f>
        <v>7.1213472000000014E-2</v>
      </c>
      <c r="E72" s="429"/>
      <c r="F72" s="440">
        <f>MIN(F55*($AN$23-$AO$23),D$33*F$48-F71)</f>
        <v>0.10685486935283427</v>
      </c>
      <c r="G72" s="429"/>
      <c r="H72" s="429"/>
      <c r="I72" s="429"/>
      <c r="J72" s="429"/>
      <c r="K72" s="429"/>
      <c r="L72" s="429"/>
      <c r="M72" s="429"/>
      <c r="N72" s="440">
        <f>MIN(N55*($AN$23-$AO$23),L$33*N$48-N71)</f>
        <v>0.9385881058632195</v>
      </c>
      <c r="O72" s="429"/>
      <c r="P72" s="429"/>
      <c r="Q72" s="429"/>
      <c r="R72" s="429"/>
      <c r="S72" s="429"/>
      <c r="T72" s="429"/>
      <c r="U72" s="441">
        <f t="shared" si="58"/>
        <v>1.1166564472160538</v>
      </c>
      <c r="AE72" s="184" t="s">
        <v>1289</v>
      </c>
      <c r="AF72" s="9">
        <f t="shared" si="36"/>
        <v>25</v>
      </c>
      <c r="AG72" s="9" t="e">
        <f>MATCH($AE72,AQ$51:AQ$83,0)</f>
        <v>#N/A</v>
      </c>
      <c r="AH72" s="46">
        <f t="shared" si="30"/>
        <v>0</v>
      </c>
      <c r="AI72" s="46">
        <f t="shared" si="31"/>
        <v>0</v>
      </c>
      <c r="AJ72" s="46">
        <f t="shared" si="32"/>
        <v>0</v>
      </c>
      <c r="AK72" s="9">
        <f>IF(ISNA($AG72),0,INDEX(AS$7:AS$36,$AG72)+INDEX(AS$51:AS$80,$AG72)+INDEX(AU$51:AU$80,$AG72))</f>
        <v>0</v>
      </c>
      <c r="AL72" s="46">
        <f>AH72+AI72-AJ72+AK72</f>
        <v>0</v>
      </c>
      <c r="AM72" s="184" t="s">
        <v>917</v>
      </c>
      <c r="AN72" s="9">
        <f>MATCH(AM72,BI$49:BI$63,0)</f>
        <v>14</v>
      </c>
      <c r="AO72" s="542">
        <f t="shared" ca="1" si="61"/>
        <v>0</v>
      </c>
      <c r="AQ72" s="99" t="s">
        <v>608</v>
      </c>
      <c r="AR72" s="100" t="s">
        <v>178</v>
      </c>
      <c r="AS72" s="134">
        <v>0</v>
      </c>
      <c r="AT72" s="134">
        <v>0</v>
      </c>
      <c r="AU72" s="134">
        <v>0.147617545446</v>
      </c>
      <c r="AV72" s="134">
        <v>0.109199824524</v>
      </c>
    </row>
    <row r="73" spans="1:59" ht="14.25" customHeight="1">
      <c r="A73" s="259" t="s">
        <v>885</v>
      </c>
      <c r="B73" s="259" t="s">
        <v>1332</v>
      </c>
      <c r="D73" s="3">
        <f>SUM(D71:D72)</f>
        <v>7.3937770622611129E-2</v>
      </c>
      <c r="E73" s="3">
        <f>SUM(E71:E72)</f>
        <v>0</v>
      </c>
      <c r="F73" s="3">
        <f>SUM(F71:F72)</f>
        <v>0.10866245926126568</v>
      </c>
      <c r="G73" s="3">
        <f t="shared" ref="G73:U73" si="62">SUM(G71:G72)</f>
        <v>0</v>
      </c>
      <c r="H73" s="3">
        <f t="shared" si="62"/>
        <v>0</v>
      </c>
      <c r="I73" s="3">
        <f t="shared" si="62"/>
        <v>0</v>
      </c>
      <c r="J73" s="3">
        <f t="shared" si="62"/>
        <v>0</v>
      </c>
      <c r="K73" s="3">
        <f t="shared" si="62"/>
        <v>0</v>
      </c>
      <c r="L73" s="3">
        <f t="shared" si="62"/>
        <v>0</v>
      </c>
      <c r="M73" s="3">
        <f t="shared" si="62"/>
        <v>0</v>
      </c>
      <c r="N73" s="3">
        <f t="shared" si="62"/>
        <v>0.94840073679470427</v>
      </c>
      <c r="O73" s="3">
        <f t="shared" si="62"/>
        <v>0</v>
      </c>
      <c r="P73" s="3">
        <f t="shared" si="62"/>
        <v>0</v>
      </c>
      <c r="Q73" s="3">
        <f t="shared" si="62"/>
        <v>0</v>
      </c>
      <c r="R73" s="3">
        <f t="shared" si="62"/>
        <v>0</v>
      </c>
      <c r="S73" s="3">
        <f t="shared" si="62"/>
        <v>0</v>
      </c>
      <c r="T73" s="3">
        <f t="shared" si="62"/>
        <v>0</v>
      </c>
      <c r="U73" s="3">
        <f t="shared" si="62"/>
        <v>1.1310009666785812</v>
      </c>
      <c r="AE73" s="184" t="s">
        <v>847</v>
      </c>
      <c r="AF73" s="9">
        <f>MATCH(AE73,$B$24:$AJ$24,0)</f>
        <v>26</v>
      </c>
      <c r="AG73" s="9">
        <f>MATCH("bioblq",AQ$51:AQ$80,0)</f>
        <v>20</v>
      </c>
      <c r="AH73" s="46">
        <f>INDEX($B$18:$AK$18,$AF73)</f>
        <v>3.1601148813271807E-2</v>
      </c>
      <c r="AI73" s="46">
        <f>INDEX($B$20:$AK$20,$AF73)</f>
        <v>0</v>
      </c>
      <c r="AJ73" s="46">
        <f>INDEX($B$21:$AK$21,$AF73)</f>
        <v>0</v>
      </c>
      <c r="AK73" s="9">
        <f>IF(ISNA($AG73),0,INDEX(AS$7:AS$36,$AG73)+INDEX(AS$51:AS$80,$AG73)+INDEX(AU$51:AU$80,$AG73))</f>
        <v>0</v>
      </c>
      <c r="AL73" s="46">
        <f>AH73+AI73-AJ73+AK73</f>
        <v>3.1601148813271807E-2</v>
      </c>
      <c r="AM73" s="184" t="s">
        <v>917</v>
      </c>
      <c r="AN73" s="9">
        <f>MATCH(AM73,BI$49:BI$63,0)</f>
        <v>14</v>
      </c>
      <c r="AO73" s="542">
        <f t="shared" ca="1" si="61"/>
        <v>2.7708219426556595E-2</v>
      </c>
      <c r="AQ73" s="99" t="s">
        <v>606</v>
      </c>
      <c r="AR73" s="100" t="s">
        <v>947</v>
      </c>
      <c r="AS73" s="134">
        <v>0</v>
      </c>
      <c r="AT73" s="134">
        <v>0</v>
      </c>
      <c r="AU73" s="134">
        <v>0</v>
      </c>
      <c r="AV73" s="134">
        <v>0</v>
      </c>
    </row>
    <row r="74" spans="1:59" ht="14.25" customHeight="1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AE74" s="184" t="s">
        <v>608</v>
      </c>
      <c r="AF74" s="9">
        <f>MATCH(AE74,$B$24:$AJ$24,0)</f>
        <v>27</v>
      </c>
      <c r="AG74" s="9">
        <f>MATCH($AE74,AQ$51:AQ$83,0)</f>
        <v>22</v>
      </c>
      <c r="AH74" s="46">
        <f>INDEX($B$18:$AK$18,$AF74)</f>
        <v>5.5088271622538446E-2</v>
      </c>
      <c r="AI74" s="46">
        <f>INDEX($B$20:$AK$20,$AF74)</f>
        <v>0</v>
      </c>
      <c r="AJ74" s="46">
        <f>INDEX($B$21:$AK$21,$AF74)</f>
        <v>0</v>
      </c>
      <c r="AK74" s="9">
        <f>IF(ISNA($AG74),0,INDEX(AS$7:AS$36,$AG74)+INDEX(AS$51:AS$80,$AG74)+INDEX(AU$51:AU$80,$AG74))</f>
        <v>0.61381798539002885</v>
      </c>
      <c r="AL74" s="46">
        <f>AH74+AI74-AJ74+AK74</f>
        <v>0.66890625701256734</v>
      </c>
      <c r="AM74" s="184" t="s">
        <v>917</v>
      </c>
      <c r="AN74" s="9">
        <f>MATCH(AM74,BI$49:BI$63,0)</f>
        <v>14</v>
      </c>
      <c r="AO74" s="542">
        <f t="shared" ca="1" si="61"/>
        <v>0.58650403675567986</v>
      </c>
      <c r="AQ74" s="99" t="s">
        <v>596</v>
      </c>
      <c r="AR74" s="100" t="s">
        <v>597</v>
      </c>
      <c r="AS74" s="134">
        <v>0</v>
      </c>
      <c r="AT74" s="134">
        <v>0</v>
      </c>
      <c r="AU74" s="134">
        <v>0</v>
      </c>
      <c r="AV74" s="134">
        <v>0</v>
      </c>
    </row>
    <row r="75" spans="1:59" ht="14.25" customHeight="1">
      <c r="AE75" s="184" t="s">
        <v>609</v>
      </c>
      <c r="AF75" s="9">
        <f>MATCH(AE75,$B$24:$AJ$24,0)</f>
        <v>28</v>
      </c>
      <c r="AG75" s="9">
        <f>MATCH($AE75,AQ$51:AQ$83,0)</f>
        <v>21</v>
      </c>
      <c r="AH75" s="46">
        <f>INDEX($B$18:$AK$18,$AF75)</f>
        <v>6.098463985797201E-3</v>
      </c>
      <c r="AI75" s="46">
        <f>INDEX($B$20:$AK$20,$AF75)</f>
        <v>0</v>
      </c>
      <c r="AJ75" s="46">
        <f>INDEX($B$21:$AK$21,$AF75)</f>
        <v>0</v>
      </c>
      <c r="AK75" s="9">
        <f>IF(ISNA($AG75),0,INDEX(AS$7:AS$36,$AG75)+INDEX(AS$51:AS$80,$AG75)+INDEX(AU$51:AU$80,$AG75))</f>
        <v>0</v>
      </c>
      <c r="AL75" s="46">
        <f>AH75+AI75-AJ75+AK75</f>
        <v>6.098463985797201E-3</v>
      </c>
      <c r="AM75" s="184" t="s">
        <v>917</v>
      </c>
      <c r="AN75" s="9">
        <f>MATCH(AM75,BI$49:BI$63,0)</f>
        <v>14</v>
      </c>
      <c r="AO75" s="542">
        <f t="shared" ca="1" si="61"/>
        <v>5.3471973212712697E-3</v>
      </c>
      <c r="AQ75" s="99" t="s">
        <v>902</v>
      </c>
      <c r="AR75" s="100" t="s">
        <v>902</v>
      </c>
      <c r="AS75" s="137">
        <v>0</v>
      </c>
      <c r="AT75" s="137">
        <v>0</v>
      </c>
      <c r="AU75" s="137">
        <v>0.147617545446</v>
      </c>
      <c r="AV75" s="137">
        <v>0.109199824524</v>
      </c>
    </row>
    <row r="76" spans="1:59" ht="14.25" customHeight="1">
      <c r="A76" s="237" t="s">
        <v>977</v>
      </c>
      <c r="B76" s="203"/>
      <c r="C76" s="203" t="s">
        <v>93</v>
      </c>
      <c r="D76" s="238">
        <f t="shared" ref="D76:U76" si="63">D64+D63+D62+D61+D60+D59</f>
        <v>0</v>
      </c>
      <c r="E76" s="238">
        <f t="shared" si="63"/>
        <v>0.11013502617285595</v>
      </c>
      <c r="F76" s="238">
        <f t="shared" si="63"/>
        <v>1.358280740765821E-2</v>
      </c>
      <c r="G76" s="238">
        <f t="shared" si="63"/>
        <v>0</v>
      </c>
      <c r="H76" s="238">
        <f t="shared" si="63"/>
        <v>1E-3</v>
      </c>
      <c r="I76" s="238">
        <f t="shared" si="63"/>
        <v>0</v>
      </c>
      <c r="J76" s="238">
        <f t="shared" si="63"/>
        <v>0</v>
      </c>
      <c r="K76" s="238">
        <f t="shared" si="63"/>
        <v>0</v>
      </c>
      <c r="L76" s="238">
        <f t="shared" si="63"/>
        <v>1.0999999999999999E-2</v>
      </c>
      <c r="M76" s="238">
        <f t="shared" si="63"/>
        <v>4.8196631633232886E-2</v>
      </c>
      <c r="N76" s="238">
        <f t="shared" si="63"/>
        <v>7.5542909771050312E-2</v>
      </c>
      <c r="O76" s="238">
        <f t="shared" si="63"/>
        <v>0</v>
      </c>
      <c r="P76" s="238">
        <f t="shared" si="63"/>
        <v>0</v>
      </c>
      <c r="Q76" s="238">
        <f t="shared" si="63"/>
        <v>0</v>
      </c>
      <c r="R76" s="238">
        <f t="shared" si="63"/>
        <v>0.51775946889060576</v>
      </c>
      <c r="S76" s="238">
        <f t="shared" si="63"/>
        <v>0</v>
      </c>
      <c r="T76" s="238">
        <f t="shared" si="63"/>
        <v>2.1149284490386053</v>
      </c>
      <c r="U76" s="238">
        <f t="shared" si="63"/>
        <v>2.8921452929140088</v>
      </c>
      <c r="V76" s="203"/>
      <c r="W76" s="203"/>
      <c r="AE76" s="184" t="s">
        <v>845</v>
      </c>
      <c r="AF76" s="9">
        <f>MATCH(AE76,$B$24:$AJ$24,0)</f>
        <v>30</v>
      </c>
      <c r="AG76" s="9" t="e">
        <f>MATCH($AE76,AQ$51:AQ$83,0)</f>
        <v>#N/A</v>
      </c>
      <c r="AH76" s="46">
        <f>INDEX($B$18:$AK$18,$AF76)</f>
        <v>0</v>
      </c>
      <c r="AI76" s="46">
        <f>INDEX($B$20:$AK$20,$AF76)</f>
        <v>0</v>
      </c>
      <c r="AJ76" s="46">
        <f>INDEX($B$21:$AK$21,$AF76)</f>
        <v>0</v>
      </c>
      <c r="AK76" s="9">
        <f>IF(ISNA($AG76),0,INDEX(AS$7:AS$39,$AG76)+INDEX(AS$51:AS$83,$AG76)+INDEX(AU$51:AU$83,$AG76))</f>
        <v>0</v>
      </c>
      <c r="AL76" s="46">
        <f>AH76+AI76-AJ76+AK76</f>
        <v>0</v>
      </c>
      <c r="AM76" s="184" t="s">
        <v>950</v>
      </c>
      <c r="AN76" s="9">
        <f>MATCH(AM76,BI$49:BI$63,0)</f>
        <v>15</v>
      </c>
      <c r="AO76" s="542">
        <f ca="1">AL76/MAX(Tiny,INDEX(BK$49:BK$63,AN76))</f>
        <v>0</v>
      </c>
      <c r="AQ76" s="103" t="s">
        <v>953</v>
      </c>
      <c r="AR76" s="100" t="s">
        <v>193</v>
      </c>
      <c r="AS76" s="134">
        <v>0</v>
      </c>
      <c r="AT76" s="134">
        <v>0</v>
      </c>
      <c r="AU76" s="134">
        <v>0</v>
      </c>
      <c r="AV76" s="134">
        <v>0</v>
      </c>
    </row>
    <row r="77" spans="1:59" ht="14.25" customHeight="1">
      <c r="A77" s="203"/>
      <c r="B77" s="203"/>
      <c r="C77" s="203"/>
      <c r="D77" s="213">
        <f t="shared" ref="D77:U77" si="64">D76/$U76</f>
        <v>0</v>
      </c>
      <c r="E77" s="213">
        <f t="shared" si="64"/>
        <v>3.8080737659582913E-2</v>
      </c>
      <c r="F77" s="213">
        <f t="shared" si="64"/>
        <v>4.6964471117468378E-3</v>
      </c>
      <c r="G77" s="213">
        <f t="shared" si="64"/>
        <v>0</v>
      </c>
      <c r="H77" s="213">
        <f t="shared" si="64"/>
        <v>3.4576409506468478E-4</v>
      </c>
      <c r="I77" s="213">
        <f t="shared" si="64"/>
        <v>0</v>
      </c>
      <c r="J77" s="213">
        <f t="shared" si="64"/>
        <v>0</v>
      </c>
      <c r="K77" s="213">
        <f t="shared" si="64"/>
        <v>0</v>
      </c>
      <c r="L77" s="213">
        <f t="shared" si="64"/>
        <v>3.8034050457115324E-3</v>
      </c>
      <c r="M77" s="213">
        <f t="shared" si="64"/>
        <v>1.666466472183073E-2</v>
      </c>
      <c r="N77" s="213">
        <f t="shared" si="64"/>
        <v>2.6120025835540347E-2</v>
      </c>
      <c r="O77" s="213">
        <f t="shared" si="64"/>
        <v>0</v>
      </c>
      <c r="P77" s="213">
        <f t="shared" si="64"/>
        <v>0</v>
      </c>
      <c r="Q77" s="213">
        <f t="shared" si="64"/>
        <v>0</v>
      </c>
      <c r="R77" s="213">
        <f t="shared" si="64"/>
        <v>0.17902263422213213</v>
      </c>
      <c r="S77" s="213">
        <f t="shared" si="64"/>
        <v>0</v>
      </c>
      <c r="T77" s="213">
        <f t="shared" si="64"/>
        <v>0.73126632130839075</v>
      </c>
      <c r="U77" s="213">
        <f t="shared" si="64"/>
        <v>1</v>
      </c>
      <c r="V77" s="203"/>
      <c r="W77" s="203"/>
      <c r="AJ77" s="93">
        <f>SUM(AJ48:AJ76)</f>
        <v>0.30499999999999999</v>
      </c>
      <c r="AL77" s="93">
        <f>SUM(AL48:AL76)</f>
        <v>6.9971241253193339</v>
      </c>
      <c r="AQ77" s="103" t="s">
        <v>952</v>
      </c>
      <c r="AR77" s="100" t="s">
        <v>598</v>
      </c>
      <c r="AS77" s="134">
        <v>0</v>
      </c>
      <c r="AT77" s="134">
        <v>0</v>
      </c>
      <c r="AU77" s="134">
        <v>0</v>
      </c>
      <c r="AV77" s="134">
        <v>0</v>
      </c>
    </row>
    <row r="78" spans="1:59" ht="14.25" customHeight="1">
      <c r="A78" s="86" t="s">
        <v>989</v>
      </c>
      <c r="B78" s="106"/>
      <c r="C78" s="107"/>
      <c r="D78" s="88"/>
      <c r="E78" s="88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AQ78" s="103" t="s">
        <v>954</v>
      </c>
      <c r="AR78" s="100" t="s">
        <v>799</v>
      </c>
      <c r="AS78" s="134">
        <v>0</v>
      </c>
      <c r="AT78" s="134">
        <v>0</v>
      </c>
      <c r="AU78" s="134">
        <v>0</v>
      </c>
      <c r="AV78" s="134">
        <v>0</v>
      </c>
    </row>
    <row r="79" spans="1:59" ht="14.25" customHeight="1">
      <c r="A79" s="203"/>
      <c r="B79" s="203"/>
      <c r="C79" s="203"/>
      <c r="D79" s="262" t="str">
        <f t="shared" ref="D79:U79" si="65">B38</f>
        <v>INDELC</v>
      </c>
      <c r="E79" s="262" t="str">
        <f t="shared" si="65"/>
        <v>INDNGA</v>
      </c>
      <c r="F79" s="262" t="str">
        <f t="shared" si="65"/>
        <v>INDLPG</v>
      </c>
      <c r="G79" s="262" t="str">
        <f t="shared" si="65"/>
        <v>INDNGL</v>
      </c>
      <c r="H79" s="262" t="str">
        <f t="shared" si="65"/>
        <v>INDCOA</v>
      </c>
      <c r="I79" s="262" t="str">
        <f t="shared" si="65"/>
        <v>INDCOK</v>
      </c>
      <c r="J79" s="262" t="str">
        <f t="shared" si="65"/>
        <v>INDCOG</v>
      </c>
      <c r="K79" s="262" t="str">
        <f t="shared" si="65"/>
        <v>INDBFG</v>
      </c>
      <c r="L79" s="262" t="str">
        <f t="shared" si="65"/>
        <v>INDBCO</v>
      </c>
      <c r="M79" s="262" t="str">
        <f t="shared" si="65"/>
        <v>INDHFO</v>
      </c>
      <c r="N79" s="262" t="str">
        <f t="shared" si="65"/>
        <v>INDOIL</v>
      </c>
      <c r="O79" s="262" t="str">
        <f t="shared" si="65"/>
        <v>INDETH</v>
      </c>
      <c r="P79" s="262" t="str">
        <f t="shared" si="65"/>
        <v>INDNAP</v>
      </c>
      <c r="Q79" s="262" t="str">
        <f t="shared" si="65"/>
        <v>INDPTC</v>
      </c>
      <c r="R79" s="262" t="str">
        <f t="shared" si="65"/>
        <v>INDBIO</v>
      </c>
      <c r="S79" s="262" t="str">
        <f t="shared" si="65"/>
        <v>INDGEO</v>
      </c>
      <c r="T79" s="262" t="str">
        <f t="shared" si="65"/>
        <v>INDHET</v>
      </c>
      <c r="U79" s="262" t="str">
        <f t="shared" si="65"/>
        <v>TOTAL</v>
      </c>
      <c r="V79" s="203"/>
      <c r="W79" s="203"/>
      <c r="AQ79" s="99" t="s">
        <v>842</v>
      </c>
      <c r="AR79" s="100" t="s">
        <v>806</v>
      </c>
      <c r="AS79" s="134">
        <v>0</v>
      </c>
      <c r="AT79" s="134">
        <v>0</v>
      </c>
      <c r="AU79" s="134">
        <v>0</v>
      </c>
      <c r="AV79" s="134">
        <v>0</v>
      </c>
    </row>
    <row r="80" spans="1:59" ht="14.25" customHeight="1">
      <c r="A80" s="203"/>
      <c r="B80" s="203"/>
      <c r="C80" s="203" t="s">
        <v>13</v>
      </c>
      <c r="D80" s="257">
        <f t="shared" ref="D80:U80" si="66">B33</f>
        <v>2.7043791490591844</v>
      </c>
      <c r="E80" s="257">
        <f t="shared" si="66"/>
        <v>0.2176159584981894</v>
      </c>
      <c r="F80" s="257">
        <f t="shared" si="66"/>
        <v>0.13582807407658209</v>
      </c>
      <c r="G80" s="257">
        <f t="shared" si="66"/>
        <v>0</v>
      </c>
      <c r="H80" s="257">
        <f t="shared" si="66"/>
        <v>0</v>
      </c>
      <c r="I80" s="257">
        <f t="shared" si="66"/>
        <v>0</v>
      </c>
      <c r="J80" s="257">
        <f t="shared" si="66"/>
        <v>0</v>
      </c>
      <c r="K80" s="257">
        <f t="shared" si="66"/>
        <v>0</v>
      </c>
      <c r="L80" s="257">
        <f t="shared" si="66"/>
        <v>9.2839633011830527E-2</v>
      </c>
      <c r="M80" s="257">
        <f t="shared" si="66"/>
        <v>0.30032570497861699</v>
      </c>
      <c r="N80" s="257">
        <f t="shared" si="66"/>
        <v>1.3548581954210062</v>
      </c>
      <c r="O80" s="257">
        <f t="shared" si="66"/>
        <v>0</v>
      </c>
      <c r="P80" s="257">
        <f t="shared" si="66"/>
        <v>0</v>
      </c>
      <c r="Q80" s="257">
        <f t="shared" si="66"/>
        <v>0</v>
      </c>
      <c r="R80" s="257">
        <f t="shared" si="66"/>
        <v>0.50367929185414095</v>
      </c>
      <c r="S80" s="257">
        <f t="shared" si="66"/>
        <v>0</v>
      </c>
      <c r="T80" s="257">
        <f t="shared" si="66"/>
        <v>4.3123211225965141</v>
      </c>
      <c r="U80" s="257">
        <f t="shared" si="66"/>
        <v>9.6218471294960644</v>
      </c>
      <c r="V80" s="203"/>
      <c r="W80" s="203"/>
      <c r="AQ80" s="99" t="s">
        <v>902</v>
      </c>
      <c r="AR80" s="100" t="s">
        <v>902</v>
      </c>
      <c r="AS80" s="137">
        <v>0</v>
      </c>
      <c r="AT80" s="137">
        <v>0</v>
      </c>
      <c r="AU80" s="137">
        <v>0</v>
      </c>
      <c r="AV80" s="137">
        <v>0</v>
      </c>
    </row>
    <row r="81" spans="1:48" ht="14.25" customHeight="1">
      <c r="A81" s="203"/>
      <c r="B81" s="203"/>
      <c r="C81" s="203" t="s">
        <v>14</v>
      </c>
      <c r="D81" s="257">
        <f t="shared" ref="D81:U81" si="67">D70</f>
        <v>2.7043791490591844</v>
      </c>
      <c r="E81" s="257">
        <f t="shared" si="67"/>
        <v>0.21761595849818943</v>
      </c>
      <c r="F81" s="257">
        <f t="shared" si="67"/>
        <v>0.13582807407658209</v>
      </c>
      <c r="G81" s="257">
        <f t="shared" si="67"/>
        <v>0</v>
      </c>
      <c r="H81" s="257">
        <f t="shared" si="67"/>
        <v>0</v>
      </c>
      <c r="I81" s="257">
        <f t="shared" si="67"/>
        <v>0</v>
      </c>
      <c r="J81" s="257">
        <f t="shared" si="67"/>
        <v>0</v>
      </c>
      <c r="K81" s="257">
        <f t="shared" si="67"/>
        <v>0</v>
      </c>
      <c r="L81" s="257">
        <f t="shared" si="67"/>
        <v>9.2839633011830527E-2</v>
      </c>
      <c r="M81" s="257">
        <f t="shared" si="67"/>
        <v>0.30032570497861699</v>
      </c>
      <c r="N81" s="257">
        <f t="shared" si="67"/>
        <v>1.3548581954210062</v>
      </c>
      <c r="O81" s="257">
        <f t="shared" si="67"/>
        <v>0</v>
      </c>
      <c r="P81" s="257">
        <f t="shared" si="67"/>
        <v>0</v>
      </c>
      <c r="Q81" s="257">
        <f t="shared" si="67"/>
        <v>0</v>
      </c>
      <c r="R81" s="257">
        <f t="shared" si="67"/>
        <v>0.50367929185414095</v>
      </c>
      <c r="S81" s="257">
        <f t="shared" si="67"/>
        <v>0</v>
      </c>
      <c r="T81" s="257">
        <f t="shared" si="67"/>
        <v>4.3123211225965141</v>
      </c>
      <c r="U81" s="257">
        <f t="shared" si="67"/>
        <v>9.6218471294960644</v>
      </c>
      <c r="V81" s="203"/>
      <c r="W81" s="203"/>
      <c r="AQ81" s="104" t="s">
        <v>599</v>
      </c>
      <c r="AR81" s="100" t="s">
        <v>600</v>
      </c>
      <c r="AS81" s="134">
        <v>0</v>
      </c>
      <c r="AT81" s="134">
        <v>0</v>
      </c>
      <c r="AU81" s="134">
        <v>0</v>
      </c>
      <c r="AV81" s="134">
        <v>0</v>
      </c>
    </row>
    <row r="82" spans="1:48" ht="14.25" customHeight="1">
      <c r="A82" s="203"/>
      <c r="B82" s="203"/>
      <c r="C82" s="203"/>
      <c r="D82" s="258">
        <f t="shared" ref="D82:U82" si="68">IF((D81-D80)/100&gt;5%,"ERROR",IF((D81-D80)/100&lt;-5%,"ERROR",(D81-D80)/100))</f>
        <v>0</v>
      </c>
      <c r="E82" s="258">
        <f t="shared" si="68"/>
        <v>2.7755575615628914E-19</v>
      </c>
      <c r="F82" s="258">
        <f t="shared" si="68"/>
        <v>0</v>
      </c>
      <c r="G82" s="258">
        <f t="shared" si="68"/>
        <v>0</v>
      </c>
      <c r="H82" s="258">
        <f t="shared" si="68"/>
        <v>0</v>
      </c>
      <c r="I82" s="258">
        <f t="shared" si="68"/>
        <v>0</v>
      </c>
      <c r="J82" s="258">
        <f t="shared" si="68"/>
        <v>0</v>
      </c>
      <c r="K82" s="258">
        <f t="shared" si="68"/>
        <v>0</v>
      </c>
      <c r="L82" s="258">
        <f t="shared" si="68"/>
        <v>0</v>
      </c>
      <c r="M82" s="258">
        <f t="shared" si="68"/>
        <v>0</v>
      </c>
      <c r="N82" s="258">
        <f t="shared" si="68"/>
        <v>0</v>
      </c>
      <c r="O82" s="258">
        <f t="shared" si="68"/>
        <v>0</v>
      </c>
      <c r="P82" s="258">
        <f t="shared" si="68"/>
        <v>0</v>
      </c>
      <c r="Q82" s="258">
        <f t="shared" si="68"/>
        <v>0</v>
      </c>
      <c r="R82" s="258">
        <f t="shared" si="68"/>
        <v>0</v>
      </c>
      <c r="S82" s="258">
        <f t="shared" si="68"/>
        <v>0</v>
      </c>
      <c r="T82" s="258">
        <f t="shared" si="68"/>
        <v>0</v>
      </c>
      <c r="U82" s="258">
        <f t="shared" si="68"/>
        <v>0</v>
      </c>
      <c r="V82" s="203"/>
      <c r="W82" s="203"/>
      <c r="AQ82" s="104" t="s">
        <v>601</v>
      </c>
      <c r="AR82" s="100" t="s">
        <v>602</v>
      </c>
      <c r="AS82" s="134">
        <v>0</v>
      </c>
      <c r="AT82" s="134">
        <v>0</v>
      </c>
      <c r="AU82" s="134">
        <v>0</v>
      </c>
      <c r="AV82" s="134">
        <v>0</v>
      </c>
    </row>
    <row r="83" spans="1:48" ht="14.25" customHeight="1">
      <c r="A83" s="203"/>
      <c r="B83" s="203"/>
      <c r="C83" s="203" t="s">
        <v>15</v>
      </c>
      <c r="D83" s="257">
        <f t="shared" ref="D83:U83" si="69">B34</f>
        <v>3.4924040332701525</v>
      </c>
      <c r="E83" s="257">
        <f t="shared" si="69"/>
        <v>0.6206159584981894</v>
      </c>
      <c r="F83" s="257">
        <f t="shared" si="69"/>
        <v>0.34082807407658211</v>
      </c>
      <c r="G83" s="257">
        <f t="shared" si="69"/>
        <v>0</v>
      </c>
      <c r="H83" s="257">
        <f t="shared" si="69"/>
        <v>0.19600000000000001</v>
      </c>
      <c r="I83" s="257">
        <f t="shared" si="69"/>
        <v>0</v>
      </c>
      <c r="J83" s="257">
        <f t="shared" si="69"/>
        <v>0</v>
      </c>
      <c r="K83" s="257">
        <f t="shared" si="69"/>
        <v>0</v>
      </c>
      <c r="L83" s="257">
        <f t="shared" si="69"/>
        <v>0.10383963301183052</v>
      </c>
      <c r="M83" s="257">
        <f t="shared" si="69"/>
        <v>0.41332570497861698</v>
      </c>
      <c r="N83" s="257">
        <f t="shared" si="69"/>
        <v>1.3858581954210061</v>
      </c>
      <c r="O83" s="257">
        <f t="shared" si="69"/>
        <v>0</v>
      </c>
      <c r="P83" s="257">
        <f t="shared" si="69"/>
        <v>0.30499999999999999</v>
      </c>
      <c r="Q83" s="257">
        <f t="shared" si="69"/>
        <v>5.3999999999999999E-2</v>
      </c>
      <c r="R83" s="257">
        <f t="shared" si="69"/>
        <v>0.66667929185414099</v>
      </c>
      <c r="S83" s="257">
        <f t="shared" si="69"/>
        <v>0</v>
      </c>
      <c r="T83" s="257">
        <f t="shared" si="69"/>
        <v>4.7023211225965138</v>
      </c>
      <c r="U83" s="257">
        <f t="shared" si="69"/>
        <v>12.280872013707032</v>
      </c>
      <c r="V83" s="203"/>
      <c r="W83" s="203"/>
      <c r="AQ83" s="104" t="s">
        <v>603</v>
      </c>
      <c r="AR83" s="100" t="s">
        <v>604</v>
      </c>
      <c r="AS83" s="134">
        <v>0</v>
      </c>
      <c r="AT83" s="134">
        <v>0</v>
      </c>
      <c r="AU83" s="134">
        <v>0</v>
      </c>
      <c r="AV83" s="134">
        <v>0</v>
      </c>
    </row>
    <row r="84" spans="1:48" ht="14.25" customHeight="1">
      <c r="A84" s="203"/>
      <c r="B84" s="203"/>
      <c r="C84" s="203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03"/>
      <c r="W84" s="203"/>
      <c r="AQ84" s="104" t="s">
        <v>605</v>
      </c>
      <c r="AR84" s="100" t="s">
        <v>610</v>
      </c>
      <c r="AS84" s="134">
        <v>0</v>
      </c>
      <c r="AT84" s="134">
        <v>0</v>
      </c>
      <c r="AU84" s="134">
        <v>0</v>
      </c>
      <c r="AV84" s="134">
        <v>0</v>
      </c>
    </row>
    <row r="85" spans="1:48" ht="14.25" customHeight="1">
      <c r="A85" s="203"/>
      <c r="B85" s="203"/>
      <c r="C85" s="203"/>
      <c r="D85" s="258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03"/>
      <c r="W85" s="203"/>
      <c r="AQ85" s="104" t="s">
        <v>613</v>
      </c>
      <c r="AR85" s="100" t="s">
        <v>614</v>
      </c>
      <c r="AS85" s="134">
        <v>0</v>
      </c>
      <c r="AT85" s="134">
        <v>0</v>
      </c>
      <c r="AU85" s="134">
        <v>0</v>
      </c>
      <c r="AV85" s="134">
        <v>0</v>
      </c>
    </row>
    <row r="86" spans="1:48" ht="14.25" customHeight="1">
      <c r="A86" s="203"/>
      <c r="B86" s="203"/>
      <c r="C86" s="203"/>
      <c r="D86" s="257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03"/>
      <c r="W86" s="203"/>
      <c r="AQ86" s="104" t="s">
        <v>844</v>
      </c>
      <c r="AR86" s="100" t="s">
        <v>807</v>
      </c>
      <c r="AS86" s="134">
        <v>0</v>
      </c>
      <c r="AT86" s="134">
        <v>0</v>
      </c>
      <c r="AU86" s="134">
        <v>0</v>
      </c>
      <c r="AV86" s="134">
        <v>0</v>
      </c>
    </row>
    <row r="87" spans="1:48" ht="14.25" customHeight="1">
      <c r="A87" s="203"/>
      <c r="B87" s="203"/>
      <c r="C87" s="203"/>
      <c r="D87" s="258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258"/>
      <c r="P87" s="258"/>
      <c r="Q87" s="258"/>
      <c r="R87" s="258"/>
      <c r="S87" s="258"/>
      <c r="T87" s="258"/>
      <c r="U87" s="258"/>
      <c r="V87" s="203"/>
      <c r="W87" s="203"/>
      <c r="AQ87" s="85"/>
      <c r="AR87" s="100" t="s">
        <v>615</v>
      </c>
      <c r="AS87" s="137">
        <v>0</v>
      </c>
      <c r="AT87" s="137">
        <v>0</v>
      </c>
      <c r="AU87" s="137">
        <v>0.24818448144600003</v>
      </c>
      <c r="AV87" s="137">
        <v>0.19959283652400001</v>
      </c>
    </row>
    <row r="88" spans="1:48" ht="14.25" customHeight="1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48" ht="14.25" customHeight="1"/>
    <row r="90" spans="1:48" ht="14.25" customHeight="1"/>
  </sheetData>
  <phoneticPr fontId="0" type="noConversion"/>
  <pageMargins left="0.35433070866141736" right="0.35433070866141736" top="0.39370078740157483" bottom="0.39370078740157483" header="0.51181102362204722" footer="0.51181102362204722"/>
  <pageSetup scale="56" orientation="landscape" horizontalDpi="300" verticalDpi="300" r:id="rId1"/>
  <headerFooter alignWithMargins="0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9"/>
  <dimension ref="A3:AB134"/>
  <sheetViews>
    <sheetView showGridLines="0" showRowColHeaders="0" showZeros="0" showOutlineSymbols="0" topLeftCell="IV65536" zoomScale="75" workbookViewId="0">
      <selection activeCell="Q8" sqref="Q8:R8 D27:G27 I27:S27 U27 G33 C34:G34 J34:R34 T34:V34 X34 X58:Y60 F58:F61 Y63 Y64:Z64 F63:F66 X66:X69 F68:F70 Y66:Y73 X74:Y74 F72:F76 Y78:Y80 F78:F81 V88:V90"/>
    </sheetView>
  </sheetViews>
  <sheetFormatPr defaultColWidth="0" defaultRowHeight="12.75" zeroHeight="1"/>
  <cols>
    <col min="1" max="16384" width="0" style="613" hidden="1"/>
  </cols>
  <sheetData>
    <row r="3" spans="2:24" hidden="1">
      <c r="B3" s="612" t="s">
        <v>260</v>
      </c>
      <c r="C3" s="612" t="str">
        <f>Region</f>
        <v>FIM</v>
      </c>
      <c r="N3" s="612" t="s">
        <v>539</v>
      </c>
      <c r="O3" s="613" t="s">
        <v>403</v>
      </c>
      <c r="P3" s="613" t="s">
        <v>675</v>
      </c>
      <c r="R3" s="612" t="s">
        <v>537</v>
      </c>
      <c r="W3" s="612" t="s">
        <v>1319</v>
      </c>
    </row>
    <row r="4" spans="2:24" hidden="1">
      <c r="B4" s="613" t="s">
        <v>465</v>
      </c>
      <c r="C4" s="614">
        <f>MATCH(C3,B9:B26,0)</f>
        <v>18</v>
      </c>
      <c r="N4" s="615">
        <v>1</v>
      </c>
      <c r="O4" s="616">
        <v>9</v>
      </c>
      <c r="P4" s="617">
        <v>1.6</v>
      </c>
      <c r="R4" s="613" t="s">
        <v>538</v>
      </c>
      <c r="S4" s="618">
        <v>0.65</v>
      </c>
      <c r="W4" s="619" t="b">
        <f>C3="FIN"</f>
        <v>0</v>
      </c>
    </row>
    <row r="5" spans="2:24" hidden="1">
      <c r="B5" s="613" t="s">
        <v>467</v>
      </c>
      <c r="C5" s="614">
        <v>2010</v>
      </c>
      <c r="N5" s="622">
        <v>2</v>
      </c>
      <c r="O5" s="623">
        <v>10.5</v>
      </c>
      <c r="P5" s="624">
        <v>1.5</v>
      </c>
    </row>
    <row r="6" spans="2:24" hidden="1">
      <c r="N6" s="625">
        <v>3</v>
      </c>
      <c r="O6" s="626">
        <v>11.3</v>
      </c>
      <c r="P6" s="627">
        <v>0.5</v>
      </c>
      <c r="W6" s="613" t="s">
        <v>501</v>
      </c>
    </row>
    <row r="7" spans="2:24" ht="18" hidden="1">
      <c r="C7" s="628" t="s">
        <v>1318</v>
      </c>
      <c r="D7" s="629" t="s">
        <v>181</v>
      </c>
      <c r="E7" s="629"/>
      <c r="F7" s="629"/>
      <c r="G7" s="629"/>
      <c r="H7" s="629"/>
      <c r="I7" s="629"/>
      <c r="J7" s="629"/>
    </row>
    <row r="8" spans="2:24" ht="15" hidden="1">
      <c r="B8" s="629" t="s">
        <v>466</v>
      </c>
      <c r="C8" s="627"/>
      <c r="D8" s="613" t="s">
        <v>213</v>
      </c>
      <c r="E8" s="613" t="s">
        <v>367</v>
      </c>
      <c r="F8" s="613" t="s">
        <v>365</v>
      </c>
      <c r="G8" s="613" t="s">
        <v>409</v>
      </c>
      <c r="H8" s="613" t="s">
        <v>215</v>
      </c>
      <c r="I8" s="613" t="s">
        <v>217</v>
      </c>
      <c r="J8" s="613" t="s">
        <v>411</v>
      </c>
      <c r="K8" s="613" t="s">
        <v>361</v>
      </c>
      <c r="L8" s="613" t="s">
        <v>363</v>
      </c>
      <c r="M8" s="613" t="s">
        <v>221</v>
      </c>
      <c r="N8" s="613" t="s">
        <v>369</v>
      </c>
      <c r="O8" s="613" t="s">
        <v>404</v>
      </c>
      <c r="P8" s="613" t="s">
        <v>405</v>
      </c>
      <c r="Q8" s="630" t="s">
        <v>359</v>
      </c>
      <c r="R8" s="630" t="s">
        <v>253</v>
      </c>
      <c r="S8" s="630" t="s">
        <v>357</v>
      </c>
      <c r="T8" s="613" t="s">
        <v>540</v>
      </c>
      <c r="U8" s="630" t="s">
        <v>354</v>
      </c>
      <c r="X8" s="613" t="s">
        <v>448</v>
      </c>
    </row>
    <row r="9" spans="2:24" hidden="1">
      <c r="B9" s="631" t="s">
        <v>264</v>
      </c>
      <c r="C9" s="632">
        <v>2.3824151810308098</v>
      </c>
      <c r="D9" s="633">
        <f>D$27+$C9</f>
        <v>11.38241518103081</v>
      </c>
      <c r="E9" s="634"/>
      <c r="F9" s="634"/>
      <c r="G9" s="634"/>
      <c r="H9" s="634"/>
      <c r="I9" s="634"/>
      <c r="J9" s="634"/>
      <c r="K9" s="634"/>
      <c r="L9" s="635"/>
      <c r="M9" s="634"/>
      <c r="N9" s="634"/>
      <c r="O9" s="634"/>
      <c r="P9" s="617"/>
      <c r="Q9" s="616">
        <v>14.831250000000001</v>
      </c>
      <c r="R9" s="636">
        <v>7.9860576923076927</v>
      </c>
      <c r="S9" s="634">
        <v>15</v>
      </c>
      <c r="T9" s="634">
        <v>-2</v>
      </c>
      <c r="U9" s="617"/>
      <c r="W9" s="613" t="s">
        <v>264</v>
      </c>
      <c r="X9" s="637">
        <v>0.81499999999999995</v>
      </c>
    </row>
    <row r="10" spans="2:24" hidden="1">
      <c r="B10" s="638" t="s">
        <v>265</v>
      </c>
      <c r="C10" s="632">
        <v>0.44131278723404144</v>
      </c>
      <c r="D10" s="639">
        <f t="shared" ref="D10:D26" si="0">D$27+$C10</f>
        <v>9.4413127872340414</v>
      </c>
      <c r="E10" s="630"/>
      <c r="F10" s="630"/>
      <c r="G10" s="630"/>
      <c r="H10" s="630"/>
      <c r="I10" s="630"/>
      <c r="J10" s="630"/>
      <c r="K10" s="630"/>
      <c r="L10" s="640"/>
      <c r="M10" s="630"/>
      <c r="N10" s="630"/>
      <c r="O10" s="630"/>
      <c r="P10" s="624"/>
      <c r="Q10" s="623">
        <v>16.118749999999999</v>
      </c>
      <c r="R10" s="641">
        <v>8.679326923076923</v>
      </c>
      <c r="S10" s="630">
        <v>15</v>
      </c>
      <c r="T10" s="630">
        <v>-2</v>
      </c>
      <c r="U10" s="624"/>
      <c r="W10" s="613" t="s">
        <v>265</v>
      </c>
      <c r="X10" s="642">
        <v>0.81499999999999995</v>
      </c>
    </row>
    <row r="11" spans="2:24" hidden="1">
      <c r="B11" s="638" t="s">
        <v>266</v>
      </c>
      <c r="C11" s="632">
        <v>6.3160634925590582</v>
      </c>
      <c r="D11" s="639">
        <f t="shared" si="0"/>
        <v>15.316063492559058</v>
      </c>
      <c r="E11" s="630"/>
      <c r="F11" s="630"/>
      <c r="G11" s="630"/>
      <c r="H11" s="630"/>
      <c r="I11" s="630"/>
      <c r="J11" s="630"/>
      <c r="K11" s="630"/>
      <c r="L11" s="640"/>
      <c r="M11" s="630"/>
      <c r="N11" s="630"/>
      <c r="O11" s="630"/>
      <c r="P11" s="624"/>
      <c r="Q11" s="623">
        <v>15.268750000000001</v>
      </c>
      <c r="R11" s="641">
        <v>8.221634615384616</v>
      </c>
      <c r="S11" s="630">
        <v>16.899999999999999</v>
      </c>
      <c r="T11" s="630">
        <v>-2</v>
      </c>
      <c r="U11" s="624"/>
      <c r="W11" s="613" t="s">
        <v>266</v>
      </c>
      <c r="X11" s="642">
        <v>0.81499999999999995</v>
      </c>
    </row>
    <row r="12" spans="2:24" hidden="1">
      <c r="B12" s="638" t="s">
        <v>267</v>
      </c>
      <c r="C12" s="632">
        <v>1.5</v>
      </c>
      <c r="D12" s="639">
        <f t="shared" si="0"/>
        <v>10.5</v>
      </c>
      <c r="E12" s="630"/>
      <c r="F12" s="630"/>
      <c r="G12" s="630"/>
      <c r="H12" s="630"/>
      <c r="I12" s="630"/>
      <c r="J12" s="630"/>
      <c r="K12" s="630"/>
      <c r="L12" s="640"/>
      <c r="M12" s="630"/>
      <c r="N12" s="630"/>
      <c r="O12" s="630"/>
      <c r="P12" s="624">
        <v>30</v>
      </c>
      <c r="Q12" s="623">
        <v>16.118749999999999</v>
      </c>
      <c r="R12" s="641">
        <v>8.679326923076923</v>
      </c>
      <c r="S12" s="630">
        <v>27.8</v>
      </c>
      <c r="T12" s="630">
        <v>-2</v>
      </c>
      <c r="U12" s="624"/>
      <c r="W12" s="613" t="s">
        <v>267</v>
      </c>
      <c r="X12" s="642">
        <v>0.81499999999999995</v>
      </c>
    </row>
    <row r="13" spans="2:24" hidden="1">
      <c r="B13" s="638" t="s">
        <v>1094</v>
      </c>
      <c r="C13" s="632">
        <v>3.0710785726744181</v>
      </c>
      <c r="D13" s="639">
        <f t="shared" si="0"/>
        <v>12.071078572674418</v>
      </c>
      <c r="E13" s="630"/>
      <c r="F13" s="630"/>
      <c r="G13" s="630"/>
      <c r="H13" s="630"/>
      <c r="I13" s="630"/>
      <c r="J13" s="630"/>
      <c r="K13" s="630"/>
      <c r="L13" s="640"/>
      <c r="M13" s="630"/>
      <c r="N13" s="630"/>
      <c r="O13" s="630"/>
      <c r="P13" s="624"/>
      <c r="Q13" s="623">
        <v>16.118749999999999</v>
      </c>
      <c r="R13" s="641">
        <v>8.679326923076923</v>
      </c>
      <c r="S13" s="630">
        <v>18.899999999999999</v>
      </c>
      <c r="T13" s="630">
        <v>-2</v>
      </c>
      <c r="U13" s="624"/>
      <c r="W13" s="613" t="s">
        <v>1094</v>
      </c>
      <c r="X13" s="642">
        <v>0.81499999999999995</v>
      </c>
    </row>
    <row r="14" spans="2:24" hidden="1">
      <c r="B14" s="638" t="s">
        <v>268</v>
      </c>
      <c r="C14" s="632">
        <v>2.8065256804612435</v>
      </c>
      <c r="D14" s="639">
        <f t="shared" si="0"/>
        <v>11.806525680461244</v>
      </c>
      <c r="E14" s="630"/>
      <c r="F14" s="630"/>
      <c r="G14" s="630"/>
      <c r="H14" s="630"/>
      <c r="I14" s="630"/>
      <c r="J14" s="630"/>
      <c r="K14" s="630"/>
      <c r="L14" s="640"/>
      <c r="M14" s="630"/>
      <c r="N14" s="630"/>
      <c r="O14" s="630"/>
      <c r="P14" s="624"/>
      <c r="Q14" s="623">
        <v>16.118749999999999</v>
      </c>
      <c r="R14" s="641">
        <v>8.679326923076923</v>
      </c>
      <c r="S14" s="630">
        <v>22.6</v>
      </c>
      <c r="T14" s="630">
        <v>-3</v>
      </c>
      <c r="U14" s="624"/>
      <c r="W14" s="613" t="s">
        <v>268</v>
      </c>
      <c r="X14" s="642">
        <v>0.81499999999999995</v>
      </c>
    </row>
    <row r="15" spans="2:24" hidden="1">
      <c r="B15" s="638" t="s">
        <v>269</v>
      </c>
      <c r="C15" s="632">
        <v>0</v>
      </c>
      <c r="D15" s="639">
        <f t="shared" si="0"/>
        <v>9</v>
      </c>
      <c r="E15" s="630"/>
      <c r="F15" s="630"/>
      <c r="G15" s="630"/>
      <c r="H15" s="630"/>
      <c r="I15" s="630"/>
      <c r="J15" s="630"/>
      <c r="K15" s="630"/>
      <c r="L15" s="640"/>
      <c r="M15" s="630"/>
      <c r="N15" s="630"/>
      <c r="O15" s="630"/>
      <c r="P15" s="624"/>
      <c r="Q15" s="623">
        <v>16.118749999999999</v>
      </c>
      <c r="R15" s="641">
        <v>8.679326923076923</v>
      </c>
      <c r="S15" s="630">
        <v>22.3</v>
      </c>
      <c r="T15" s="630">
        <v>-2</v>
      </c>
      <c r="U15" s="624"/>
      <c r="W15" s="613" t="s">
        <v>269</v>
      </c>
      <c r="X15" s="642">
        <v>0.81499999999999995</v>
      </c>
    </row>
    <row r="16" spans="2:24" hidden="1">
      <c r="B16" s="638" t="s">
        <v>1095</v>
      </c>
      <c r="C16" s="632">
        <v>0</v>
      </c>
      <c r="D16" s="639">
        <f t="shared" si="0"/>
        <v>9</v>
      </c>
      <c r="E16" s="630"/>
      <c r="F16" s="630"/>
      <c r="G16" s="630"/>
      <c r="H16" s="630"/>
      <c r="I16" s="630"/>
      <c r="J16" s="630"/>
      <c r="K16" s="630"/>
      <c r="L16" s="640"/>
      <c r="M16" s="630"/>
      <c r="N16" s="630"/>
      <c r="O16" s="630"/>
      <c r="P16" s="624">
        <v>20</v>
      </c>
      <c r="Q16" s="623">
        <v>16.118749999999999</v>
      </c>
      <c r="R16" s="641">
        <v>8.679326923076923</v>
      </c>
      <c r="S16" s="630">
        <v>16.899999999999999</v>
      </c>
      <c r="T16" s="630">
        <v>-1</v>
      </c>
      <c r="U16" s="624"/>
      <c r="W16" s="613" t="s">
        <v>1095</v>
      </c>
      <c r="X16" s="642">
        <v>0.81499999999999995</v>
      </c>
    </row>
    <row r="17" spans="2:24" hidden="1">
      <c r="B17" s="638" t="s">
        <v>1096</v>
      </c>
      <c r="C17" s="632">
        <v>4.8882345549473687</v>
      </c>
      <c r="D17" s="639">
        <f t="shared" si="0"/>
        <v>13.888234554947369</v>
      </c>
      <c r="E17" s="630"/>
      <c r="F17" s="630"/>
      <c r="G17" s="630"/>
      <c r="H17" s="630"/>
      <c r="I17" s="630"/>
      <c r="J17" s="630"/>
      <c r="K17" s="630"/>
      <c r="L17" s="640"/>
      <c r="M17" s="630"/>
      <c r="N17" s="630"/>
      <c r="O17" s="630"/>
      <c r="P17" s="624"/>
      <c r="Q17" s="623">
        <v>15.0375</v>
      </c>
      <c r="R17" s="641">
        <v>8.0971153846153836</v>
      </c>
      <c r="S17" s="630">
        <v>15</v>
      </c>
      <c r="T17" s="630">
        <v>-2</v>
      </c>
      <c r="U17" s="624"/>
      <c r="W17" s="613" t="s">
        <v>1096</v>
      </c>
      <c r="X17" s="642">
        <v>0.81499999999999995</v>
      </c>
    </row>
    <row r="18" spans="2:24" hidden="1">
      <c r="B18" s="638" t="s">
        <v>270</v>
      </c>
      <c r="C18" s="632">
        <v>0</v>
      </c>
      <c r="D18" s="639">
        <f t="shared" si="0"/>
        <v>9</v>
      </c>
      <c r="E18" s="630"/>
      <c r="F18" s="630"/>
      <c r="G18" s="630"/>
      <c r="H18" s="630"/>
      <c r="I18" s="630"/>
      <c r="J18" s="630"/>
      <c r="K18" s="630"/>
      <c r="L18" s="640"/>
      <c r="M18" s="630"/>
      <c r="N18" s="630"/>
      <c r="O18" s="630"/>
      <c r="P18" s="624"/>
      <c r="Q18" s="623">
        <v>14.96875</v>
      </c>
      <c r="R18" s="641">
        <v>8.0600961538461533</v>
      </c>
      <c r="S18" s="630">
        <v>15</v>
      </c>
      <c r="T18" s="630">
        <v>-2</v>
      </c>
      <c r="U18" s="624"/>
      <c r="W18" s="613" t="s">
        <v>270</v>
      </c>
      <c r="X18" s="642">
        <v>0.81499999999999995</v>
      </c>
    </row>
    <row r="19" spans="2:24" hidden="1">
      <c r="B19" s="638" t="s">
        <v>271</v>
      </c>
      <c r="C19" s="632">
        <v>2.9238104477611913</v>
      </c>
      <c r="D19" s="639">
        <f t="shared" si="0"/>
        <v>11.923810447761191</v>
      </c>
      <c r="E19" s="630"/>
      <c r="F19" s="630"/>
      <c r="G19" s="630"/>
      <c r="H19" s="630"/>
      <c r="I19" s="630"/>
      <c r="J19" s="630"/>
      <c r="K19" s="630"/>
      <c r="L19" s="640"/>
      <c r="M19" s="630"/>
      <c r="N19" s="630"/>
      <c r="O19" s="630"/>
      <c r="P19" s="624"/>
      <c r="Q19" s="623">
        <v>16.118749999999999</v>
      </c>
      <c r="R19" s="641">
        <v>8.679326923076923</v>
      </c>
      <c r="S19" s="630">
        <v>16</v>
      </c>
      <c r="T19" s="630">
        <v>-2</v>
      </c>
      <c r="U19" s="624"/>
      <c r="W19" s="613" t="s">
        <v>271</v>
      </c>
      <c r="X19" s="642">
        <v>0.81499999999999995</v>
      </c>
    </row>
    <row r="20" spans="2:24" hidden="1">
      <c r="B20" s="638" t="s">
        <v>563</v>
      </c>
      <c r="C20" s="632">
        <v>4.618240189720682</v>
      </c>
      <c r="D20" s="639">
        <f t="shared" si="0"/>
        <v>13.618240189720682</v>
      </c>
      <c r="E20" s="630"/>
      <c r="F20" s="630">
        <v>5.5</v>
      </c>
      <c r="G20" s="630"/>
      <c r="H20" s="630"/>
      <c r="I20" s="630"/>
      <c r="J20" s="630"/>
      <c r="K20" s="630"/>
      <c r="L20" s="640"/>
      <c r="M20" s="630"/>
      <c r="N20" s="630"/>
      <c r="O20" s="630"/>
      <c r="P20" s="624">
        <v>60</v>
      </c>
      <c r="Q20" s="623">
        <v>15.268750000000001</v>
      </c>
      <c r="R20" s="641">
        <v>8.221634615384616</v>
      </c>
      <c r="S20" s="630">
        <v>16.899999999999999</v>
      </c>
      <c r="T20" s="630">
        <v>-2</v>
      </c>
      <c r="U20" s="624"/>
      <c r="W20" s="613" t="s">
        <v>563</v>
      </c>
      <c r="X20" s="642">
        <v>0.81499999999999995</v>
      </c>
    </row>
    <row r="21" spans="2:24" hidden="1">
      <c r="B21" s="638" t="s">
        <v>705</v>
      </c>
      <c r="C21" s="632">
        <v>1.3674422515096658</v>
      </c>
      <c r="D21" s="639">
        <f t="shared" si="0"/>
        <v>10.367442251509665</v>
      </c>
      <c r="E21" s="630"/>
      <c r="F21" s="630"/>
      <c r="G21" s="630"/>
      <c r="H21" s="630"/>
      <c r="I21" s="630"/>
      <c r="J21" s="630"/>
      <c r="K21" s="630"/>
      <c r="L21" s="640"/>
      <c r="M21" s="630"/>
      <c r="N21" s="630"/>
      <c r="O21" s="630"/>
      <c r="P21" s="624"/>
      <c r="Q21" s="623">
        <v>15.956250000000001</v>
      </c>
      <c r="R21" s="641">
        <v>8.5918269230769226</v>
      </c>
      <c r="S21" s="630">
        <v>14</v>
      </c>
      <c r="T21" s="630">
        <v>-3</v>
      </c>
      <c r="U21" s="624"/>
      <c r="W21" s="613" t="s">
        <v>705</v>
      </c>
      <c r="X21" s="642">
        <v>0.81499999999999995</v>
      </c>
    </row>
    <row r="22" spans="2:24" hidden="1">
      <c r="B22" s="638" t="s">
        <v>1097</v>
      </c>
      <c r="C22" s="632">
        <v>0</v>
      </c>
      <c r="D22" s="639">
        <f t="shared" si="0"/>
        <v>9</v>
      </c>
      <c r="E22" s="630"/>
      <c r="F22" s="630">
        <v>5.9</v>
      </c>
      <c r="G22" s="630"/>
      <c r="H22" s="630"/>
      <c r="I22" s="630"/>
      <c r="J22" s="630"/>
      <c r="K22" s="630"/>
      <c r="L22" s="640"/>
      <c r="M22" s="630"/>
      <c r="N22" s="630">
        <f>N23</f>
        <v>23.3</v>
      </c>
      <c r="O22" s="630"/>
      <c r="P22" s="624"/>
      <c r="Q22" s="623">
        <v>15.956250000000001</v>
      </c>
      <c r="R22" s="641">
        <v>8.5918269230769226</v>
      </c>
      <c r="S22" s="630">
        <v>14</v>
      </c>
      <c r="T22" s="630">
        <v>-2</v>
      </c>
      <c r="U22" s="624"/>
      <c r="W22" s="613" t="s">
        <v>1097</v>
      </c>
      <c r="X22" s="642">
        <v>0.81499999999999995</v>
      </c>
    </row>
    <row r="23" spans="2:24" hidden="1">
      <c r="B23" s="638" t="s">
        <v>86</v>
      </c>
      <c r="C23" s="632">
        <v>-1.8</v>
      </c>
      <c r="D23" s="639">
        <f t="shared" si="0"/>
        <v>7.2</v>
      </c>
      <c r="E23" s="630"/>
      <c r="F23" s="630">
        <v>5.9</v>
      </c>
      <c r="G23" s="630">
        <v>33</v>
      </c>
      <c r="H23" s="630"/>
      <c r="I23" s="630"/>
      <c r="J23" s="630"/>
      <c r="K23" s="630"/>
      <c r="L23" s="640"/>
      <c r="M23" s="630"/>
      <c r="N23" s="630">
        <f>12.5+N29</f>
        <v>23.3</v>
      </c>
      <c r="O23" s="630"/>
      <c r="P23" s="624"/>
      <c r="Q23" s="623">
        <v>15.956250000000001</v>
      </c>
      <c r="R23" s="641">
        <v>8.5918269230769226</v>
      </c>
      <c r="S23" s="630">
        <v>14</v>
      </c>
      <c r="T23" s="630">
        <v>-2</v>
      </c>
      <c r="U23" s="624"/>
      <c r="W23" s="613" t="s">
        <v>86</v>
      </c>
      <c r="X23" s="642">
        <v>0.81499999999999995</v>
      </c>
    </row>
    <row r="24" spans="2:24" hidden="1">
      <c r="B24" s="638" t="s">
        <v>1098</v>
      </c>
      <c r="C24" s="632">
        <v>1</v>
      </c>
      <c r="D24" s="639">
        <f t="shared" si="0"/>
        <v>10</v>
      </c>
      <c r="E24" s="630"/>
      <c r="F24" s="630">
        <v>5.9</v>
      </c>
      <c r="G24" s="630">
        <v>31</v>
      </c>
      <c r="H24" s="630"/>
      <c r="I24" s="630"/>
      <c r="J24" s="630"/>
      <c r="K24" s="630"/>
      <c r="L24" s="640"/>
      <c r="M24" s="630">
        <v>60</v>
      </c>
      <c r="N24" s="630">
        <f>N23</f>
        <v>23.3</v>
      </c>
      <c r="O24" s="630"/>
      <c r="P24" s="624"/>
      <c r="Q24" s="623">
        <v>15.956250000000001</v>
      </c>
      <c r="R24" s="641">
        <v>8.5918269230769226</v>
      </c>
      <c r="S24" s="630">
        <v>14</v>
      </c>
      <c r="T24" s="630">
        <v>-2</v>
      </c>
      <c r="U24" s="624"/>
      <c r="W24" s="613" t="s">
        <v>1098</v>
      </c>
      <c r="X24" s="642">
        <v>0.81499999999999995</v>
      </c>
    </row>
    <row r="25" spans="2:24" hidden="1">
      <c r="B25" s="638" t="s">
        <v>1099</v>
      </c>
      <c r="C25" s="632">
        <v>-1.8</v>
      </c>
      <c r="D25" s="639">
        <f t="shared" si="0"/>
        <v>7.2</v>
      </c>
      <c r="E25" s="630"/>
      <c r="F25" s="630">
        <v>5.9</v>
      </c>
      <c r="G25" s="630">
        <v>33</v>
      </c>
      <c r="H25" s="630"/>
      <c r="I25" s="630"/>
      <c r="J25" s="630"/>
      <c r="K25" s="630"/>
      <c r="L25" s="640"/>
      <c r="M25" s="630">
        <v>65</v>
      </c>
      <c r="N25" s="630">
        <f>N23</f>
        <v>23.3</v>
      </c>
      <c r="O25" s="630"/>
      <c r="P25" s="624"/>
      <c r="Q25" s="623">
        <v>15.956250000000001</v>
      </c>
      <c r="R25" s="641">
        <v>8.5918269230769226</v>
      </c>
      <c r="S25" s="630">
        <v>14</v>
      </c>
      <c r="T25" s="630">
        <v>-2</v>
      </c>
      <c r="U25" s="624"/>
      <c r="W25" s="613" t="s">
        <v>1099</v>
      </c>
      <c r="X25" s="642">
        <v>0.81499999999999995</v>
      </c>
    </row>
    <row r="26" spans="2:24" hidden="1">
      <c r="B26" s="643" t="s">
        <v>1341</v>
      </c>
      <c r="C26" s="644">
        <v>3.0710785726744181</v>
      </c>
      <c r="D26" s="645">
        <f t="shared" si="0"/>
        <v>12.071078572674418</v>
      </c>
      <c r="E26" s="646"/>
      <c r="F26" s="646"/>
      <c r="G26" s="646"/>
      <c r="H26" s="646"/>
      <c r="I26" s="646"/>
      <c r="J26" s="646"/>
      <c r="K26" s="646"/>
      <c r="L26" s="647"/>
      <c r="M26" s="646"/>
      <c r="N26" s="646"/>
      <c r="O26" s="646"/>
      <c r="P26" s="627"/>
      <c r="Q26" s="626">
        <v>16.118749999999999</v>
      </c>
      <c r="R26" s="648">
        <v>8.679326923076923</v>
      </c>
      <c r="S26" s="646">
        <v>18.899999999999999</v>
      </c>
      <c r="T26" s="646">
        <v>-2</v>
      </c>
      <c r="U26" s="627"/>
      <c r="W26" s="613" t="s">
        <v>1341</v>
      </c>
      <c r="X26" s="649">
        <v>0.82</v>
      </c>
    </row>
    <row r="27" spans="2:24" hidden="1">
      <c r="C27" s="650" t="s">
        <v>401</v>
      </c>
      <c r="D27" s="640">
        <v>9</v>
      </c>
      <c r="E27" s="651">
        <v>16.600000000000001</v>
      </c>
      <c r="F27" s="651">
        <v>5</v>
      </c>
      <c r="G27" s="651">
        <v>32.6</v>
      </c>
      <c r="H27" s="651">
        <f>5.1+0.14*3.6</f>
        <v>5.6040000000000001</v>
      </c>
      <c r="I27" s="651">
        <f>3+0.14*3.6</f>
        <v>3.504</v>
      </c>
      <c r="J27" s="651">
        <f>4.4+0.075*3.6</f>
        <v>4.67</v>
      </c>
      <c r="K27" s="651">
        <f>3.8+0.94+0.25</f>
        <v>4.99</v>
      </c>
      <c r="L27" s="651">
        <v>3</v>
      </c>
      <c r="M27" s="651">
        <f>15*3.6 + 18 + 0.4*(2.5+0.14*3.6) + 7.4</f>
        <v>80.601600000000005</v>
      </c>
      <c r="N27" s="651">
        <f>14.3+3*3.6</f>
        <v>25.1</v>
      </c>
      <c r="O27" s="651">
        <f>4+4*3.6</f>
        <v>18.399999999999999</v>
      </c>
      <c r="P27" s="651">
        <f>10.8+0.28*3.6</f>
        <v>11.808000000000002</v>
      </c>
      <c r="Q27" s="613">
        <v>13</v>
      </c>
      <c r="R27" s="613">
        <v>7</v>
      </c>
      <c r="S27" s="613">
        <f>41.6-21</f>
        <v>20.6</v>
      </c>
      <c r="T27" s="613">
        <f>INDEX($O$4:$P$6,-INDEX(T$9:T$26,RegIndex),2)</f>
        <v>1.5</v>
      </c>
      <c r="U27" s="613">
        <v>10</v>
      </c>
      <c r="W27" s="613" t="s">
        <v>502</v>
      </c>
      <c r="X27" s="649">
        <f>INDEX(X$9:X$26,RegIndex)</f>
        <v>0.82</v>
      </c>
    </row>
    <row r="28" spans="2:24" hidden="1">
      <c r="C28" s="613" t="s">
        <v>402</v>
      </c>
      <c r="D28" s="652">
        <f t="array" ref="D28:P28">IF(INDEX($D$9:$P$26,RegIndex,0)&gt;0,INDEX($D$9:$P$26,RegIndex,0),D27:P27)</f>
        <v>12.071078572674418</v>
      </c>
      <c r="E28" s="653">
        <v>16.600000000000001</v>
      </c>
      <c r="F28" s="653">
        <v>5</v>
      </c>
      <c r="G28" s="653">
        <v>32.6</v>
      </c>
      <c r="H28" s="653">
        <v>5.6040000000000001</v>
      </c>
      <c r="I28" s="653">
        <v>3.504</v>
      </c>
      <c r="J28" s="653">
        <v>4.67</v>
      </c>
      <c r="K28" s="653">
        <v>4.99</v>
      </c>
      <c r="L28" s="653">
        <v>3</v>
      </c>
      <c r="M28" s="653">
        <v>80.601600000000005</v>
      </c>
      <c r="N28" s="653">
        <v>25.1</v>
      </c>
      <c r="O28" s="653">
        <v>18.399999999999999</v>
      </c>
      <c r="P28" s="653">
        <v>11.808000000000002</v>
      </c>
      <c r="Q28" s="652">
        <f t="array" ref="Q28:U28">IF(INDEX($Q$9:$U$26,RegIndex,0)&gt;0,INDEX($Q$9:$U$26,RegIndex,0),Q27:U27)+IF(Q29:U29&gt;0,Q29:U29,0)</f>
        <v>17.118749999999999</v>
      </c>
      <c r="R28" s="653">
        <v>9.679326923076923</v>
      </c>
      <c r="S28" s="653">
        <v>23.4</v>
      </c>
      <c r="T28" s="653">
        <v>12</v>
      </c>
      <c r="U28" s="654">
        <v>10.5</v>
      </c>
    </row>
    <row r="29" spans="2:24" hidden="1">
      <c r="C29" s="613" t="s">
        <v>781</v>
      </c>
      <c r="D29" s="652">
        <v>1.25</v>
      </c>
      <c r="E29" s="655">
        <v>3.3</v>
      </c>
      <c r="F29" s="653">
        <f>2.4*0+0.85*3.6</f>
        <v>3.06</v>
      </c>
      <c r="G29" s="653">
        <f>3.3*3.6</f>
        <v>11.879999999999999</v>
      </c>
      <c r="H29" s="653">
        <f>0.145*3.6</f>
        <v>0.52200000000000002</v>
      </c>
      <c r="I29" s="653">
        <f>0.145*3.6</f>
        <v>0.52200000000000002</v>
      </c>
      <c r="J29" s="653">
        <f>0.075*3.6</f>
        <v>0.27</v>
      </c>
      <c r="K29" s="656">
        <f>0.15*3.85+0.52</f>
        <v>1.0975000000000001</v>
      </c>
      <c r="L29" s="653">
        <f>L28*0.14</f>
        <v>0.42000000000000004</v>
      </c>
      <c r="M29" s="653">
        <f>15*3.6+1.4*3.6</f>
        <v>59.04</v>
      </c>
      <c r="N29" s="655">
        <f>3*3.6</f>
        <v>10.8</v>
      </c>
      <c r="O29" s="655">
        <f>4*3.6</f>
        <v>14.4</v>
      </c>
      <c r="P29" s="653">
        <f>P28*0.085</f>
        <v>1.0036800000000001</v>
      </c>
      <c r="Q29" s="657">
        <v>1</v>
      </c>
      <c r="R29" s="655">
        <v>1</v>
      </c>
      <c r="S29" s="655">
        <v>4.5</v>
      </c>
      <c r="T29" s="653">
        <f>INDEX($O$4:$P$6,-INDEX(T$9:T$26,RegIndex),1)</f>
        <v>10.5</v>
      </c>
      <c r="U29" s="658">
        <v>0.5</v>
      </c>
      <c r="W29" s="659" t="s">
        <v>414</v>
      </c>
      <c r="X29" s="660">
        <v>0.86</v>
      </c>
    </row>
    <row r="30" spans="2:24" hidden="1">
      <c r="B30" s="613" t="s">
        <v>374</v>
      </c>
    </row>
    <row r="31" spans="2:24" hidden="1">
      <c r="B31" s="613" t="s">
        <v>373</v>
      </c>
      <c r="C31" s="614">
        <f ca="1">IEA_Year</f>
        <v>2010</v>
      </c>
    </row>
    <row r="32" spans="2:24" hidden="1">
      <c r="C32" s="661" t="s">
        <v>272</v>
      </c>
      <c r="D32" s="662"/>
      <c r="E32" s="662"/>
      <c r="F32" s="662"/>
      <c r="G32" s="661" t="s">
        <v>273</v>
      </c>
      <c r="H32" s="662"/>
      <c r="I32" s="662"/>
      <c r="J32" s="662"/>
      <c r="K32" s="663"/>
      <c r="L32" s="661" t="s">
        <v>274</v>
      </c>
      <c r="M32" s="662"/>
      <c r="N32" s="662"/>
      <c r="O32" s="663"/>
      <c r="P32" s="661" t="s">
        <v>276</v>
      </c>
      <c r="Q32" s="662"/>
      <c r="R32" s="662"/>
      <c r="S32" s="662"/>
      <c r="T32" s="663"/>
      <c r="U32" s="661" t="s">
        <v>275</v>
      </c>
      <c r="V32" s="662"/>
      <c r="W32" s="662"/>
      <c r="X32" s="663"/>
    </row>
    <row r="33" spans="2:24" hidden="1">
      <c r="C33" s="623"/>
      <c r="D33" s="630"/>
      <c r="E33" s="630"/>
      <c r="F33" s="630"/>
      <c r="G33" s="664" t="s">
        <v>277</v>
      </c>
      <c r="H33" s="665"/>
      <c r="I33" s="665"/>
      <c r="J33" s="630"/>
      <c r="K33" s="624"/>
      <c r="L33" s="623"/>
      <c r="M33" s="630"/>
      <c r="N33" s="630"/>
      <c r="O33" s="624"/>
      <c r="P33" s="623"/>
      <c r="Q33" s="630"/>
      <c r="R33" s="630"/>
      <c r="S33" s="630"/>
      <c r="T33" s="624"/>
      <c r="U33" s="623"/>
      <c r="V33" s="630"/>
      <c r="W33" s="630"/>
      <c r="X33" s="624"/>
    </row>
    <row r="34" spans="2:24" hidden="1">
      <c r="B34" s="646" t="s">
        <v>573</v>
      </c>
      <c r="C34" s="626" t="s">
        <v>261</v>
      </c>
      <c r="D34" s="646" t="s">
        <v>262</v>
      </c>
      <c r="E34" s="646" t="s">
        <v>263</v>
      </c>
      <c r="F34" s="624" t="s">
        <v>408</v>
      </c>
      <c r="G34" s="626" t="s">
        <v>214</v>
      </c>
      <c r="H34" s="646" t="s">
        <v>216</v>
      </c>
      <c r="I34" s="646" t="s">
        <v>456</v>
      </c>
      <c r="J34" s="646" t="s">
        <v>218</v>
      </c>
      <c r="K34" s="627" t="s">
        <v>219</v>
      </c>
      <c r="L34" s="626" t="s">
        <v>220</v>
      </c>
      <c r="M34" s="646" t="s">
        <v>222</v>
      </c>
      <c r="N34" s="646" t="s">
        <v>407</v>
      </c>
      <c r="O34" s="627" t="s">
        <v>406</v>
      </c>
      <c r="P34" s="626" t="s">
        <v>251</v>
      </c>
      <c r="Q34" s="646" t="s">
        <v>252</v>
      </c>
      <c r="R34" s="646" t="s">
        <v>254</v>
      </c>
      <c r="S34" s="646" t="s">
        <v>539</v>
      </c>
      <c r="T34" s="627" t="s">
        <v>353</v>
      </c>
      <c r="U34" s="626" t="s">
        <v>250</v>
      </c>
      <c r="V34" s="646" t="s">
        <v>249</v>
      </c>
      <c r="W34" s="646" t="s">
        <v>247</v>
      </c>
      <c r="X34" s="627" t="s">
        <v>338</v>
      </c>
    </row>
    <row r="35" spans="2:24" hidden="1">
      <c r="B35" s="666" t="s">
        <v>264</v>
      </c>
      <c r="C35" s="667">
        <v>5.5259999999999998</v>
      </c>
      <c r="D35" s="668">
        <v>5.3550000000000004</v>
      </c>
      <c r="E35" s="668">
        <v>5.7439999999999998</v>
      </c>
      <c r="F35" s="669">
        <v>4.3011359999999996</v>
      </c>
      <c r="G35" s="667">
        <v>18.9559125</v>
      </c>
      <c r="H35" s="668">
        <v>76.970087500000005</v>
      </c>
      <c r="I35" s="668">
        <v>2.9560040000000001</v>
      </c>
      <c r="J35" s="668">
        <v>4.166693362655784</v>
      </c>
      <c r="K35" s="670">
        <v>45.534128725149159</v>
      </c>
      <c r="L35" s="667">
        <v>1.7270000000000001</v>
      </c>
      <c r="M35" s="668">
        <v>0.71289774193548383</v>
      </c>
      <c r="N35" s="668">
        <v>0.27168799999999999</v>
      </c>
      <c r="O35" s="670">
        <v>0.59699999999999998</v>
      </c>
      <c r="P35" s="671">
        <v>1.3476196248163121</v>
      </c>
      <c r="Q35" s="672">
        <v>0.55369553464237298</v>
      </c>
      <c r="R35" s="672">
        <v>5.5409168571428573</v>
      </c>
      <c r="S35" s="672">
        <v>0.75</v>
      </c>
      <c r="T35" s="669">
        <v>1.4</v>
      </c>
      <c r="U35" s="667">
        <v>3.8214769999999998</v>
      </c>
      <c r="V35" s="668">
        <v>5.9505787945341553E-2</v>
      </c>
      <c r="W35" s="668">
        <v>0.65139735238495478</v>
      </c>
      <c r="X35" s="670">
        <v>8.909685966970371E-2</v>
      </c>
    </row>
    <row r="36" spans="2:24" hidden="1">
      <c r="B36" s="666" t="s">
        <v>265</v>
      </c>
      <c r="C36" s="667">
        <v>6.6870000000000003</v>
      </c>
      <c r="D36" s="668">
        <v>0</v>
      </c>
      <c r="E36" s="668">
        <v>1.462</v>
      </c>
      <c r="F36" s="670">
        <v>0.29699999999999999</v>
      </c>
      <c r="G36" s="667">
        <v>6.3882000000000003</v>
      </c>
      <c r="H36" s="668">
        <v>3.7117999999999993</v>
      </c>
      <c r="I36" s="668">
        <v>2.3376000000000001</v>
      </c>
      <c r="J36" s="668">
        <v>1.2486477336610067</v>
      </c>
      <c r="K36" s="670">
        <v>2.5081507236915805</v>
      </c>
      <c r="L36" s="667">
        <v>2.2719999999999998</v>
      </c>
      <c r="M36" s="668">
        <v>0.41510967741935484</v>
      </c>
      <c r="N36" s="668">
        <v>0.505</v>
      </c>
      <c r="O36" s="670">
        <v>19.956</v>
      </c>
      <c r="P36" s="667">
        <v>0.38136960705938366</v>
      </c>
      <c r="Q36" s="668">
        <v>0.10938727040690761</v>
      </c>
      <c r="R36" s="668">
        <v>1.6121464285714284</v>
      </c>
      <c r="S36" s="668">
        <v>0.1</v>
      </c>
      <c r="T36" s="670">
        <v>1.32</v>
      </c>
      <c r="U36" s="667">
        <v>4.0999999999999996</v>
      </c>
      <c r="V36" s="668">
        <v>0.28048780487804881</v>
      </c>
      <c r="W36" s="668">
        <v>0.41926829268292681</v>
      </c>
      <c r="X36" s="670">
        <v>0.42975609756097549</v>
      </c>
    </row>
    <row r="37" spans="2:24" hidden="1">
      <c r="B37" s="666" t="s">
        <v>266</v>
      </c>
      <c r="C37" s="667">
        <v>7.5090000000000003</v>
      </c>
      <c r="D37" s="668">
        <v>0.6</v>
      </c>
      <c r="E37" s="668">
        <v>4.9039999999999999</v>
      </c>
      <c r="F37" s="670">
        <v>7.2305999999999995E-2</v>
      </c>
      <c r="G37" s="667">
        <v>3.045798</v>
      </c>
      <c r="H37" s="668">
        <v>11.133202000000001</v>
      </c>
      <c r="I37" s="668">
        <v>1.913</v>
      </c>
      <c r="J37" s="668">
        <v>1.8703710250079524</v>
      </c>
      <c r="K37" s="670">
        <v>3.2791692532333023</v>
      </c>
      <c r="L37" s="667">
        <v>2.9632100000000001</v>
      </c>
      <c r="M37" s="668">
        <v>0.30696451612903231</v>
      </c>
      <c r="N37" s="668">
        <v>0.691222</v>
      </c>
      <c r="O37" s="670">
        <v>1.3009999999999999</v>
      </c>
      <c r="P37" s="667">
        <v>7.3500119203127685</v>
      </c>
      <c r="Q37" s="668">
        <v>4.6339933810973699</v>
      </c>
      <c r="R37" s="668">
        <v>4.4045057142857145</v>
      </c>
      <c r="S37" s="668">
        <v>1.1000000000000001</v>
      </c>
      <c r="T37" s="670">
        <v>1.26</v>
      </c>
      <c r="U37" s="667">
        <v>12.733000000000001</v>
      </c>
      <c r="V37" s="668">
        <v>0.69575119767533178</v>
      </c>
      <c r="W37" s="668">
        <v>0.79140815204586512</v>
      </c>
      <c r="X37" s="670">
        <v>1.2840650278803101E-2</v>
      </c>
    </row>
    <row r="38" spans="2:24" hidden="1">
      <c r="B38" s="666" t="s">
        <v>267</v>
      </c>
      <c r="C38" s="667">
        <v>572.42800000000011</v>
      </c>
      <c r="D38" s="668">
        <v>1.075</v>
      </c>
      <c r="E38" s="668">
        <v>65.239999999999995</v>
      </c>
      <c r="F38" s="670">
        <v>26.085599999999999</v>
      </c>
      <c r="G38" s="667">
        <v>12.563964000000002</v>
      </c>
      <c r="H38" s="668">
        <v>1057.2910360000001</v>
      </c>
      <c r="I38" s="668">
        <v>150</v>
      </c>
      <c r="J38" s="668">
        <v>37.096770377599995</v>
      </c>
      <c r="K38" s="670">
        <v>1486.5481676111108</v>
      </c>
      <c r="L38" s="667">
        <v>16.2</v>
      </c>
      <c r="M38" s="668">
        <v>2.8603225806451613</v>
      </c>
      <c r="N38" s="668">
        <v>5.16</v>
      </c>
      <c r="O38" s="670">
        <v>29</v>
      </c>
      <c r="P38" s="667">
        <v>25.789745245519807</v>
      </c>
      <c r="Q38" s="668">
        <v>10</v>
      </c>
      <c r="R38" s="668">
        <v>49.727112857142849</v>
      </c>
      <c r="S38" s="668">
        <v>19</v>
      </c>
      <c r="T38" s="670">
        <v>13.2</v>
      </c>
      <c r="U38" s="667">
        <v>96.501000000000005</v>
      </c>
      <c r="V38" s="668">
        <v>8.9636376825110615E-3</v>
      </c>
      <c r="W38" s="668">
        <v>6.8395146164288448E-2</v>
      </c>
      <c r="X38" s="670">
        <v>0.62</v>
      </c>
    </row>
    <row r="39" spans="2:24" hidden="1">
      <c r="B39" s="666" t="s">
        <v>1094</v>
      </c>
      <c r="C39" s="667">
        <v>85.23</v>
      </c>
      <c r="D39" s="668">
        <v>4.7</v>
      </c>
      <c r="E39" s="668">
        <v>18.27</v>
      </c>
      <c r="F39" s="670">
        <v>5.2006969999999999</v>
      </c>
      <c r="G39" s="667">
        <v>38.947000000000003</v>
      </c>
      <c r="H39" s="668">
        <v>38.947000000000003</v>
      </c>
      <c r="I39" s="668">
        <v>14.807625</v>
      </c>
      <c r="J39" s="668">
        <v>3.9290357557229689</v>
      </c>
      <c r="K39" s="670">
        <v>111.03192742385076</v>
      </c>
      <c r="L39" s="667">
        <v>4.5478120000000004</v>
      </c>
      <c r="M39" s="668">
        <v>1.0351183225806453</v>
      </c>
      <c r="N39" s="668">
        <v>0.598858</v>
      </c>
      <c r="O39" s="670">
        <v>6.03</v>
      </c>
      <c r="P39" s="667">
        <v>9.2351325573264322</v>
      </c>
      <c r="Q39" s="668">
        <v>3.205633474540543</v>
      </c>
      <c r="R39" s="668">
        <v>19.516097142857141</v>
      </c>
      <c r="S39" s="668">
        <v>2.5</v>
      </c>
      <c r="T39" s="670">
        <v>3.15</v>
      </c>
      <c r="U39" s="667">
        <v>9.3232060000000008</v>
      </c>
      <c r="V39" s="668">
        <v>0.19821507751732612</v>
      </c>
      <c r="W39" s="668">
        <v>0.59836712821748228</v>
      </c>
      <c r="X39" s="670">
        <v>0.30404919723966212</v>
      </c>
    </row>
    <row r="40" spans="2:24" hidden="1">
      <c r="B40" s="666" t="s">
        <v>268</v>
      </c>
      <c r="C40" s="667">
        <v>19.078000000000003</v>
      </c>
      <c r="D40" s="668">
        <v>0</v>
      </c>
      <c r="E40" s="668">
        <v>8.827</v>
      </c>
      <c r="F40" s="670">
        <v>0.28920299999999999</v>
      </c>
      <c r="G40" s="667">
        <v>16.897198499999998</v>
      </c>
      <c r="H40" s="668">
        <v>28.567801500000005</v>
      </c>
      <c r="I40" s="668">
        <v>9.7974920000000001</v>
      </c>
      <c r="J40" s="668">
        <v>2.5973066142379886</v>
      </c>
      <c r="K40" s="670">
        <v>50.67047447001277</v>
      </c>
      <c r="L40" s="667">
        <v>0.642177</v>
      </c>
      <c r="M40" s="668">
        <v>0.7145967741935485</v>
      </c>
      <c r="N40" s="668">
        <v>0.22850000000000001</v>
      </c>
      <c r="O40" s="670">
        <v>0.89700000000000002</v>
      </c>
      <c r="P40" s="667">
        <v>1.3602233795237506</v>
      </c>
      <c r="Q40" s="668">
        <v>0.80139653230215857</v>
      </c>
      <c r="R40" s="668">
        <v>6.5507897142857141</v>
      </c>
      <c r="S40" s="668">
        <v>1.0015500000000011</v>
      </c>
      <c r="T40" s="670">
        <v>0.71399999999999997</v>
      </c>
      <c r="U40" s="667">
        <v>8.7010839999999998</v>
      </c>
      <c r="V40" s="668">
        <v>4.2667098490257072E-2</v>
      </c>
      <c r="W40" s="668">
        <v>0.31286584522112415</v>
      </c>
      <c r="X40" s="670">
        <v>0.35646705628861874</v>
      </c>
    </row>
    <row r="41" spans="2:24" hidden="1">
      <c r="B41" s="666" t="s">
        <v>269</v>
      </c>
      <c r="C41" s="667">
        <v>27.676000000000002</v>
      </c>
      <c r="D41" s="668">
        <v>24.831</v>
      </c>
      <c r="E41" s="668">
        <v>16.469000000000001</v>
      </c>
      <c r="F41" s="670">
        <v>2.5226150000000001</v>
      </c>
      <c r="G41" s="667">
        <v>24.9375</v>
      </c>
      <c r="H41" s="668">
        <v>120.0625</v>
      </c>
      <c r="I41" s="668">
        <v>14</v>
      </c>
      <c r="J41" s="668">
        <v>7.8998915677824124</v>
      </c>
      <c r="K41" s="670">
        <v>252.82868924915826</v>
      </c>
      <c r="L41" s="667">
        <v>1.607</v>
      </c>
      <c r="M41" s="668">
        <v>0.65431935483870973</v>
      </c>
      <c r="N41" s="668">
        <v>0.7</v>
      </c>
      <c r="O41" s="670">
        <v>3.64</v>
      </c>
      <c r="P41" s="667">
        <v>5.6885290373903192</v>
      </c>
      <c r="Q41" s="668">
        <v>1.4</v>
      </c>
      <c r="R41" s="668">
        <v>13.992214285714285</v>
      </c>
      <c r="S41" s="668">
        <v>2</v>
      </c>
      <c r="T41" s="670">
        <v>0.56000000000000005</v>
      </c>
      <c r="U41" s="667">
        <v>10.809244</v>
      </c>
      <c r="V41" s="668">
        <v>4.4350927779963148E-2</v>
      </c>
      <c r="W41" s="668">
        <v>0.16913301244749401</v>
      </c>
      <c r="X41" s="670">
        <v>0.48651605977254275</v>
      </c>
    </row>
    <row r="42" spans="2:24" hidden="1">
      <c r="B42" s="666" t="s">
        <v>1095</v>
      </c>
      <c r="C42" s="667">
        <v>119.869</v>
      </c>
      <c r="D42" s="668">
        <v>0</v>
      </c>
      <c r="E42" s="668">
        <v>48.643999999999998</v>
      </c>
      <c r="F42" s="670">
        <v>1.3551900000000001</v>
      </c>
      <c r="G42" s="667">
        <v>3.6305999999999998</v>
      </c>
      <c r="H42" s="668">
        <v>117.38939999999999</v>
      </c>
      <c r="I42" s="668">
        <v>12.946999999999999</v>
      </c>
      <c r="J42" s="668">
        <v>8.0394552104970316</v>
      </c>
      <c r="K42" s="670">
        <v>17.899767052941129</v>
      </c>
      <c r="L42" s="667">
        <v>5.3999999999999999E-2</v>
      </c>
      <c r="M42" s="668">
        <v>1.8572806451612904</v>
      </c>
      <c r="N42" s="668">
        <v>1.3277539999999999</v>
      </c>
      <c r="O42" s="670">
        <v>0.3</v>
      </c>
      <c r="P42" s="667">
        <v>26.140872746596283</v>
      </c>
      <c r="Q42" s="668">
        <v>21.3</v>
      </c>
      <c r="R42" s="668">
        <v>1.4941251428571427</v>
      </c>
      <c r="S42" s="668">
        <v>5</v>
      </c>
      <c r="T42" s="670">
        <v>0.58799999999999997</v>
      </c>
      <c r="U42" s="667">
        <v>39.185000000000002</v>
      </c>
      <c r="V42" s="668">
        <v>2.6615414061503126E-2</v>
      </c>
      <c r="W42" s="668">
        <v>0.23315044021947173</v>
      </c>
      <c r="X42" s="670">
        <v>0.44523414571902509</v>
      </c>
    </row>
    <row r="43" spans="2:24" hidden="1">
      <c r="B43" s="666" t="s">
        <v>1096</v>
      </c>
      <c r="C43" s="667">
        <v>33.933</v>
      </c>
      <c r="D43" s="668">
        <v>12.579000000000001</v>
      </c>
      <c r="E43" s="668">
        <v>15.439</v>
      </c>
      <c r="F43" s="670">
        <v>1.4509839999999998</v>
      </c>
      <c r="G43" s="667">
        <v>30.501324</v>
      </c>
      <c r="H43" s="668">
        <v>101.38367599999999</v>
      </c>
      <c r="I43" s="668">
        <v>16.524999999999999</v>
      </c>
      <c r="J43" s="668">
        <v>8.1831006677647249</v>
      </c>
      <c r="K43" s="670">
        <v>61.871495494949407</v>
      </c>
      <c r="L43" s="667">
        <v>2.2831000000000006</v>
      </c>
      <c r="M43" s="668">
        <v>2.841086387096774</v>
      </c>
      <c r="N43" s="668">
        <v>0.92088800000000004</v>
      </c>
      <c r="O43" s="670">
        <v>13.81</v>
      </c>
      <c r="P43" s="667">
        <v>4.0844902713487956</v>
      </c>
      <c r="Q43" s="668">
        <v>2.0693723314603845</v>
      </c>
      <c r="R43" s="668">
        <v>11.098310459142859</v>
      </c>
      <c r="S43" s="668">
        <v>1.9</v>
      </c>
      <c r="T43" s="670">
        <v>8.5798199999999998</v>
      </c>
      <c r="U43" s="667">
        <v>19.834667</v>
      </c>
      <c r="V43" s="668">
        <v>4.689768676227335E-2</v>
      </c>
      <c r="W43" s="668">
        <v>1.0245765658682346</v>
      </c>
      <c r="X43" s="670">
        <v>0.17309592341530111</v>
      </c>
    </row>
    <row r="44" spans="2:24" hidden="1">
      <c r="B44" s="666" t="s">
        <v>270</v>
      </c>
      <c r="C44" s="667">
        <v>10.388</v>
      </c>
      <c r="D44" s="668">
        <v>17.617000000000001</v>
      </c>
      <c r="E44" s="668">
        <v>21.138000000000002</v>
      </c>
      <c r="F44" s="670">
        <v>0.30360000000000004</v>
      </c>
      <c r="G44" s="667">
        <v>17.0268525</v>
      </c>
      <c r="H44" s="668">
        <v>123.64314749999998</v>
      </c>
      <c r="I44" s="668">
        <v>8.2298970000000011</v>
      </c>
      <c r="J44" s="668">
        <v>3.44756241571864</v>
      </c>
      <c r="K44" s="670">
        <v>72.581826141087987</v>
      </c>
      <c r="L44" s="667">
        <v>3.1376999999999997</v>
      </c>
      <c r="M44" s="668">
        <v>0.22690322580645164</v>
      </c>
      <c r="N44" s="668">
        <v>6.5000000000000002E-2</v>
      </c>
      <c r="O44" s="670">
        <v>0.43</v>
      </c>
      <c r="P44" s="667">
        <v>16.411678374598907</v>
      </c>
      <c r="Q44" s="668">
        <v>3.9</v>
      </c>
      <c r="R44" s="668">
        <v>11.83619657142857</v>
      </c>
      <c r="S44" s="668">
        <v>1.25</v>
      </c>
      <c r="T44" s="670">
        <v>9.92</v>
      </c>
      <c r="U44" s="667">
        <v>4.9451999999999998</v>
      </c>
      <c r="V44" s="668">
        <v>2.0221629054436625E-4</v>
      </c>
      <c r="W44" s="668">
        <v>5.5811696190245084E-2</v>
      </c>
      <c r="X44" s="670">
        <v>0.55000000000000004</v>
      </c>
    </row>
    <row r="45" spans="2:24" hidden="1">
      <c r="B45" s="666" t="s">
        <v>271</v>
      </c>
      <c r="C45" s="667">
        <v>11.347000000000001</v>
      </c>
      <c r="D45" s="668">
        <v>3.6640000000000001</v>
      </c>
      <c r="E45" s="668">
        <v>25.478999999999999</v>
      </c>
      <c r="F45" s="670">
        <v>0.39609800000000001</v>
      </c>
      <c r="G45" s="667">
        <v>14.847987000000002</v>
      </c>
      <c r="H45" s="668">
        <v>172.24701300000001</v>
      </c>
      <c r="I45" s="668">
        <v>3.714</v>
      </c>
      <c r="J45" s="668">
        <v>6.6239820537823002</v>
      </c>
      <c r="K45" s="670">
        <v>50.19947393562358</v>
      </c>
      <c r="L45" s="667">
        <v>0.252</v>
      </c>
      <c r="M45" s="668">
        <v>0.53606777419354845</v>
      </c>
      <c r="N45" s="668">
        <v>0.17499999999999999</v>
      </c>
      <c r="O45" s="670">
        <v>0</v>
      </c>
      <c r="P45" s="667">
        <v>15.145425161682041</v>
      </c>
      <c r="Q45" s="668">
        <v>3.6</v>
      </c>
      <c r="R45" s="668">
        <v>12.067980642857142</v>
      </c>
      <c r="S45" s="668">
        <v>1.2</v>
      </c>
      <c r="T45" s="670">
        <v>2.67</v>
      </c>
      <c r="U45" s="667">
        <v>21.567599999999999</v>
      </c>
      <c r="V45" s="668">
        <v>8.6704130269478295E-3</v>
      </c>
      <c r="W45" s="668">
        <v>0.34453532150076965</v>
      </c>
      <c r="X45" s="670">
        <v>0.34679426547228248</v>
      </c>
    </row>
    <row r="46" spans="2:24" hidden="1">
      <c r="B46" s="666" t="s">
        <v>563</v>
      </c>
      <c r="C46" s="667">
        <v>31.157000000000004</v>
      </c>
      <c r="D46" s="668">
        <v>0</v>
      </c>
      <c r="E46" s="668">
        <v>49.338000000000001</v>
      </c>
      <c r="F46" s="670">
        <v>0.37038099999999996</v>
      </c>
      <c r="G46" s="667">
        <v>8.0722399999999972</v>
      </c>
      <c r="H46" s="668">
        <v>92.830760000000012</v>
      </c>
      <c r="I46" s="668">
        <v>18.3</v>
      </c>
      <c r="J46" s="668">
        <v>22.081616064000002</v>
      </c>
      <c r="K46" s="670">
        <v>30.145299666292551</v>
      </c>
      <c r="L46" s="667">
        <v>1.72573</v>
      </c>
      <c r="M46" s="668">
        <v>0.76387096774193552</v>
      </c>
      <c r="N46" s="668">
        <v>0.249</v>
      </c>
      <c r="O46" s="670">
        <v>3.47</v>
      </c>
      <c r="P46" s="667">
        <v>55.109291701408431</v>
      </c>
      <c r="Q46" s="668">
        <v>34.431062668910862</v>
      </c>
      <c r="R46" s="668">
        <v>10.086561428571427</v>
      </c>
      <c r="S46" s="668">
        <v>10.755000000000001</v>
      </c>
      <c r="T46" s="670">
        <v>2.4</v>
      </c>
      <c r="U46" s="667">
        <v>77.689080000000004</v>
      </c>
      <c r="V46" s="668">
        <v>5.397858231813274E-2</v>
      </c>
      <c r="W46" s="668">
        <v>0.60627359726746666</v>
      </c>
      <c r="X46" s="670">
        <v>0.1447478204144006</v>
      </c>
    </row>
    <row r="47" spans="2:24" hidden="1">
      <c r="B47" s="666" t="s">
        <v>705</v>
      </c>
      <c r="C47" s="667">
        <v>78.447000000000003</v>
      </c>
      <c r="D47" s="668">
        <v>0.44500000000000001</v>
      </c>
      <c r="E47" s="668">
        <v>61.186</v>
      </c>
      <c r="F47" s="670">
        <v>1.067636</v>
      </c>
      <c r="G47" s="667">
        <v>36.385740000000013</v>
      </c>
      <c r="H47" s="668">
        <v>165.75725999999997</v>
      </c>
      <c r="I47" s="668">
        <v>23.622095999999999</v>
      </c>
      <c r="J47" s="668">
        <v>33.54023840867054</v>
      </c>
      <c r="K47" s="670">
        <v>164.43039057847028</v>
      </c>
      <c r="L47" s="667">
        <v>2.6623999999999999</v>
      </c>
      <c r="M47" s="668">
        <v>0.70969032258064524</v>
      </c>
      <c r="N47" s="668">
        <v>1.452</v>
      </c>
      <c r="O47" s="670">
        <v>5.6760000000000002</v>
      </c>
      <c r="P47" s="667">
        <v>38.03769037988571</v>
      </c>
      <c r="Q47" s="668">
        <v>15.717613600224769</v>
      </c>
      <c r="R47" s="668">
        <v>10.808448964714286</v>
      </c>
      <c r="S47" s="668">
        <v>8.9974499999999988</v>
      </c>
      <c r="T47" s="670">
        <v>2.3940000000000006</v>
      </c>
      <c r="U47" s="667">
        <v>64.816688999999997</v>
      </c>
      <c r="V47" s="668">
        <v>6.0548504398303962E-2</v>
      </c>
      <c r="W47" s="668">
        <v>0.13148902129203174</v>
      </c>
      <c r="X47" s="670">
        <v>0.51896247430966425</v>
      </c>
    </row>
    <row r="48" spans="2:24" hidden="1">
      <c r="B48" s="666" t="s">
        <v>1097</v>
      </c>
      <c r="C48" s="667">
        <v>0</v>
      </c>
      <c r="D48" s="668">
        <v>0</v>
      </c>
      <c r="E48" s="668">
        <v>0.3</v>
      </c>
      <c r="F48" s="670">
        <v>0</v>
      </c>
      <c r="G48" s="667">
        <v>1.05</v>
      </c>
      <c r="H48" s="668">
        <v>1.6559999999999999</v>
      </c>
      <c r="I48" s="668">
        <v>6.88E-2</v>
      </c>
      <c r="J48" s="668">
        <v>0.31530301502999997</v>
      </c>
      <c r="K48" s="670">
        <v>3.3033695657142865</v>
      </c>
      <c r="L48" s="667">
        <v>0</v>
      </c>
      <c r="M48" s="668">
        <v>0</v>
      </c>
      <c r="N48" s="668">
        <v>0</v>
      </c>
      <c r="O48" s="670">
        <v>0</v>
      </c>
      <c r="P48" s="667">
        <v>0</v>
      </c>
      <c r="Q48" s="668">
        <v>0</v>
      </c>
      <c r="R48" s="668">
        <v>1.9467428571428571E-3</v>
      </c>
      <c r="S48" s="668">
        <v>0</v>
      </c>
      <c r="T48" s="670">
        <v>0</v>
      </c>
      <c r="U48" s="667">
        <v>0.43493199999999999</v>
      </c>
      <c r="V48" s="668">
        <v>3.1496049957234692E-2</v>
      </c>
      <c r="W48" s="668">
        <v>4.5984199828938777E-3</v>
      </c>
      <c r="X48" s="670">
        <v>0.55000000000000004</v>
      </c>
    </row>
    <row r="49" spans="1:28" hidden="1">
      <c r="B49" s="666" t="s">
        <v>86</v>
      </c>
      <c r="C49" s="667">
        <v>2.7650000000000001</v>
      </c>
      <c r="D49" s="668">
        <v>0</v>
      </c>
      <c r="E49" s="668">
        <v>1.2649999999999999</v>
      </c>
      <c r="F49" s="670">
        <v>0.23799999999999999</v>
      </c>
      <c r="G49" s="667">
        <v>0</v>
      </c>
      <c r="H49" s="668">
        <v>1.357</v>
      </c>
      <c r="I49" s="668">
        <v>0.59539999999999993</v>
      </c>
      <c r="J49" s="668">
        <v>0.31530301502999997</v>
      </c>
      <c r="K49" s="670">
        <v>1.4425438399999995</v>
      </c>
      <c r="L49" s="667">
        <v>0</v>
      </c>
      <c r="M49" s="668">
        <v>0.13470000000000001</v>
      </c>
      <c r="N49" s="668">
        <v>0.30714400000000003</v>
      </c>
      <c r="O49" s="670">
        <v>0</v>
      </c>
      <c r="P49" s="667">
        <v>0.45666179637949766</v>
      </c>
      <c r="Q49" s="668">
        <v>0.1470176811051081</v>
      </c>
      <c r="R49" s="668">
        <v>7.3002857142857133E-2</v>
      </c>
      <c r="S49" s="668">
        <v>0.09</v>
      </c>
      <c r="T49" s="670">
        <v>0</v>
      </c>
      <c r="U49" s="667">
        <f>11.758</f>
        <v>11.757999999999999</v>
      </c>
      <c r="V49" s="668">
        <v>0.28432946079265181</v>
      </c>
      <c r="W49" s="668">
        <v>0.60935994216703526</v>
      </c>
      <c r="X49" s="670">
        <v>4.5210597040312939E-2</v>
      </c>
    </row>
    <row r="50" spans="1:28" hidden="1">
      <c r="B50" s="666" t="s">
        <v>1098</v>
      </c>
      <c r="C50" s="667">
        <v>0</v>
      </c>
      <c r="D50" s="668">
        <v>0</v>
      </c>
      <c r="E50" s="668">
        <v>0.52</v>
      </c>
      <c r="F50" s="670">
        <v>1.0760000000000001</v>
      </c>
      <c r="G50" s="667">
        <v>0</v>
      </c>
      <c r="H50" s="668">
        <v>1.613</v>
      </c>
      <c r="I50" s="668">
        <v>0.56759999999999999</v>
      </c>
      <c r="J50" s="668">
        <v>0.115611105511</v>
      </c>
      <c r="K50" s="670">
        <v>2.9055557600000008</v>
      </c>
      <c r="L50" s="667">
        <v>1.06</v>
      </c>
      <c r="M50" s="668">
        <v>1.4193548387096772E-2</v>
      </c>
      <c r="N50" s="668">
        <v>0.14886199999999999</v>
      </c>
      <c r="O50" s="670">
        <v>0</v>
      </c>
      <c r="P50" s="667">
        <v>0.50050091537867036</v>
      </c>
      <c r="Q50" s="668">
        <v>0.22802141004722679</v>
      </c>
      <c r="R50" s="668">
        <v>0.42584999999999995</v>
      </c>
      <c r="S50" s="668">
        <v>0.25</v>
      </c>
      <c r="T50" s="670">
        <v>0.94499999999999995</v>
      </c>
      <c r="U50" s="667">
        <v>1.6950000000000001</v>
      </c>
      <c r="V50" s="668">
        <v>0.695575221238938</v>
      </c>
      <c r="W50" s="668">
        <v>0.49675516224188793</v>
      </c>
      <c r="X50" s="670">
        <v>3.7669616519174054E-2</v>
      </c>
    </row>
    <row r="51" spans="1:28" hidden="1">
      <c r="B51" s="666" t="s">
        <v>1099</v>
      </c>
      <c r="C51" s="667">
        <v>3.3290000000000002</v>
      </c>
      <c r="D51" s="668">
        <v>0.123</v>
      </c>
      <c r="E51" s="668">
        <v>1.3939999999999999</v>
      </c>
      <c r="F51" s="670">
        <v>4.1000000000000002E-2</v>
      </c>
      <c r="G51" s="667">
        <v>0</v>
      </c>
      <c r="H51" s="668">
        <v>2.7090000000000001</v>
      </c>
      <c r="I51" s="668">
        <v>0.7</v>
      </c>
      <c r="J51" s="668">
        <v>0.39687610905846138</v>
      </c>
      <c r="K51" s="670">
        <v>1.2573312457142853</v>
      </c>
      <c r="L51" s="667">
        <v>9.2999999999999999E-2</v>
      </c>
      <c r="M51" s="668">
        <v>0.14178925806451617</v>
      </c>
      <c r="N51" s="668">
        <v>0</v>
      </c>
      <c r="O51" s="670">
        <v>0</v>
      </c>
      <c r="P51" s="667">
        <v>1.0088953447103128</v>
      </c>
      <c r="Q51" s="668">
        <v>0.36719405587424186</v>
      </c>
      <c r="R51" s="668">
        <v>0</v>
      </c>
      <c r="S51" s="668">
        <v>0.09</v>
      </c>
      <c r="T51" s="670">
        <v>0</v>
      </c>
      <c r="U51" s="667">
        <v>11.41</v>
      </c>
      <c r="V51" s="668">
        <v>0.31121822962313761</v>
      </c>
      <c r="W51" s="668">
        <v>0.72962313759859776</v>
      </c>
      <c r="X51" s="670">
        <v>6.9158632778264728E-2</v>
      </c>
    </row>
    <row r="52" spans="1:28" hidden="1">
      <c r="B52" s="673" t="s">
        <v>1341</v>
      </c>
      <c r="C52" s="674">
        <v>0</v>
      </c>
      <c r="D52" s="675">
        <v>0</v>
      </c>
      <c r="E52" s="675">
        <v>0</v>
      </c>
      <c r="F52" s="676">
        <v>0</v>
      </c>
      <c r="G52" s="674">
        <v>0</v>
      </c>
      <c r="H52" s="675">
        <v>0</v>
      </c>
      <c r="I52" s="675">
        <v>0</v>
      </c>
      <c r="J52" s="675">
        <v>0</v>
      </c>
      <c r="K52" s="676">
        <v>0</v>
      </c>
      <c r="L52" s="674">
        <v>0</v>
      </c>
      <c r="M52" s="675">
        <v>0</v>
      </c>
      <c r="N52" s="675">
        <v>0</v>
      </c>
      <c r="O52" s="676">
        <v>0</v>
      </c>
      <c r="P52" s="674">
        <v>0</v>
      </c>
      <c r="Q52" s="675">
        <v>0</v>
      </c>
      <c r="R52" s="675">
        <v>0</v>
      </c>
      <c r="S52" s="675">
        <v>0</v>
      </c>
      <c r="T52" s="676">
        <v>0</v>
      </c>
      <c r="U52" s="674">
        <v>0</v>
      </c>
      <c r="V52" s="675">
        <v>0</v>
      </c>
      <c r="W52" s="675">
        <v>0</v>
      </c>
      <c r="X52" s="676">
        <v>0</v>
      </c>
    </row>
    <row r="53" spans="1:28" hidden="1">
      <c r="B53" s="677" t="s">
        <v>278</v>
      </c>
      <c r="C53" s="678">
        <f>SUM(C35:C51)</f>
        <v>1015.3690000000001</v>
      </c>
      <c r="D53" s="648">
        <f t="shared" ref="D53:X53" si="1">SUM(D35:D51)</f>
        <v>70.989000000000004</v>
      </c>
      <c r="E53" s="648">
        <f t="shared" si="1"/>
        <v>345.61899999999997</v>
      </c>
      <c r="F53" s="648">
        <f t="shared" si="1"/>
        <v>45.067446000000004</v>
      </c>
      <c r="G53" s="678">
        <f t="shared" si="1"/>
        <v>233.2503165</v>
      </c>
      <c r="H53" s="648">
        <f t="shared" si="1"/>
        <v>2117.2696834999997</v>
      </c>
      <c r="I53" s="648">
        <f t="shared" si="1"/>
        <v>281.08151400000003</v>
      </c>
      <c r="J53" s="648">
        <f t="shared" si="1"/>
        <v>141.86776450173079</v>
      </c>
      <c r="K53" s="679">
        <f t="shared" si="1"/>
        <v>2358.4377607370002</v>
      </c>
      <c r="L53" s="678">
        <f t="shared" si="1"/>
        <v>41.227129000000005</v>
      </c>
      <c r="M53" s="648">
        <f t="shared" si="1"/>
        <v>13.924911096774194</v>
      </c>
      <c r="N53" s="648">
        <f t="shared" si="1"/>
        <v>12.800915999999999</v>
      </c>
      <c r="O53" s="679">
        <f t="shared" si="1"/>
        <v>85.106999999999999</v>
      </c>
      <c r="P53" s="680">
        <f t="shared" si="1"/>
        <v>208.04813806393742</v>
      </c>
      <c r="Q53" s="656">
        <f t="shared" si="1"/>
        <v>102.46438794061196</v>
      </c>
      <c r="R53" s="656">
        <f t="shared" si="1"/>
        <v>159.2362058095714</v>
      </c>
      <c r="S53" s="656">
        <f t="shared" si="1"/>
        <v>55.984000000000016</v>
      </c>
      <c r="T53" s="654">
        <f t="shared" si="1"/>
        <v>49.100819999999999</v>
      </c>
      <c r="U53" s="678">
        <f t="shared" si="1"/>
        <v>399.32517899999999</v>
      </c>
      <c r="V53" s="648">
        <f t="shared" si="1"/>
        <v>2.8494733104384475</v>
      </c>
      <c r="W53" s="648">
        <f t="shared" si="1"/>
        <v>7.2470082334927692</v>
      </c>
      <c r="X53" s="679">
        <f t="shared" si="1"/>
        <v>5.1795993964787304</v>
      </c>
    </row>
    <row r="54" spans="1:28" hidden="1">
      <c r="E54" s="681"/>
      <c r="G54" s="681"/>
      <c r="H54" s="681"/>
    </row>
    <row r="55" spans="1:28" hidden="1">
      <c r="E55" s="681"/>
    </row>
    <row r="56" spans="1:28" hidden="1">
      <c r="B56" s="613" t="s">
        <v>351</v>
      </c>
      <c r="F56" s="612" t="s">
        <v>349</v>
      </c>
      <c r="I56" s="612" t="s">
        <v>246</v>
      </c>
      <c r="M56" s="612" t="s">
        <v>352</v>
      </c>
      <c r="Q56" s="612" t="s">
        <v>46</v>
      </c>
      <c r="R56" s="613">
        <v>9</v>
      </c>
      <c r="T56" s="612" t="s">
        <v>691</v>
      </c>
      <c r="AB56" s="614" t="s">
        <v>1317</v>
      </c>
    </row>
    <row r="57" spans="1:28" hidden="1">
      <c r="E57" s="613" t="s">
        <v>449</v>
      </c>
      <c r="F57" s="613" t="s">
        <v>348</v>
      </c>
      <c r="G57" s="613" t="s">
        <v>403</v>
      </c>
      <c r="H57" s="613" t="s">
        <v>284</v>
      </c>
      <c r="I57" s="613" t="s">
        <v>245</v>
      </c>
      <c r="J57" s="613" t="s">
        <v>243</v>
      </c>
      <c r="K57" s="613" t="s">
        <v>244</v>
      </c>
      <c r="M57" s="613" t="s">
        <v>245</v>
      </c>
      <c r="N57" s="613" t="s">
        <v>243</v>
      </c>
      <c r="O57" s="613" t="s">
        <v>244</v>
      </c>
      <c r="R57" s="613" t="s">
        <v>283</v>
      </c>
      <c r="U57" s="613" t="s">
        <v>243</v>
      </c>
      <c r="V57" s="613" t="s">
        <v>244</v>
      </c>
      <c r="X57" s="613" t="s">
        <v>279</v>
      </c>
      <c r="Z57" s="613" t="s">
        <v>280</v>
      </c>
      <c r="AB57" s="614" t="s">
        <v>403</v>
      </c>
    </row>
    <row r="58" spans="1:28" hidden="1">
      <c r="A58" s="613">
        <v>2</v>
      </c>
      <c r="B58" s="613" t="str">
        <f>LEFT(C58,3)</f>
        <v>IIS</v>
      </c>
      <c r="C58" s="613" t="s">
        <v>213</v>
      </c>
      <c r="D58" s="613" t="s">
        <v>261</v>
      </c>
      <c r="E58" s="613" t="s">
        <v>961</v>
      </c>
      <c r="F58" s="682">
        <f t="shared" ref="F58:F70" si="2">INDEX($D$28:$P$28,A58-1)</f>
        <v>12.071078572674418</v>
      </c>
      <c r="G58" s="683">
        <f>INDEX($D$29:$P$29,A58-1)*(F58/INDEX($D$27:$P$27,A58-1))^0.2</f>
        <v>1.325594600707408</v>
      </c>
      <c r="H58" s="684">
        <f t="shared" ref="H58:H76" si="3">INDEX($C$35:$X$52,RegIndex,$A58-1)</f>
        <v>0</v>
      </c>
      <c r="I58" s="771">
        <v>0.65</v>
      </c>
      <c r="J58" s="764">
        <f ca="1">(G58-F58*I58*Calibration2!C9)/(F58*Calibration2!C$14)</f>
        <v>0.12201750496505731</v>
      </c>
      <c r="K58" s="771">
        <f t="shared" ref="K58:K82" si="4">1-J58-I58</f>
        <v>0.22798249503494261</v>
      </c>
      <c r="M58" s="687">
        <f t="shared" ref="M58:O82" si="5">$H58*$F58*I58</f>
        <v>0</v>
      </c>
      <c r="N58" s="641">
        <f t="shared" si="5"/>
        <v>0</v>
      </c>
      <c r="O58" s="688">
        <f t="shared" si="5"/>
        <v>0</v>
      </c>
      <c r="Q58" s="623" t="s">
        <v>961</v>
      </c>
      <c r="R58" s="689">
        <f t="shared" ref="R58:R92" si="6">VLOOKUP(Q58,$E$58:$M$93,R$56,FALSE)</f>
        <v>0</v>
      </c>
      <c r="T58" s="613" t="s">
        <v>961</v>
      </c>
      <c r="U58" s="772">
        <f t="shared" ref="U58:V61" si="7">IF(N58,N58/SUMIF($B$58:$B$76,LEFT($T58,3),N$58:N$76),0)</f>
        <v>0</v>
      </c>
      <c r="V58" s="773">
        <f t="shared" si="7"/>
        <v>0</v>
      </c>
      <c r="X58" s="613">
        <v>4.2</v>
      </c>
      <c r="Y58" s="613">
        <v>1.74</v>
      </c>
      <c r="AB58" s="692">
        <f ca="1">F58*(I58*Calibration2!C9+J58*Calibration2!C$14)</f>
        <v>1.325594600707408</v>
      </c>
    </row>
    <row r="59" spans="1:28" hidden="1">
      <c r="A59" s="613">
        <f>A58+1</f>
        <v>3</v>
      </c>
      <c r="B59" s="613" t="str">
        <f t="shared" ref="B59:B83" si="8">LEFT(C59,3)</f>
        <v>IIS</v>
      </c>
      <c r="C59" s="613" t="s">
        <v>367</v>
      </c>
      <c r="D59" s="613" t="s">
        <v>262</v>
      </c>
      <c r="E59" s="613" t="s">
        <v>368</v>
      </c>
      <c r="F59" s="682">
        <f t="shared" si="2"/>
        <v>16.600000000000001</v>
      </c>
      <c r="G59" s="683">
        <f>INDEX($D$29:$P$29,A59-1)*SQRT(F59/INDEX($D$27:$P$27,A59-1))</f>
        <v>3.3</v>
      </c>
      <c r="H59" s="684">
        <f t="shared" si="3"/>
        <v>0</v>
      </c>
      <c r="I59" s="771">
        <v>0.8</v>
      </c>
      <c r="J59" s="764">
        <f ca="1">(G59-F59*I59*Calibration2!C10)/(F59*Calibration2!C$14)</f>
        <v>0.13199464524765725</v>
      </c>
      <c r="K59" s="771">
        <f t="shared" si="4"/>
        <v>6.8005354752342706E-2</v>
      </c>
      <c r="M59" s="687">
        <f t="shared" si="5"/>
        <v>0</v>
      </c>
      <c r="N59" s="641">
        <f t="shared" si="5"/>
        <v>0</v>
      </c>
      <c r="O59" s="688">
        <f t="shared" si="5"/>
        <v>0</v>
      </c>
      <c r="Q59" s="623" t="s">
        <v>368</v>
      </c>
      <c r="R59" s="689">
        <f t="shared" si="6"/>
        <v>0</v>
      </c>
      <c r="T59" s="613" t="s">
        <v>368</v>
      </c>
      <c r="U59" s="772">
        <f t="shared" si="7"/>
        <v>0</v>
      </c>
      <c r="V59" s="773">
        <f t="shared" si="7"/>
        <v>0</v>
      </c>
      <c r="X59" s="613">
        <v>12.4</v>
      </c>
      <c r="Y59" s="613">
        <f>8.36+1.483</f>
        <v>9.843</v>
      </c>
      <c r="AB59" s="692">
        <f ca="1">F59*(I59*Calibration2!C10+J59*Calibration2!C$14)</f>
        <v>3.3</v>
      </c>
    </row>
    <row r="60" spans="1:28" hidden="1">
      <c r="A60" s="613">
        <f t="shared" ref="A60:A81" si="9">A59+1</f>
        <v>4</v>
      </c>
      <c r="B60" s="613" t="str">
        <f t="shared" si="8"/>
        <v>IIS</v>
      </c>
      <c r="C60" s="613" t="s">
        <v>365</v>
      </c>
      <c r="D60" s="613" t="s">
        <v>263</v>
      </c>
      <c r="E60" s="613" t="s">
        <v>366</v>
      </c>
      <c r="F60" s="682">
        <f t="shared" si="2"/>
        <v>5</v>
      </c>
      <c r="G60" s="683">
        <f>INDEX($D$29:$P$29,A60-1)*SQRT(F60/INDEX($D$27:$P$27,A60-1))</f>
        <v>3.06</v>
      </c>
      <c r="H60" s="684">
        <f t="shared" si="3"/>
        <v>0</v>
      </c>
      <c r="I60" s="771">
        <v>0.5</v>
      </c>
      <c r="J60" s="764">
        <f ca="1">(G60-F60*I60*Calibration2!C11)/(F60*Calibration2!C$14)</f>
        <v>0.40222222222222226</v>
      </c>
      <c r="K60" s="771">
        <f t="shared" si="4"/>
        <v>9.7777777777777741E-2</v>
      </c>
      <c r="M60" s="687">
        <f t="shared" si="5"/>
        <v>0</v>
      </c>
      <c r="N60" s="641">
        <f t="shared" si="5"/>
        <v>0</v>
      </c>
      <c r="O60" s="688">
        <f t="shared" si="5"/>
        <v>0</v>
      </c>
      <c r="Q60" s="623" t="s">
        <v>366</v>
      </c>
      <c r="R60" s="689">
        <f t="shared" si="6"/>
        <v>0</v>
      </c>
      <c r="T60" s="613" t="s">
        <v>366</v>
      </c>
      <c r="U60" s="772">
        <f t="shared" si="7"/>
        <v>0</v>
      </c>
      <c r="V60" s="773">
        <f t="shared" si="7"/>
        <v>0</v>
      </c>
      <c r="X60" s="613">
        <v>3</v>
      </c>
      <c r="Y60" s="613">
        <v>1.2889999999999999</v>
      </c>
      <c r="AB60" s="692">
        <f ca="1">F60*(I60*Calibration2!C11+J60*Calibration2!C$14)</f>
        <v>3.0600000000000005</v>
      </c>
    </row>
    <row r="61" spans="1:28" hidden="1">
      <c r="A61" s="613">
        <f>A60+1</f>
        <v>5</v>
      </c>
      <c r="B61" s="613" t="str">
        <f t="shared" si="8"/>
        <v>IIS</v>
      </c>
      <c r="C61" s="613" t="s">
        <v>409</v>
      </c>
      <c r="D61" s="613" t="s">
        <v>408</v>
      </c>
      <c r="E61" s="613" t="s">
        <v>410</v>
      </c>
      <c r="F61" s="682">
        <f t="shared" si="2"/>
        <v>32.6</v>
      </c>
      <c r="G61" s="683">
        <f>INDEX($D$29:$P$29,A61-1)/INDEX($D$27:$P$27,A61-1)*F61</f>
        <v>11.879999999999999</v>
      </c>
      <c r="H61" s="684">
        <f t="shared" si="3"/>
        <v>0</v>
      </c>
      <c r="I61" s="771">
        <v>0.85</v>
      </c>
      <c r="J61" s="764">
        <f ca="1">(G61-F61*I61*Calibration2!C12)/(F61*Calibration2!C$14)</f>
        <v>2.7130197682344835E-2</v>
      </c>
      <c r="K61" s="771">
        <f>1-J61-I61</f>
        <v>0.12286980231765521</v>
      </c>
      <c r="M61" s="687">
        <f t="shared" si="5"/>
        <v>0</v>
      </c>
      <c r="N61" s="641">
        <f t="shared" si="5"/>
        <v>0</v>
      </c>
      <c r="O61" s="688">
        <f t="shared" si="5"/>
        <v>0</v>
      </c>
      <c r="Q61" s="623" t="s">
        <v>410</v>
      </c>
      <c r="R61" s="689">
        <f t="shared" si="6"/>
        <v>0</v>
      </c>
      <c r="T61" s="613" t="s">
        <v>410</v>
      </c>
      <c r="U61" s="772">
        <f t="shared" si="7"/>
        <v>0</v>
      </c>
      <c r="V61" s="773">
        <f t="shared" si="7"/>
        <v>0</v>
      </c>
      <c r="AB61" s="692">
        <f ca="1">F61*(I61*Calibration2!C12+J61*Calibration2!C$14)</f>
        <v>11.879999999999999</v>
      </c>
    </row>
    <row r="62" spans="1:28" hidden="1">
      <c r="B62" s="613" t="str">
        <f t="shared" si="8"/>
        <v>IIS</v>
      </c>
      <c r="C62" s="613" t="s">
        <v>1285</v>
      </c>
      <c r="D62" s="613" t="s">
        <v>560</v>
      </c>
      <c r="E62" s="613" t="s">
        <v>1286</v>
      </c>
      <c r="F62" s="693">
        <f ca="1">MAX(G62,Calibration2!T57-SUM(M58:O61))</f>
        <v>0.14398557480149302</v>
      </c>
      <c r="G62" s="694">
        <f ca="1">MAX(0,IEAData2!B28-SUMPRODUCT(H58:H61,F58:F61,I58:I61*Calibration2!C9:C12+J58:J61*Calibration2!C14))</f>
        <v>7.286781894794557E-2</v>
      </c>
      <c r="H62" s="684">
        <v>1</v>
      </c>
      <c r="I62" s="774">
        <f ca="1">IF(F62&gt;0,MIN(1-J62,(G62-F62*J62*Calibration2!C14)/Calibration2!C13/F62),0)</f>
        <v>0.36412059474659425</v>
      </c>
      <c r="J62" s="775">
        <f ca="1">IF(F62&gt;0,(G62/F62)^1.5,1)</f>
        <v>0.36001879930943126</v>
      </c>
      <c r="K62" s="771">
        <f>1-J62-I62</f>
        <v>0.27586060594397449</v>
      </c>
      <c r="M62" s="687">
        <f>$H62*$F62*I62</f>
        <v>5.242811313164987E-2</v>
      </c>
      <c r="N62" s="641">
        <f>$H62*$F62*J62</f>
        <v>5.1837513757911818E-2</v>
      </c>
      <c r="O62" s="688">
        <f>$H62*$F62*K62</f>
        <v>3.9719947911931328E-2</v>
      </c>
      <c r="Q62" s="623" t="s">
        <v>1286</v>
      </c>
      <c r="R62" s="689">
        <f t="shared" si="6"/>
        <v>5.242811313164987E-2</v>
      </c>
      <c r="T62" s="613" t="s">
        <v>1286</v>
      </c>
      <c r="U62" s="772">
        <f>IF(N62,N62/SUMIF($B$58:$B$76,LEFT($T62,3),N$58:N$76),0)</f>
        <v>1</v>
      </c>
      <c r="V62" s="773">
        <f>IF(O62,O62/SUMIF($B$58:$B$76,LEFT($T62,3),O$58:O$76),0)</f>
        <v>1</v>
      </c>
      <c r="AB62" s="692"/>
    </row>
    <row r="63" spans="1:28" hidden="1">
      <c r="A63" s="613">
        <f>A61+1</f>
        <v>6</v>
      </c>
      <c r="B63" s="613" t="str">
        <f t="shared" si="8"/>
        <v>INM</v>
      </c>
      <c r="C63" s="613" t="s">
        <v>215</v>
      </c>
      <c r="D63" s="613" t="s">
        <v>214</v>
      </c>
      <c r="E63" s="613" t="s">
        <v>964</v>
      </c>
      <c r="F63" s="682">
        <f t="shared" si="2"/>
        <v>5.6040000000000001</v>
      </c>
      <c r="G63" s="697">
        <f t="shared" ref="G63:G70" si="10">INDEX($D$29:$P$29,A63-1)</f>
        <v>0.52200000000000002</v>
      </c>
      <c r="H63" s="684">
        <f t="shared" si="3"/>
        <v>0</v>
      </c>
      <c r="I63" s="771">
        <v>0.87</v>
      </c>
      <c r="J63" s="764">
        <f ca="1">(G63-F63*I63*Calibration2!C16)/(F63*Calibration2!C$21)</f>
        <v>9.7028907922912216E-2</v>
      </c>
      <c r="K63" s="771">
        <f t="shared" si="4"/>
        <v>3.2971092077087816E-2</v>
      </c>
      <c r="M63" s="687">
        <f t="shared" si="5"/>
        <v>0</v>
      </c>
      <c r="N63" s="641">
        <f t="shared" si="5"/>
        <v>0</v>
      </c>
      <c r="O63" s="688">
        <f t="shared" si="5"/>
        <v>0</v>
      </c>
      <c r="Q63" s="623" t="s">
        <v>962</v>
      </c>
      <c r="R63" s="689">
        <f t="shared" si="6"/>
        <v>5.1837513757911818E-2</v>
      </c>
      <c r="T63" s="613" t="s">
        <v>964</v>
      </c>
      <c r="U63" s="772">
        <f t="shared" ref="U63:V67" si="11">N63/SUMIF($B$58:$B$76,LEFT($T63,3),N$58:N$76)</f>
        <v>0</v>
      </c>
      <c r="V63" s="773">
        <f t="shared" si="11"/>
        <v>0</v>
      </c>
      <c r="X63" s="613">
        <v>5</v>
      </c>
      <c r="Y63" s="613">
        <v>5.8</v>
      </c>
      <c r="AB63" s="692">
        <f ca="1">F63*(I63*Calibration2!C16+J63*Calibration2!C$21)</f>
        <v>0.52200000000000002</v>
      </c>
    </row>
    <row r="64" spans="1:28" hidden="1">
      <c r="A64" s="613">
        <f>A63+1</f>
        <v>7</v>
      </c>
      <c r="B64" s="613" t="str">
        <f t="shared" si="8"/>
        <v>INM</v>
      </c>
      <c r="C64" s="613" t="s">
        <v>217</v>
      </c>
      <c r="D64" s="613" t="s">
        <v>216</v>
      </c>
      <c r="E64" s="613" t="s">
        <v>965</v>
      </c>
      <c r="F64" s="682">
        <f t="shared" si="2"/>
        <v>3.504</v>
      </c>
      <c r="G64" s="697">
        <f t="shared" si="10"/>
        <v>0.52200000000000002</v>
      </c>
      <c r="H64" s="684">
        <f t="shared" si="3"/>
        <v>0</v>
      </c>
      <c r="I64" s="771">
        <v>0.82</v>
      </c>
      <c r="J64" s="764">
        <f ca="1">(G64-F64*I64*Calibration2!C17)/(F64*Calibration2!C$21)</f>
        <v>0.15517979452054798</v>
      </c>
      <c r="K64" s="771">
        <f t="shared" si="4"/>
        <v>2.4820205479452073E-2</v>
      </c>
      <c r="M64" s="687">
        <f t="shared" si="5"/>
        <v>0</v>
      </c>
      <c r="N64" s="641">
        <f t="shared" si="5"/>
        <v>0</v>
      </c>
      <c r="O64" s="688">
        <f t="shared" si="5"/>
        <v>0</v>
      </c>
      <c r="Q64" s="623" t="s">
        <v>963</v>
      </c>
      <c r="R64" s="689">
        <f t="shared" si="6"/>
        <v>3.9719947911931328E-2</v>
      </c>
      <c r="T64" s="613" t="s">
        <v>965</v>
      </c>
      <c r="U64" s="772">
        <f t="shared" si="11"/>
        <v>0</v>
      </c>
      <c r="V64" s="773">
        <f t="shared" si="11"/>
        <v>0</v>
      </c>
      <c r="X64" s="613">
        <v>3</v>
      </c>
      <c r="Y64" s="613">
        <v>3.7</v>
      </c>
      <c r="Z64" s="613">
        <v>3.2</v>
      </c>
      <c r="AB64" s="692">
        <f ca="1">F64*(I64*Calibration2!C17+J64*Calibration2!C$21)</f>
        <v>0.52200000000000002</v>
      </c>
    </row>
    <row r="65" spans="1:28" hidden="1">
      <c r="A65" s="613">
        <f t="shared" si="9"/>
        <v>8</v>
      </c>
      <c r="B65" s="613" t="str">
        <f t="shared" si="8"/>
        <v>INM</v>
      </c>
      <c r="C65" s="613" t="s">
        <v>411</v>
      </c>
      <c r="D65" s="613" t="s">
        <v>413</v>
      </c>
      <c r="E65" s="613" t="s">
        <v>412</v>
      </c>
      <c r="F65" s="682">
        <f t="shared" si="2"/>
        <v>4.67</v>
      </c>
      <c r="G65" s="697">
        <f t="shared" si="10"/>
        <v>0.27</v>
      </c>
      <c r="H65" s="684">
        <f t="shared" si="3"/>
        <v>0</v>
      </c>
      <c r="I65" s="771">
        <v>0.9</v>
      </c>
      <c r="J65" s="764">
        <f ca="1">(G65-F65*I65*Calibration2!C18)/(F65*Calibration2!C$21)</f>
        <v>6.0224839400428269E-2</v>
      </c>
      <c r="K65" s="771">
        <f t="shared" si="4"/>
        <v>3.9775160599571757E-2</v>
      </c>
      <c r="M65" s="687">
        <f t="shared" si="5"/>
        <v>0</v>
      </c>
      <c r="N65" s="641">
        <f t="shared" si="5"/>
        <v>0</v>
      </c>
      <c r="O65" s="688">
        <f t="shared" si="5"/>
        <v>0</v>
      </c>
      <c r="Q65" s="623" t="s">
        <v>964</v>
      </c>
      <c r="R65" s="689">
        <f t="shared" si="6"/>
        <v>0</v>
      </c>
      <c r="T65" s="613" t="s">
        <v>412</v>
      </c>
      <c r="U65" s="772">
        <f t="shared" si="11"/>
        <v>0</v>
      </c>
      <c r="V65" s="773">
        <f t="shared" si="11"/>
        <v>0</v>
      </c>
      <c r="AB65" s="692"/>
    </row>
    <row r="66" spans="1:28" hidden="1">
      <c r="A66" s="613">
        <f t="shared" si="9"/>
        <v>9</v>
      </c>
      <c r="B66" s="613" t="str">
        <f t="shared" si="8"/>
        <v>INM</v>
      </c>
      <c r="C66" s="613" t="s">
        <v>361</v>
      </c>
      <c r="D66" s="613" t="s">
        <v>218</v>
      </c>
      <c r="E66" s="613" t="s">
        <v>362</v>
      </c>
      <c r="F66" s="682">
        <f t="shared" si="2"/>
        <v>4.99</v>
      </c>
      <c r="G66" s="697">
        <f t="shared" si="10"/>
        <v>1.0975000000000001</v>
      </c>
      <c r="H66" s="684">
        <f t="shared" si="3"/>
        <v>0</v>
      </c>
      <c r="I66" s="771">
        <v>0.8</v>
      </c>
      <c r="J66" s="764">
        <f ca="1">(G66-F66*I66*Calibration2!C19)/(F66*Calibration2!C$21)</f>
        <v>7.9104041416165671E-2</v>
      </c>
      <c r="K66" s="771">
        <f t="shared" si="4"/>
        <v>0.12089595858383428</v>
      </c>
      <c r="M66" s="687">
        <f t="shared" si="5"/>
        <v>0</v>
      </c>
      <c r="N66" s="641">
        <f t="shared" si="5"/>
        <v>0</v>
      </c>
      <c r="O66" s="688">
        <f t="shared" si="5"/>
        <v>0</v>
      </c>
      <c r="Q66" s="623" t="s">
        <v>965</v>
      </c>
      <c r="R66" s="689">
        <f t="shared" si="6"/>
        <v>0</v>
      </c>
      <c r="T66" s="613" t="s">
        <v>362</v>
      </c>
      <c r="U66" s="772">
        <f t="shared" si="11"/>
        <v>0</v>
      </c>
      <c r="V66" s="773">
        <f t="shared" si="11"/>
        <v>0</v>
      </c>
      <c r="X66" s="613">
        <v>3.5</v>
      </c>
      <c r="Y66" s="613">
        <v>5.75</v>
      </c>
      <c r="Z66" s="613" t="s">
        <v>281</v>
      </c>
      <c r="AB66" s="692">
        <f ca="1">F66*(I66*Calibration2!C19+J66*Calibration2!C$21)</f>
        <v>1.0975000000000001</v>
      </c>
    </row>
    <row r="67" spans="1:28" hidden="1">
      <c r="A67" s="613">
        <f t="shared" si="9"/>
        <v>10</v>
      </c>
      <c r="B67" s="613" t="str">
        <f t="shared" si="8"/>
        <v>INM</v>
      </c>
      <c r="C67" s="613" t="s">
        <v>363</v>
      </c>
      <c r="D67" s="613" t="s">
        <v>219</v>
      </c>
      <c r="E67" s="613" t="s">
        <v>364</v>
      </c>
      <c r="F67" s="693">
        <f ca="1">MAX(G67,Calibration2!T58-SUM(M63:O66))</f>
        <v>0.6831369398165853</v>
      </c>
      <c r="G67" s="694">
        <f ca="1">MAX(0,IEAData2!B32-SUMPRODUCT(H63:H66,F63:F66,I63:I66*Calibration2!C16:C19+J63:J66*Calibration2!C21))</f>
        <v>0.18568245875165196</v>
      </c>
      <c r="H67" s="684">
        <v>1</v>
      </c>
      <c r="I67" s="774">
        <f ca="1">IF(F67&gt;0,MIN(1-J67,(G67-F67*J67*Calibration2!C21)/Calibration2!C20/F67),0)</f>
        <v>0.54307509823728373</v>
      </c>
      <c r="J67" s="775">
        <f ca="1">IF(F67&gt;0,(G67/F67)^1.5,1)</f>
        <v>0.14170809589299016</v>
      </c>
      <c r="K67" s="771">
        <f t="shared" si="4"/>
        <v>0.31521680586972611</v>
      </c>
      <c r="M67" s="687">
        <f t="shared" si="5"/>
        <v>0.37099466070040943</v>
      </c>
      <c r="N67" s="641">
        <f t="shared" si="5"/>
        <v>9.6806034975572511E-2</v>
      </c>
      <c r="O67" s="688">
        <f t="shared" si="5"/>
        <v>0.21533624414060334</v>
      </c>
      <c r="Q67" s="623" t="s">
        <v>412</v>
      </c>
      <c r="R67" s="689">
        <f t="shared" si="6"/>
        <v>0</v>
      </c>
      <c r="T67" s="613" t="s">
        <v>364</v>
      </c>
      <c r="U67" s="772">
        <f t="shared" si="11"/>
        <v>1</v>
      </c>
      <c r="V67" s="773">
        <f t="shared" si="11"/>
        <v>1</v>
      </c>
      <c r="X67" s="613">
        <v>1.1000000000000001</v>
      </c>
      <c r="Y67" s="613">
        <v>2.2999999999999998</v>
      </c>
      <c r="AB67" s="692">
        <f ca="1">F67*(I67*Calibration2!C20+J67*Calibration2!C$21)</f>
        <v>0.18568245875165199</v>
      </c>
    </row>
    <row r="68" spans="1:28" hidden="1">
      <c r="A68" s="613">
        <f t="shared" si="9"/>
        <v>11</v>
      </c>
      <c r="B68" s="613" t="str">
        <f t="shared" si="8"/>
        <v>INF</v>
      </c>
      <c r="C68" s="613" t="s">
        <v>221</v>
      </c>
      <c r="D68" s="613" t="s">
        <v>220</v>
      </c>
      <c r="E68" s="613" t="s">
        <v>259</v>
      </c>
      <c r="F68" s="682">
        <f t="shared" si="2"/>
        <v>80.601600000000005</v>
      </c>
      <c r="G68" s="697">
        <f t="shared" si="10"/>
        <v>59.04</v>
      </c>
      <c r="H68" s="684">
        <f t="shared" si="3"/>
        <v>0</v>
      </c>
      <c r="I68" s="771">
        <v>0.8</v>
      </c>
      <c r="J68" s="764">
        <f ca="1">MIN(1-I68,(G68-F68*I68*Calibration2!C23)/(F68*Calibration2!C$27))</f>
        <v>9.5352229584043297E-2</v>
      </c>
      <c r="K68" s="771">
        <f>1-J68-I68</f>
        <v>0.10464777041595663</v>
      </c>
      <c r="M68" s="687">
        <f t="shared" si="5"/>
        <v>0</v>
      </c>
      <c r="N68" s="641">
        <f t="shared" si="5"/>
        <v>0</v>
      </c>
      <c r="O68" s="688">
        <f t="shared" si="5"/>
        <v>0</v>
      </c>
      <c r="Q68" s="623" t="s">
        <v>362</v>
      </c>
      <c r="R68" s="689">
        <f t="shared" si="6"/>
        <v>0</v>
      </c>
      <c r="T68" s="613" t="s">
        <v>259</v>
      </c>
      <c r="U68" s="772">
        <f t="shared" ref="U68:V71" si="12">IF(N68,N68/SUMIF($B$58:$B$76,LEFT($T68,3),N$58:N$76),0)</f>
        <v>0</v>
      </c>
      <c r="V68" s="773">
        <f t="shared" si="12"/>
        <v>0</v>
      </c>
      <c r="X68" s="613">
        <v>53</v>
      </c>
      <c r="Y68" s="613">
        <f>15000*3.6/1000</f>
        <v>54</v>
      </c>
      <c r="AB68" s="613">
        <f ca="1">F68*(I68*Calibration2!C23+J68*Calibration2!C$27)</f>
        <v>59.04</v>
      </c>
    </row>
    <row r="69" spans="1:28" hidden="1">
      <c r="A69" s="613">
        <f t="shared" si="9"/>
        <v>12</v>
      </c>
      <c r="B69" s="613" t="str">
        <f t="shared" si="8"/>
        <v>INF</v>
      </c>
      <c r="C69" s="613" t="s">
        <v>369</v>
      </c>
      <c r="D69" s="613" t="s">
        <v>222</v>
      </c>
      <c r="E69" s="613" t="s">
        <v>370</v>
      </c>
      <c r="F69" s="682">
        <f t="shared" si="2"/>
        <v>25.1</v>
      </c>
      <c r="G69" s="697">
        <f t="shared" si="10"/>
        <v>10.8</v>
      </c>
      <c r="H69" s="684">
        <f t="shared" si="3"/>
        <v>0</v>
      </c>
      <c r="I69" s="771">
        <v>0.67</v>
      </c>
      <c r="J69" s="764">
        <f ca="1">(G69-F69*I69*Calibration2!C24)/(F69*Calibration2!C$27)</f>
        <v>6.3689571610465248E-2</v>
      </c>
      <c r="K69" s="771">
        <f t="shared" si="4"/>
        <v>0.26631042838953467</v>
      </c>
      <c r="M69" s="687">
        <f t="shared" si="5"/>
        <v>0</v>
      </c>
      <c r="N69" s="641">
        <f t="shared" si="5"/>
        <v>0</v>
      </c>
      <c r="O69" s="688">
        <f t="shared" si="5"/>
        <v>0</v>
      </c>
      <c r="Q69" s="623" t="s">
        <v>364</v>
      </c>
      <c r="R69" s="689">
        <f t="shared" si="6"/>
        <v>0.37099466070040943</v>
      </c>
      <c r="T69" s="613" t="s">
        <v>370</v>
      </c>
      <c r="U69" s="772">
        <f t="shared" si="12"/>
        <v>0</v>
      </c>
      <c r="V69" s="773">
        <f t="shared" si="12"/>
        <v>0</v>
      </c>
      <c r="X69" s="613">
        <v>14</v>
      </c>
      <c r="Y69" s="613">
        <f>14.3+21.6</f>
        <v>35.900000000000006</v>
      </c>
      <c r="AB69" s="613">
        <f ca="1">F69*(I69*Calibration2!C24+J69*Calibration2!C$27)</f>
        <v>10.799999999999999</v>
      </c>
    </row>
    <row r="70" spans="1:28" hidden="1">
      <c r="A70" s="613">
        <f t="shared" si="9"/>
        <v>13</v>
      </c>
      <c r="B70" s="613" t="str">
        <f t="shared" si="8"/>
        <v>INF</v>
      </c>
      <c r="C70" s="613" t="s">
        <v>404</v>
      </c>
      <c r="D70" s="613" t="s">
        <v>407</v>
      </c>
      <c r="E70" s="613" t="s">
        <v>417</v>
      </c>
      <c r="F70" s="682">
        <f t="shared" si="2"/>
        <v>18.399999999999999</v>
      </c>
      <c r="G70" s="697">
        <f t="shared" si="10"/>
        <v>14.4</v>
      </c>
      <c r="H70" s="684">
        <f t="shared" si="3"/>
        <v>0</v>
      </c>
      <c r="I70" s="771">
        <v>0.75</v>
      </c>
      <c r="J70" s="764">
        <f ca="1">(G70-F70*I70*Calibration2!C25)/(F70*Calibration2!C$27)</f>
        <v>0.11093679964141644</v>
      </c>
      <c r="K70" s="771">
        <f t="shared" si="4"/>
        <v>0.13906320035858355</v>
      </c>
      <c r="M70" s="687">
        <f t="shared" si="5"/>
        <v>0</v>
      </c>
      <c r="N70" s="641">
        <f t="shared" si="5"/>
        <v>0</v>
      </c>
      <c r="O70" s="688">
        <f t="shared" si="5"/>
        <v>0</v>
      </c>
      <c r="Q70" s="623" t="s">
        <v>966</v>
      </c>
      <c r="R70" s="689">
        <f t="shared" si="6"/>
        <v>9.6806034975572511E-2</v>
      </c>
      <c r="T70" s="613" t="s">
        <v>417</v>
      </c>
      <c r="U70" s="772">
        <f t="shared" si="12"/>
        <v>0</v>
      </c>
      <c r="V70" s="773">
        <f t="shared" si="12"/>
        <v>0</v>
      </c>
      <c r="Y70" s="698">
        <f>50*100/175</f>
        <v>28.571428571428573</v>
      </c>
      <c r="Z70" s="613" t="s">
        <v>282</v>
      </c>
      <c r="AB70" s="613">
        <f ca="1">F70*(I70*Calibration2!C25+J70*Calibration2!C$27)</f>
        <v>14.4</v>
      </c>
    </row>
    <row r="71" spans="1:28" hidden="1">
      <c r="A71" s="613">
        <f t="shared" si="9"/>
        <v>14</v>
      </c>
      <c r="B71" s="613" t="str">
        <f t="shared" si="8"/>
        <v>INF</v>
      </c>
      <c r="C71" s="613" t="s">
        <v>405</v>
      </c>
      <c r="D71" s="613" t="s">
        <v>406</v>
      </c>
      <c r="E71" s="613" t="s">
        <v>418</v>
      </c>
      <c r="F71" s="693">
        <f ca="1">MAX(G71,Calibration2!T59-SUM(M68:O70))</f>
        <v>0.12041717323264828</v>
      </c>
      <c r="G71" s="694">
        <f ca="1">MAX(0,IEAData2!B29-SUMPRODUCT(H68:H70,F68:F70,I68:I70*Calibration2!C23:C25+J68:J70*Calibration2!C27))</f>
        <v>7.286781894794557E-2</v>
      </c>
      <c r="H71" s="684">
        <v>1</v>
      </c>
      <c r="I71" s="774">
        <f ca="1">IF(F71&gt;0,MIN(1-J71,(G71-F71*J71*Calibration2!C27)/Calibration2!C26/F71),0)</f>
        <v>0.15636721098776243</v>
      </c>
      <c r="J71" s="775">
        <f ca="1">IF(F71&gt;0,(G71/F71)^1.1,1)</f>
        <v>0.57548244066938625</v>
      </c>
      <c r="K71" s="771">
        <f>1-J71-I71</f>
        <v>0.26815034834285134</v>
      </c>
      <c r="M71" s="687">
        <f t="shared" si="5"/>
        <v>1.8829297533419453E-2</v>
      </c>
      <c r="N71" s="641">
        <f t="shared" si="5"/>
        <v>6.9297968750432717E-2</v>
      </c>
      <c r="O71" s="688">
        <f t="shared" si="5"/>
        <v>3.2289906948796111E-2</v>
      </c>
      <c r="Q71" s="623" t="s">
        <v>967</v>
      </c>
      <c r="R71" s="689">
        <f t="shared" si="6"/>
        <v>0.21533624414060334</v>
      </c>
      <c r="T71" s="613" t="s">
        <v>418</v>
      </c>
      <c r="U71" s="772">
        <f t="shared" si="12"/>
        <v>1</v>
      </c>
      <c r="V71" s="773">
        <f t="shared" si="12"/>
        <v>1</v>
      </c>
      <c r="Y71" s="698">
        <f>50*100/175</f>
        <v>28.571428571428573</v>
      </c>
      <c r="Z71" s="613" t="s">
        <v>282</v>
      </c>
      <c r="AB71" s="613">
        <f ca="1">F71*(I71*Calibration2!C26+J71*Calibration2!C$27)</f>
        <v>7.286781894794557E-2</v>
      </c>
    </row>
    <row r="72" spans="1:28" hidden="1">
      <c r="A72" s="613">
        <f t="shared" si="9"/>
        <v>15</v>
      </c>
      <c r="B72" s="613" t="str">
        <f t="shared" si="8"/>
        <v>ICH</v>
      </c>
      <c r="C72" s="613" t="s">
        <v>359</v>
      </c>
      <c r="D72" s="613" t="s">
        <v>251</v>
      </c>
      <c r="E72" s="613" t="s">
        <v>360</v>
      </c>
      <c r="F72" s="693">
        <f ca="1">INDEX($Q$28:$U$28,$A72-$A$71)</f>
        <v>17.118749999999999</v>
      </c>
      <c r="G72" s="697">
        <f ca="1">INDEX($Q$29:$U$29,$A72-$A$71)</f>
        <v>1</v>
      </c>
      <c r="H72" s="684">
        <f t="shared" si="3"/>
        <v>0</v>
      </c>
      <c r="I72" s="771">
        <v>0.3</v>
      </c>
      <c r="J72" s="764">
        <f ca="1">(G72-F72*I72*Calibration2!C29)/(F72*Calibration2!C$35)</f>
        <v>2.9599458439819894E-2</v>
      </c>
      <c r="K72" s="771">
        <f t="shared" si="4"/>
        <v>0.67040054156018014</v>
      </c>
      <c r="M72" s="687">
        <f t="shared" si="5"/>
        <v>0</v>
      </c>
      <c r="N72" s="641">
        <f t="shared" si="5"/>
        <v>0</v>
      </c>
      <c r="O72" s="688">
        <f t="shared" si="5"/>
        <v>0</v>
      </c>
      <c r="Q72" s="623" t="s">
        <v>259</v>
      </c>
      <c r="R72" s="689">
        <f t="shared" si="6"/>
        <v>0</v>
      </c>
      <c r="T72" s="613" t="s">
        <v>360</v>
      </c>
      <c r="U72" s="772">
        <f t="shared" ref="U72:V77" si="13">N72/SUMIF($B$58:$B$77,LEFT($T72,3),N$58:N$77)</f>
        <v>0</v>
      </c>
      <c r="V72" s="773">
        <f t="shared" si="13"/>
        <v>0</v>
      </c>
      <c r="Y72" s="699">
        <v>60</v>
      </c>
      <c r="AB72" s="692">
        <f ca="1">F72*(I72*Calibration2!C29+J72*Calibration2!C$35)</f>
        <v>1</v>
      </c>
    </row>
    <row r="73" spans="1:28" hidden="1">
      <c r="A73" s="613">
        <f t="shared" si="9"/>
        <v>16</v>
      </c>
      <c r="B73" s="613" t="str">
        <f t="shared" si="8"/>
        <v>ICH</v>
      </c>
      <c r="C73" s="613" t="s">
        <v>253</v>
      </c>
      <c r="D73" s="613" t="s">
        <v>252</v>
      </c>
      <c r="E73" s="613" t="s">
        <v>972</v>
      </c>
      <c r="F73" s="693">
        <f ca="1">INDEX($Q$28:$U$28,$A73-$A$71)</f>
        <v>9.679326923076923</v>
      </c>
      <c r="G73" s="697">
        <f ca="1">INDEX($Q$29:$U$29,$A73-$A$71)</f>
        <v>1</v>
      </c>
      <c r="H73" s="684">
        <f t="shared" si="3"/>
        <v>0</v>
      </c>
      <c r="I73" s="771">
        <v>0.25</v>
      </c>
      <c r="J73" s="764">
        <f ca="1">(G73-F73*I73*Calibration2!C30)/(F73*Calibration2!C$35)</f>
        <v>8.1576009122667589E-2</v>
      </c>
      <c r="K73" s="771">
        <f t="shared" si="4"/>
        <v>0.6684239908773324</v>
      </c>
      <c r="M73" s="687">
        <f t="shared" si="5"/>
        <v>0</v>
      </c>
      <c r="N73" s="641">
        <f t="shared" si="5"/>
        <v>0</v>
      </c>
      <c r="O73" s="688">
        <f t="shared" si="5"/>
        <v>0</v>
      </c>
      <c r="Q73" s="623" t="s">
        <v>370</v>
      </c>
      <c r="R73" s="689">
        <f t="shared" si="6"/>
        <v>0</v>
      </c>
      <c r="T73" s="613" t="s">
        <v>972</v>
      </c>
      <c r="U73" s="772">
        <f t="shared" si="13"/>
        <v>0</v>
      </c>
      <c r="V73" s="773">
        <f t="shared" si="13"/>
        <v>0</v>
      </c>
      <c r="Y73" s="613">
        <v>7.5</v>
      </c>
      <c r="AB73" s="692">
        <f ca="1">F73*(I73*Calibration2!C30+J73*Calibration2!C$35)</f>
        <v>1</v>
      </c>
    </row>
    <row r="74" spans="1:28" hidden="1">
      <c r="A74" s="613">
        <f t="shared" si="9"/>
        <v>17</v>
      </c>
      <c r="B74" s="613" t="str">
        <f t="shared" si="8"/>
        <v>ICH</v>
      </c>
      <c r="C74" s="613" t="s">
        <v>357</v>
      </c>
      <c r="D74" s="613" t="s">
        <v>254</v>
      </c>
      <c r="E74" s="613" t="s">
        <v>358</v>
      </c>
      <c r="F74" s="693">
        <f ca="1">INDEX($Q$28:$U$28,$A74-$A$71)</f>
        <v>23.4</v>
      </c>
      <c r="G74" s="697">
        <f ca="1">INDEX($Q$29:$U$29,$A74-$A$71)</f>
        <v>4.5</v>
      </c>
      <c r="H74" s="684">
        <f t="shared" si="3"/>
        <v>0</v>
      </c>
      <c r="I74" s="771">
        <v>0.3</v>
      </c>
      <c r="J74" s="764">
        <f ca="1">(G74-F74*I74*Calibration2!C31)/(F74*Calibration2!C$35)</f>
        <v>0.16907051282051283</v>
      </c>
      <c r="K74" s="771">
        <f t="shared" si="4"/>
        <v>0.53092948717948718</v>
      </c>
      <c r="M74" s="687">
        <f t="shared" si="5"/>
        <v>0</v>
      </c>
      <c r="N74" s="641">
        <f t="shared" si="5"/>
        <v>0</v>
      </c>
      <c r="O74" s="688">
        <f t="shared" si="5"/>
        <v>0</v>
      </c>
      <c r="Q74" s="623" t="s">
        <v>417</v>
      </c>
      <c r="R74" s="689">
        <f t="shared" si="6"/>
        <v>0</v>
      </c>
      <c r="T74" s="613" t="s">
        <v>358</v>
      </c>
      <c r="U74" s="772">
        <f t="shared" si="13"/>
        <v>0</v>
      </c>
      <c r="V74" s="773">
        <f t="shared" si="13"/>
        <v>0</v>
      </c>
      <c r="X74" s="613">
        <v>28</v>
      </c>
      <c r="Y74" s="613">
        <v>39.6</v>
      </c>
      <c r="AB74" s="692">
        <f ca="1">F74*(I74*Calibration2!C31+J74*Calibration2!C$35)</f>
        <v>4.5</v>
      </c>
    </row>
    <row r="75" spans="1:28" hidden="1">
      <c r="A75" s="613">
        <f t="shared" si="9"/>
        <v>18</v>
      </c>
      <c r="B75" s="613" t="str">
        <f t="shared" si="8"/>
        <v>ICH</v>
      </c>
      <c r="C75" s="613" t="s">
        <v>540</v>
      </c>
      <c r="D75" s="613" t="s">
        <v>539</v>
      </c>
      <c r="E75" s="613" t="s">
        <v>541</v>
      </c>
      <c r="F75" s="693">
        <f ca="1">INDEX($Q$28:$U$28,$A75-$A$71)</f>
        <v>12</v>
      </c>
      <c r="G75" s="697">
        <f ca="1">INDEX($Q$29:$U$29,$A75-$A$71)</f>
        <v>10.5</v>
      </c>
      <c r="H75" s="684">
        <f t="shared" si="3"/>
        <v>0</v>
      </c>
      <c r="I75" s="771">
        <v>0.8</v>
      </c>
      <c r="J75" s="764">
        <f ca="1">(G75-F75*I75*Calibration2!C32)/(F75*Calibration2!C$35)</f>
        <v>7.8124999999999875E-2</v>
      </c>
      <c r="K75" s="771">
        <f t="shared" si="4"/>
        <v>0.12187500000000007</v>
      </c>
      <c r="M75" s="687">
        <f t="shared" si="5"/>
        <v>0</v>
      </c>
      <c r="N75" s="641">
        <f t="shared" si="5"/>
        <v>0</v>
      </c>
      <c r="O75" s="688">
        <f t="shared" si="5"/>
        <v>0</v>
      </c>
      <c r="Q75" s="623" t="s">
        <v>418</v>
      </c>
      <c r="R75" s="689">
        <f t="shared" si="6"/>
        <v>1.8829297533419453E-2</v>
      </c>
      <c r="T75" s="613" t="s">
        <v>541</v>
      </c>
      <c r="U75" s="772">
        <f t="shared" si="13"/>
        <v>0</v>
      </c>
      <c r="V75" s="773">
        <f t="shared" si="13"/>
        <v>0</v>
      </c>
      <c r="AB75" s="692">
        <f ca="1">F75*(I75*Calibration2!C32+J75*Calibration2!C$35)</f>
        <v>10.499999999999998</v>
      </c>
    </row>
    <row r="76" spans="1:28" hidden="1">
      <c r="A76" s="613">
        <f t="shared" si="9"/>
        <v>19</v>
      </c>
      <c r="B76" s="613" t="str">
        <f t="shared" si="8"/>
        <v>ICH</v>
      </c>
      <c r="C76" s="613" t="s">
        <v>354</v>
      </c>
      <c r="D76" s="613" t="s">
        <v>353</v>
      </c>
      <c r="E76" s="613" t="s">
        <v>356</v>
      </c>
      <c r="F76" s="693">
        <f ca="1">INDEX($Q$28:$U$28,A76-A$71)</f>
        <v>10.5</v>
      </c>
      <c r="G76" s="697">
        <f ca="1">INDEX($Q$29:$U$29,$A76-$A$71)</f>
        <v>0.5</v>
      </c>
      <c r="H76" s="684">
        <f t="shared" si="3"/>
        <v>0</v>
      </c>
      <c r="I76" s="771">
        <v>0.3</v>
      </c>
      <c r="J76" s="764">
        <f ca="1">(G76-F76*I76*Calibration2!C33)/(F76*Calibration2!C$35)</f>
        <v>1.8353174603174604E-2</v>
      </c>
      <c r="K76" s="771">
        <f t="shared" si="4"/>
        <v>0.68164682539682531</v>
      </c>
      <c r="M76" s="687">
        <f t="shared" si="5"/>
        <v>0</v>
      </c>
      <c r="N76" s="641">
        <f t="shared" si="5"/>
        <v>0</v>
      </c>
      <c r="O76" s="688">
        <f t="shared" si="5"/>
        <v>0</v>
      </c>
      <c r="Q76" s="623" t="s">
        <v>968</v>
      </c>
      <c r="R76" s="689">
        <f t="shared" si="6"/>
        <v>6.9297968750432717E-2</v>
      </c>
      <c r="T76" s="613" t="s">
        <v>356</v>
      </c>
      <c r="U76" s="772">
        <f t="shared" si="13"/>
        <v>0</v>
      </c>
      <c r="V76" s="773">
        <f t="shared" si="13"/>
        <v>0</v>
      </c>
      <c r="AB76" s="692">
        <f ca="1">F76*(I76*Calibration2!C33+J76*Calibration2!C$35)</f>
        <v>0.5</v>
      </c>
    </row>
    <row r="77" spans="1:28" hidden="1">
      <c r="B77" s="613" t="str">
        <f t="shared" si="8"/>
        <v>ICH</v>
      </c>
      <c r="C77" s="613" t="s">
        <v>535</v>
      </c>
      <c r="D77" s="613" t="s">
        <v>560</v>
      </c>
      <c r="E77" s="613" t="s">
        <v>536</v>
      </c>
      <c r="F77" s="693">
        <f ca="1">MAX(G77,Calibration2!T60-SUM(M72:O76))</f>
        <v>1.2169429468244479</v>
      </c>
      <c r="G77" s="694">
        <f ca="1">MAX(0,IEAData2!B30-SUMPRODUCT(H72:H76,F72:F76,I72:I76*Calibration2!C29:C33+J72:J76*Calibration2!C35))</f>
        <v>0.36717810067276463</v>
      </c>
      <c r="H77" s="684">
        <v>1</v>
      </c>
      <c r="I77" s="774">
        <f ca="1">IF(F77&gt;0,MIN(1-J77,(G77-F77*J77*Calibration2!C35)/Calibration2!C34/F77),0)</f>
        <v>0.27822409662054981</v>
      </c>
      <c r="J77" s="775">
        <f ca="1">IF(F77&gt;0,(G77/F77)^1.35,1)</f>
        <v>0.19836673567111587</v>
      </c>
      <c r="K77" s="774">
        <f t="shared" si="4"/>
        <v>0.52340916770833434</v>
      </c>
      <c r="M77" s="687">
        <f t="shared" si="5"/>
        <v>0.33858285201898181</v>
      </c>
      <c r="N77" s="641">
        <f t="shared" si="5"/>
        <v>0.24140099985955407</v>
      </c>
      <c r="O77" s="688">
        <f t="shared" si="5"/>
        <v>0.63695909494591207</v>
      </c>
      <c r="Q77" s="623" t="s">
        <v>969</v>
      </c>
      <c r="R77" s="689">
        <f t="shared" si="6"/>
        <v>3.2289906948796111E-2</v>
      </c>
      <c r="T77" s="613" t="s">
        <v>536</v>
      </c>
      <c r="U77" s="772">
        <f t="shared" si="13"/>
        <v>1</v>
      </c>
      <c r="V77" s="773">
        <f t="shared" si="13"/>
        <v>1</v>
      </c>
    </row>
    <row r="78" spans="1:28" hidden="1">
      <c r="A78" s="613">
        <v>20</v>
      </c>
      <c r="B78" s="613" t="str">
        <f t="shared" si="8"/>
        <v>ILP</v>
      </c>
      <c r="C78" s="613" t="s">
        <v>454</v>
      </c>
      <c r="D78" s="613" t="s">
        <v>250</v>
      </c>
      <c r="E78" s="613" t="s">
        <v>341</v>
      </c>
      <c r="F78" s="682">
        <f ca="1">L123</f>
        <v>9.4906480381714129</v>
      </c>
      <c r="G78" s="683">
        <f ca="1">K128</f>
        <v>2.6158929936305735</v>
      </c>
      <c r="H78" s="684">
        <f ca="1">INDEX($C$35:$X$52,RegIndex,$A78-1)</f>
        <v>0</v>
      </c>
      <c r="I78" s="771">
        <f ca="1">0.5/F78</f>
        <v>5.2683441424547471E-2</v>
      </c>
      <c r="J78" s="764">
        <f ca="1">(G78-F78*I78*Calibration2!C37)/(F78*Calibration2!C$42)</f>
        <v>0.27562849060564087</v>
      </c>
      <c r="K78" s="771">
        <f t="shared" si="4"/>
        <v>0.67168806796981162</v>
      </c>
      <c r="M78" s="687">
        <f t="shared" si="5"/>
        <v>0</v>
      </c>
      <c r="N78" s="641">
        <f t="shared" si="5"/>
        <v>0</v>
      </c>
      <c r="O78" s="688">
        <f t="shared" si="5"/>
        <v>0</v>
      </c>
      <c r="Q78" s="623" t="s">
        <v>360</v>
      </c>
      <c r="R78" s="689">
        <f t="shared" si="6"/>
        <v>0</v>
      </c>
      <c r="T78" s="613" t="s">
        <v>341</v>
      </c>
      <c r="U78" s="772">
        <f t="shared" ref="U78:U83" si="14">N78/SUMIF($B$58:$B$83,LEFT($T78,3),N$58:N$83)</f>
        <v>0</v>
      </c>
      <c r="V78" s="773">
        <f t="shared" ref="V78:V83" si="15">IF(O78,O78/SUMIF($B$58:$B$83,LEFT($T78,3),O$58:O$83),0)</f>
        <v>0</v>
      </c>
      <c r="Y78" s="613">
        <f>13+0.9</f>
        <v>13.9</v>
      </c>
      <c r="AB78" s="700">
        <f ca="1">F78*(I78*Calibration2!C37+J78*Calibration2!C$42)</f>
        <v>2.6158929936305735</v>
      </c>
    </row>
    <row r="79" spans="1:28" hidden="1">
      <c r="A79" s="613">
        <f t="shared" si="9"/>
        <v>21</v>
      </c>
      <c r="B79" s="613" t="str">
        <f t="shared" si="8"/>
        <v>ILP</v>
      </c>
      <c r="C79" s="613" t="s">
        <v>340</v>
      </c>
      <c r="D79" s="613" t="s">
        <v>249</v>
      </c>
      <c r="E79" s="613" t="s">
        <v>342</v>
      </c>
      <c r="F79" s="682">
        <f ca="1">L124</f>
        <v>6.2934919119468509</v>
      </c>
      <c r="G79" s="683">
        <f ca="1">K129</f>
        <v>8.4771799941015953</v>
      </c>
      <c r="H79" s="684">
        <f ca="1">INDEX($C$35:$X$52,RegIndex,$A79-1)*H$78</f>
        <v>0</v>
      </c>
      <c r="I79" s="771">
        <v>0</v>
      </c>
      <c r="J79" s="764">
        <f ca="1">(G79-F79*I79*Calibration2!C38)/(F79*Calibration2!C$42)</f>
        <v>1.3469755920412767</v>
      </c>
      <c r="K79" s="771">
        <f t="shared" si="4"/>
        <v>-0.3469755920412767</v>
      </c>
      <c r="M79" s="687">
        <f t="shared" si="5"/>
        <v>0</v>
      </c>
      <c r="N79" s="641">
        <f t="shared" si="5"/>
        <v>0</v>
      </c>
      <c r="O79" s="688">
        <f t="shared" si="5"/>
        <v>0</v>
      </c>
      <c r="Q79" s="623" t="s">
        <v>972</v>
      </c>
      <c r="R79" s="689">
        <f t="shared" si="6"/>
        <v>0</v>
      </c>
      <c r="T79" s="613" t="s">
        <v>342</v>
      </c>
      <c r="U79" s="772">
        <f t="shared" si="14"/>
        <v>0</v>
      </c>
      <c r="V79" s="773">
        <f t="shared" si="15"/>
        <v>0</v>
      </c>
      <c r="Y79" s="613">
        <f>0+7.3</f>
        <v>7.3</v>
      </c>
      <c r="AB79" s="613">
        <f ca="1">F79*(I79*Calibration2!C38+J79*Calibration2!C$42)</f>
        <v>8.4771799941015953</v>
      </c>
    </row>
    <row r="80" spans="1:28" hidden="1">
      <c r="A80" s="613">
        <f t="shared" si="9"/>
        <v>22</v>
      </c>
      <c r="B80" s="613" t="str">
        <f t="shared" si="8"/>
        <v>ILP</v>
      </c>
      <c r="C80" s="613" t="s">
        <v>347</v>
      </c>
      <c r="D80" s="613" t="s">
        <v>247</v>
      </c>
      <c r="E80" s="613" t="s">
        <v>343</v>
      </c>
      <c r="F80" s="682">
        <f ca="1">L125</f>
        <v>16.881827068900289</v>
      </c>
      <c r="G80" s="683">
        <f ca="1">K130</f>
        <v>2.356484405408529</v>
      </c>
      <c r="H80" s="684">
        <f ca="1">INDEX($C$35:$X$52,RegIndex,$A80-1)*H$78</f>
        <v>0</v>
      </c>
      <c r="I80" s="771">
        <f ca="1">1.8/F80</f>
        <v>0.10662353029998518</v>
      </c>
      <c r="J80" s="764">
        <f ca="1">(G80-F80*I80*Calibration2!C39)/(F80*Calibration2!C$42)</f>
        <v>0.13958704800084382</v>
      </c>
      <c r="K80" s="771">
        <f t="shared" si="4"/>
        <v>0.75378942169917096</v>
      </c>
      <c r="M80" s="687">
        <f t="shared" si="5"/>
        <v>0</v>
      </c>
      <c r="N80" s="641">
        <f t="shared" si="5"/>
        <v>0</v>
      </c>
      <c r="O80" s="688">
        <f t="shared" si="5"/>
        <v>0</v>
      </c>
      <c r="Q80" s="623" t="s">
        <v>358</v>
      </c>
      <c r="R80" s="689">
        <f t="shared" si="6"/>
        <v>0</v>
      </c>
      <c r="T80" s="613" t="s">
        <v>343</v>
      </c>
      <c r="U80" s="772">
        <f t="shared" si="14"/>
        <v>0</v>
      </c>
      <c r="V80" s="773">
        <f t="shared" si="15"/>
        <v>0</v>
      </c>
      <c r="Y80" s="613">
        <f>5.1+2.2</f>
        <v>7.3</v>
      </c>
      <c r="AB80" s="700">
        <f ca="1">F80*(I80*Calibration2!C39+J80*Calibration2!C$42)</f>
        <v>2.356484405408529</v>
      </c>
    </row>
    <row r="81" spans="1:28" hidden="1">
      <c r="A81" s="613">
        <f t="shared" si="9"/>
        <v>23</v>
      </c>
      <c r="B81" s="613" t="str">
        <f t="shared" si="8"/>
        <v>ILP</v>
      </c>
      <c r="C81" s="613" t="s">
        <v>339</v>
      </c>
      <c r="D81" s="613" t="s">
        <v>338</v>
      </c>
      <c r="E81" s="613" t="s">
        <v>344</v>
      </c>
      <c r="F81" s="682">
        <f ca="1">L126</f>
        <v>2.7094634146341465</v>
      </c>
      <c r="G81" s="694">
        <f ca="1">K131</f>
        <v>1.3680000000000001</v>
      </c>
      <c r="H81" s="684">
        <f ca="1">INDEX($C$35:$X$52,RegIndex,$A81-1)*H$78</f>
        <v>0</v>
      </c>
      <c r="I81" s="771">
        <f ca="1">0.85/F81</f>
        <v>0.31371525277257667</v>
      </c>
      <c r="J81" s="764">
        <f ca="1">(G81-F81*I81*Calibration2!C40)/(F81*Calibration2!C$42)</f>
        <v>0.50489701857986458</v>
      </c>
      <c r="K81" s="771">
        <f t="shared" si="4"/>
        <v>0.18138772864755875</v>
      </c>
      <c r="M81" s="687">
        <f t="shared" si="5"/>
        <v>0</v>
      </c>
      <c r="N81" s="641">
        <f t="shared" si="5"/>
        <v>0</v>
      </c>
      <c r="O81" s="688">
        <f t="shared" si="5"/>
        <v>0</v>
      </c>
      <c r="Q81" s="623" t="s">
        <v>541</v>
      </c>
      <c r="R81" s="689">
        <f t="shared" si="6"/>
        <v>0</v>
      </c>
      <c r="T81" s="613" t="s">
        <v>344</v>
      </c>
      <c r="U81" s="772">
        <f t="shared" si="14"/>
        <v>0</v>
      </c>
      <c r="V81" s="773">
        <f t="shared" si="15"/>
        <v>0</v>
      </c>
    </row>
    <row r="82" spans="1:28" hidden="1">
      <c r="B82" s="613" t="str">
        <f t="shared" si="8"/>
        <v>ILP</v>
      </c>
      <c r="C82" s="613" t="s">
        <v>346</v>
      </c>
      <c r="D82" s="613" t="s">
        <v>560</v>
      </c>
      <c r="E82" s="613" t="s">
        <v>345</v>
      </c>
      <c r="F82" s="693">
        <f ca="1">MAX(G82,Calibration2!U61+Calibration2!C61-SUM(M78:O81)-F83*H83)</f>
        <v>0.2876278561318979</v>
      </c>
      <c r="G82" s="694">
        <f ca="1">MAX(0,IEAData2!B31-SUMPRODUCT(H78:H81,F78:F81,I78:I81*Calibration2!C37:C40+J78:J81*Calibration2!C42)-G83*H83)</f>
        <v>8.9428686890660469E-2</v>
      </c>
      <c r="H82" s="684">
        <v>1</v>
      </c>
      <c r="I82" s="774">
        <f ca="1">IF(F82&gt;0,MIN(1-J82,(G82-F82*J82*Calibration2!C42)/Calibration2!C41/F82),0)</f>
        <v>0.53985048561711391</v>
      </c>
      <c r="J82" s="775">
        <f ca="1">IF(F82&gt;0,(G82/F82)^1.2,1)</f>
        <v>0.24613597342608542</v>
      </c>
      <c r="K82" s="774">
        <f t="shared" si="4"/>
        <v>0.2140135409568007</v>
      </c>
      <c r="M82" s="687">
        <f t="shared" si="5"/>
        <v>0.15527603780981444</v>
      </c>
      <c r="N82" s="641">
        <f t="shared" si="5"/>
        <v>7.0795562353482736E-2</v>
      </c>
      <c r="O82" s="688">
        <f t="shared" si="5"/>
        <v>6.1556255968600711E-2</v>
      </c>
      <c r="Q82" s="623" t="s">
        <v>356</v>
      </c>
      <c r="R82" s="689">
        <f t="shared" si="6"/>
        <v>0</v>
      </c>
      <c r="T82" s="613" t="s">
        <v>345</v>
      </c>
      <c r="U82" s="772">
        <f t="shared" si="14"/>
        <v>1</v>
      </c>
      <c r="V82" s="773">
        <f t="shared" si="15"/>
        <v>1</v>
      </c>
      <c r="AB82" s="700">
        <f ca="1">F82*(I82*Calibration2!C41+J82*Calibration2!C$42)</f>
        <v>8.9428686890660483E-2</v>
      </c>
    </row>
    <row r="83" spans="1:28" hidden="1">
      <c r="B83" s="613" t="str">
        <f t="shared" si="8"/>
        <v>ILP</v>
      </c>
      <c r="C83" s="613" t="s">
        <v>1392</v>
      </c>
      <c r="D83" s="613" t="s">
        <v>1207</v>
      </c>
      <c r="E83" s="613" t="s">
        <v>1147</v>
      </c>
      <c r="F83" s="701">
        <f>L128*H83</f>
        <v>0</v>
      </c>
      <c r="G83" s="701">
        <f>L133*H83</f>
        <v>0</v>
      </c>
      <c r="H83" s="702">
        <v>0</v>
      </c>
      <c r="I83" s="695">
        <v>0</v>
      </c>
      <c r="J83" s="696" t="b">
        <f>IF(H83,G83/F83)</f>
        <v>0</v>
      </c>
      <c r="K83" s="695">
        <f>1-J83-I83</f>
        <v>1</v>
      </c>
      <c r="M83" s="687">
        <f>$H83*$F83*I83</f>
        <v>0</v>
      </c>
      <c r="N83" s="641">
        <f>$H83*$F83*J83</f>
        <v>0</v>
      </c>
      <c r="O83" s="688">
        <f>$H83*$F83*K83</f>
        <v>0</v>
      </c>
      <c r="Q83" s="623" t="s">
        <v>536</v>
      </c>
      <c r="R83" s="689">
        <f t="shared" si="6"/>
        <v>0.33858285201898181</v>
      </c>
      <c r="T83" s="613" t="s">
        <v>1147</v>
      </c>
      <c r="U83" s="772">
        <f t="shared" si="14"/>
        <v>0</v>
      </c>
      <c r="V83" s="773">
        <f t="shared" si="15"/>
        <v>0</v>
      </c>
    </row>
    <row r="84" spans="1:28" hidden="1">
      <c r="D84" s="613" t="s">
        <v>225</v>
      </c>
      <c r="E84" s="613" t="s">
        <v>962</v>
      </c>
      <c r="F84" s="703"/>
      <c r="M84" s="687">
        <f>SUMIF($B$58:$B$80,LEFT(E84,3),$N$58:$N$80)</f>
        <v>5.1837513757911818E-2</v>
      </c>
      <c r="N84" s="641"/>
      <c r="O84" s="688"/>
      <c r="Q84" s="623" t="s">
        <v>973</v>
      </c>
      <c r="R84" s="689">
        <f t="shared" si="6"/>
        <v>0.24140099985955407</v>
      </c>
    </row>
    <row r="85" spans="1:28" hidden="1">
      <c r="D85" s="613" t="s">
        <v>241</v>
      </c>
      <c r="E85" s="613" t="s">
        <v>966</v>
      </c>
      <c r="M85" s="687">
        <f>SUMIF($B$58:$B$80,LEFT(E85,3),$N$58:$N$80)</f>
        <v>9.6806034975572511E-2</v>
      </c>
      <c r="N85" s="641"/>
      <c r="O85" s="688"/>
      <c r="Q85" s="623" t="s">
        <v>974</v>
      </c>
      <c r="R85" s="689">
        <f t="shared" si="6"/>
        <v>0.63695909494591207</v>
      </c>
    </row>
    <row r="86" spans="1:28" hidden="1">
      <c r="D86" s="613" t="s">
        <v>237</v>
      </c>
      <c r="E86" s="613" t="s">
        <v>968</v>
      </c>
      <c r="M86" s="687">
        <f>SUMIF($B$58:$B$80,LEFT(E86,3),$N$58:$N$80)</f>
        <v>6.9297968750432717E-2</v>
      </c>
      <c r="N86" s="641"/>
      <c r="O86" s="688"/>
      <c r="Q86" s="623" t="s">
        <v>341</v>
      </c>
      <c r="R86" s="689">
        <f t="shared" si="6"/>
        <v>0</v>
      </c>
      <c r="T86" s="612" t="s">
        <v>328</v>
      </c>
    </row>
    <row r="87" spans="1:28" hidden="1">
      <c r="D87" s="613" t="s">
        <v>230</v>
      </c>
      <c r="E87" s="613" t="s">
        <v>973</v>
      </c>
      <c r="M87" s="687">
        <f>SUMIF($B$58:$B$80,LEFT(E87,3),$N$58:$N$80)</f>
        <v>0.24140099985955407</v>
      </c>
      <c r="N87" s="641"/>
      <c r="O87" s="688"/>
      <c r="Q87" s="623" t="s">
        <v>342</v>
      </c>
      <c r="R87" s="689">
        <f t="shared" si="6"/>
        <v>0</v>
      </c>
      <c r="V87" s="613" t="s">
        <v>329</v>
      </c>
      <c r="W87" s="613" t="s">
        <v>330</v>
      </c>
    </row>
    <row r="88" spans="1:28" hidden="1">
      <c r="D88" s="613" t="s">
        <v>233</v>
      </c>
      <c r="E88" s="613" t="s">
        <v>970</v>
      </c>
      <c r="M88" s="687">
        <f>SUMIF($B$58:$B$82,LEFT(E88,3),$N$58:$N$82)</f>
        <v>7.0795562353482736E-2</v>
      </c>
      <c r="N88" s="641"/>
      <c r="O88" s="688"/>
      <c r="Q88" s="623" t="s">
        <v>343</v>
      </c>
      <c r="R88" s="689">
        <f t="shared" si="6"/>
        <v>0</v>
      </c>
      <c r="T88" s="613" t="s">
        <v>359</v>
      </c>
      <c r="U88" s="614">
        <f>A72</f>
        <v>15</v>
      </c>
      <c r="V88" s="705">
        <v>47</v>
      </c>
      <c r="W88" s="700">
        <f>VLOOKUP($C$3,$B$35:$X$52,U88,FALSE)*V88</f>
        <v>0</v>
      </c>
    </row>
    <row r="89" spans="1:28" hidden="1">
      <c r="D89" s="613" t="s">
        <v>226</v>
      </c>
      <c r="E89" s="613" t="s">
        <v>963</v>
      </c>
      <c r="M89" s="687">
        <f>SUMIF($B$58:$B$80,LEFT(E89,3),$O$58:$O$80)</f>
        <v>3.9719947911931328E-2</v>
      </c>
      <c r="N89" s="641"/>
      <c r="O89" s="688"/>
      <c r="Q89" s="623" t="s">
        <v>344</v>
      </c>
      <c r="R89" s="689">
        <f t="shared" si="6"/>
        <v>0</v>
      </c>
      <c r="T89" s="613" t="s">
        <v>253</v>
      </c>
      <c r="U89" s="614">
        <f>A73</f>
        <v>16</v>
      </c>
      <c r="V89" s="705">
        <v>42.5</v>
      </c>
      <c r="W89" s="700">
        <f>VLOOKUP($C$3,$B$35:$X$52,U89,FALSE)*V89</f>
        <v>0</v>
      </c>
    </row>
    <row r="90" spans="1:28" hidden="1">
      <c r="D90" s="613" t="s">
        <v>242</v>
      </c>
      <c r="E90" s="613" t="s">
        <v>967</v>
      </c>
      <c r="M90" s="687">
        <f>SUMIF($B$58:$B$80,LEFT(E90,3),$O$58:$O$80)</f>
        <v>0.21533624414060334</v>
      </c>
      <c r="N90" s="641"/>
      <c r="O90" s="688"/>
      <c r="Q90" s="623" t="s">
        <v>345</v>
      </c>
      <c r="R90" s="689">
        <f t="shared" si="6"/>
        <v>0.15527603780981444</v>
      </c>
      <c r="T90" s="613" t="s">
        <v>357</v>
      </c>
      <c r="U90" s="614">
        <f>A74</f>
        <v>17</v>
      </c>
      <c r="V90" s="705">
        <v>21</v>
      </c>
      <c r="W90" s="700">
        <f>VLOOKUP($C$3,$B$35:$X$52,U90,FALSE)*V90</f>
        <v>0</v>
      </c>
    </row>
    <row r="91" spans="1:28" hidden="1">
      <c r="D91" s="613" t="s">
        <v>238</v>
      </c>
      <c r="E91" s="613" t="s">
        <v>969</v>
      </c>
      <c r="M91" s="687">
        <f>SUMIF($B$58:$B$80,LEFT(E91,3),$O$58:$O$80)</f>
        <v>3.2289906948796111E-2</v>
      </c>
      <c r="N91" s="641"/>
      <c r="O91" s="688"/>
      <c r="Q91" s="623" t="s">
        <v>970</v>
      </c>
      <c r="R91" s="689">
        <f t="shared" si="6"/>
        <v>7.0795562353482736E-2</v>
      </c>
      <c r="T91" s="613" t="s">
        <v>354</v>
      </c>
      <c r="U91" s="614">
        <f>A76</f>
        <v>19</v>
      </c>
      <c r="V91" s="705">
        <v>20</v>
      </c>
      <c r="W91" s="700">
        <f>VLOOKUP($C$3,$B$35:$X$52,U91,FALSE)*V91</f>
        <v>0</v>
      </c>
    </row>
    <row r="92" spans="1:28" hidden="1">
      <c r="D92" s="613" t="s">
        <v>229</v>
      </c>
      <c r="E92" s="613" t="s">
        <v>974</v>
      </c>
      <c r="M92" s="687">
        <f>SUMIF($B$58:$B$80,LEFT(E92,3),$O$58:$O$80)</f>
        <v>0.63695909494591207</v>
      </c>
      <c r="N92" s="641"/>
      <c r="O92" s="688"/>
      <c r="Q92" s="623" t="s">
        <v>971</v>
      </c>
      <c r="R92" s="689">
        <f t="shared" si="6"/>
        <v>6.1556255968600711E-2</v>
      </c>
      <c r="T92" s="613" t="s">
        <v>535</v>
      </c>
      <c r="U92" s="614">
        <f>A77</f>
        <v>0</v>
      </c>
      <c r="V92" s="706">
        <f ca="1">MAX(0,IEAData2!$S$37-SUM(W88:W91))</f>
        <v>0.30499999999999999</v>
      </c>
      <c r="W92" s="700">
        <f>V92</f>
        <v>0.30499999999999999</v>
      </c>
    </row>
    <row r="93" spans="1:28" hidden="1">
      <c r="D93" s="613" t="s">
        <v>234</v>
      </c>
      <c r="E93" s="613" t="s">
        <v>971</v>
      </c>
      <c r="M93" s="687">
        <f>SUMIF($B$58:$B$83,LEFT(E93,3),$O$58:$O$83)</f>
        <v>6.1556255968600711E-2</v>
      </c>
      <c r="N93" s="641"/>
      <c r="O93" s="688"/>
      <c r="Q93" s="704"/>
      <c r="R93" s="704"/>
    </row>
    <row r="94" spans="1:28" hidden="1"/>
    <row r="95" spans="1:28" hidden="1"/>
    <row r="96" spans="1:28" hidden="1"/>
    <row r="97" spans="1:21" hidden="1"/>
    <row r="98" spans="1:21" ht="18" hidden="1">
      <c r="A98" s="707" t="s">
        <v>1128</v>
      </c>
      <c r="B98" s="708"/>
      <c r="C98" s="708"/>
      <c r="D98" s="708"/>
      <c r="E98" s="708"/>
      <c r="F98" s="708"/>
      <c r="G98" s="708"/>
      <c r="H98" s="708"/>
      <c r="I98" s="708"/>
      <c r="J98" s="708"/>
      <c r="K98" s="708"/>
      <c r="L98" s="708"/>
      <c r="M98" s="708"/>
      <c r="N98" s="708"/>
      <c r="O98" s="708"/>
      <c r="P98" s="708"/>
    </row>
    <row r="99" spans="1:21" hidden="1">
      <c r="H99" s="681"/>
      <c r="I99" s="681"/>
    </row>
    <row r="100" spans="1:21" hidden="1">
      <c r="B100" s="709">
        <f ca="1">BaseYear</f>
        <v>2010</v>
      </c>
      <c r="C100" s="613" t="s">
        <v>446</v>
      </c>
      <c r="L100" s="710">
        <f>MATCH(Region,$G$101:$K$101,0)</f>
        <v>1</v>
      </c>
      <c r="P100" s="614" t="s">
        <v>50</v>
      </c>
    </row>
    <row r="101" spans="1:21" hidden="1">
      <c r="C101" s="613" t="s">
        <v>447</v>
      </c>
      <c r="G101" s="613" t="s">
        <v>1341</v>
      </c>
      <c r="H101" s="613" t="s">
        <v>1097</v>
      </c>
      <c r="I101" s="613" t="s">
        <v>86</v>
      </c>
      <c r="J101" s="613" t="s">
        <v>1098</v>
      </c>
      <c r="K101" s="613" t="s">
        <v>1099</v>
      </c>
      <c r="L101" s="613" t="s">
        <v>1194</v>
      </c>
      <c r="N101" s="613" t="s">
        <v>983</v>
      </c>
      <c r="O101" s="613" t="s">
        <v>450</v>
      </c>
      <c r="P101" s="711">
        <v>0.81</v>
      </c>
      <c r="S101" s="612" t="s">
        <v>1215</v>
      </c>
    </row>
    <row r="102" spans="1:21" hidden="1">
      <c r="B102" s="631" t="s">
        <v>264</v>
      </c>
      <c r="C102" s="712">
        <v>2.2870539999999999</v>
      </c>
      <c r="E102" s="613" t="s">
        <v>446</v>
      </c>
      <c r="F102" s="613" t="s">
        <v>284</v>
      </c>
      <c r="G102" s="681">
        <v>0</v>
      </c>
      <c r="H102" s="713">
        <v>0.154636</v>
      </c>
      <c r="I102" s="636">
        <v>7.2658569999999996</v>
      </c>
      <c r="J102" s="636">
        <v>0.81599999999999995</v>
      </c>
      <c r="K102" s="714">
        <v>3.2549999999999999</v>
      </c>
      <c r="L102" s="638">
        <f t="shared" ref="L102:L126" si="16">INDEX($G102:$K102,$L$100)</f>
        <v>0</v>
      </c>
      <c r="N102" s="613" t="s">
        <v>451</v>
      </c>
      <c r="O102" s="613" t="s">
        <v>913</v>
      </c>
      <c r="P102" s="715">
        <v>0.9</v>
      </c>
      <c r="S102" s="613" t="s">
        <v>1182</v>
      </c>
      <c r="T102" s="681">
        <f>L102</f>
        <v>0</v>
      </c>
      <c r="U102" s="681">
        <f>T102*L121</f>
        <v>0</v>
      </c>
    </row>
    <row r="103" spans="1:21" hidden="1">
      <c r="B103" s="638" t="s">
        <v>265</v>
      </c>
      <c r="C103" s="716">
        <v>2.6005050000000001</v>
      </c>
      <c r="E103" s="613" t="s">
        <v>1131</v>
      </c>
      <c r="F103" s="613" t="s">
        <v>1132</v>
      </c>
      <c r="G103" s="651">
        <v>0</v>
      </c>
      <c r="H103" s="645">
        <v>0</v>
      </c>
      <c r="I103" s="647">
        <v>1.7529999999999999</v>
      </c>
      <c r="J103" s="647">
        <v>0.37203000000000003</v>
      </c>
      <c r="K103" s="717">
        <v>2.5973809999999999</v>
      </c>
      <c r="L103" s="638">
        <f t="shared" si="16"/>
        <v>0</v>
      </c>
      <c r="N103" s="613" t="s">
        <v>451</v>
      </c>
      <c r="O103" s="613" t="s">
        <v>906</v>
      </c>
      <c r="P103" s="715">
        <v>0.9</v>
      </c>
      <c r="S103" s="613" t="s">
        <v>1183</v>
      </c>
      <c r="T103" s="681">
        <f>H78-T102</f>
        <v>0</v>
      </c>
      <c r="U103" s="681">
        <f>T103*L122</f>
        <v>0</v>
      </c>
    </row>
    <row r="104" spans="1:21" hidden="1">
      <c r="B104" s="638" t="s">
        <v>266</v>
      </c>
      <c r="C104" s="716">
        <v>3.3400129999999999</v>
      </c>
      <c r="E104" s="613" t="s">
        <v>1388</v>
      </c>
      <c r="F104" s="613" t="s">
        <v>1389</v>
      </c>
      <c r="H104" s="613">
        <v>0</v>
      </c>
      <c r="I104" s="613">
        <v>0</v>
      </c>
      <c r="J104" s="613">
        <v>0</v>
      </c>
      <c r="K104" s="613">
        <v>0</v>
      </c>
      <c r="L104" s="638">
        <f t="shared" si="16"/>
        <v>0</v>
      </c>
      <c r="N104" s="613" t="s">
        <v>451</v>
      </c>
      <c r="O104" s="613" t="s">
        <v>655</v>
      </c>
      <c r="P104" s="649">
        <v>0.8</v>
      </c>
    </row>
    <row r="105" spans="1:21" hidden="1">
      <c r="B105" s="638" t="s">
        <v>267</v>
      </c>
      <c r="C105" s="716">
        <v>18.723914000000001</v>
      </c>
      <c r="E105" s="613" t="s">
        <v>1133</v>
      </c>
      <c r="F105" s="613" t="s">
        <v>1134</v>
      </c>
      <c r="G105" s="681">
        <v>0.1</v>
      </c>
      <c r="H105" s="681">
        <v>0.53862999999999994</v>
      </c>
      <c r="I105" s="681">
        <v>10.499821000000001</v>
      </c>
      <c r="J105" s="681">
        <v>2.1475040000000001</v>
      </c>
      <c r="K105" s="681">
        <v>16.866182999999999</v>
      </c>
      <c r="L105" s="689">
        <f t="shared" si="16"/>
        <v>0.1</v>
      </c>
      <c r="N105" s="613" t="s">
        <v>1391</v>
      </c>
      <c r="P105" s="718">
        <f>SUM(L103:L104)</f>
        <v>0</v>
      </c>
      <c r="S105" s="612" t="s">
        <v>1188</v>
      </c>
    </row>
    <row r="106" spans="1:21" hidden="1">
      <c r="B106" s="638" t="s">
        <v>1094</v>
      </c>
      <c r="C106" s="716">
        <v>1.9302619999999999</v>
      </c>
      <c r="E106" s="613" t="s">
        <v>1129</v>
      </c>
      <c r="F106" s="613" t="s">
        <v>1130</v>
      </c>
      <c r="G106" s="651">
        <v>15</v>
      </c>
      <c r="H106" s="651">
        <v>16.104803544529247</v>
      </c>
      <c r="I106" s="651">
        <v>18.936882204804672</v>
      </c>
      <c r="J106" s="651">
        <v>16.104803544529247</v>
      </c>
      <c r="K106" s="651">
        <v>16.441081081081084</v>
      </c>
      <c r="L106" s="689">
        <f t="shared" si="16"/>
        <v>15</v>
      </c>
      <c r="N106" s="613" t="s">
        <v>1143</v>
      </c>
      <c r="P106" s="719">
        <f>INDEX($G108:$K108,L$100)</f>
        <v>5.0999999999999996</v>
      </c>
      <c r="S106" s="613" t="s">
        <v>1174</v>
      </c>
      <c r="T106" s="700">
        <f>L113*H$79</f>
        <v>0</v>
      </c>
      <c r="U106" s="700">
        <f>IF(U$102,T106/U$102,0)</f>
        <v>0</v>
      </c>
    </row>
    <row r="107" spans="1:21" hidden="1">
      <c r="B107" s="638" t="s">
        <v>268</v>
      </c>
      <c r="C107" s="716">
        <v>4.0889009999999999</v>
      </c>
      <c r="E107" s="613" t="s">
        <v>1135</v>
      </c>
      <c r="F107" s="613" t="s">
        <v>1187</v>
      </c>
      <c r="G107" s="681">
        <f>I107</f>
        <v>0.77</v>
      </c>
      <c r="H107" s="681">
        <v>0.8</v>
      </c>
      <c r="I107" s="681">
        <v>0.77</v>
      </c>
      <c r="J107" s="681">
        <v>0.8</v>
      </c>
      <c r="K107" s="681">
        <v>0.61381314545513455</v>
      </c>
      <c r="L107" s="689">
        <f t="shared" si="16"/>
        <v>0.77</v>
      </c>
      <c r="N107" s="613" t="s">
        <v>1144</v>
      </c>
      <c r="P107" s="719">
        <v>2.8</v>
      </c>
      <c r="S107" s="613" t="s">
        <v>1177</v>
      </c>
      <c r="T107" s="700">
        <f>L112*H$79</f>
        <v>0</v>
      </c>
      <c r="U107" s="700">
        <f>IF(U$102,T107/U$102,0)</f>
        <v>0</v>
      </c>
    </row>
    <row r="108" spans="1:21" hidden="1">
      <c r="B108" s="638" t="s">
        <v>269</v>
      </c>
      <c r="C108" s="716">
        <v>2.9841229999999999</v>
      </c>
      <c r="E108" s="613" t="s">
        <v>1136</v>
      </c>
      <c r="F108" s="613" t="s">
        <v>1186</v>
      </c>
      <c r="G108" s="613">
        <v>5.0999999999999996</v>
      </c>
      <c r="H108" s="651">
        <v>5.2</v>
      </c>
      <c r="I108" s="651">
        <v>5.0999999999999996</v>
      </c>
      <c r="J108" s="651">
        <v>5.2</v>
      </c>
      <c r="K108" s="651">
        <v>5.3949999999999996</v>
      </c>
      <c r="L108" s="638">
        <f t="shared" si="16"/>
        <v>5.0999999999999996</v>
      </c>
      <c r="N108" s="613" t="s">
        <v>1145</v>
      </c>
      <c r="P108" s="719">
        <f>2.3</f>
        <v>2.2999999999999998</v>
      </c>
      <c r="S108" s="613" t="s">
        <v>1178</v>
      </c>
      <c r="T108" s="700">
        <f>L116*(H$80-P$105)*(L118)</f>
        <v>0</v>
      </c>
      <c r="U108" s="700">
        <f>IF(U$102,T108/U$102,0)</f>
        <v>0</v>
      </c>
    </row>
    <row r="109" spans="1:21" hidden="1">
      <c r="B109" s="638" t="s">
        <v>1095</v>
      </c>
      <c r="C109" s="716">
        <v>15.977</v>
      </c>
      <c r="E109" s="613" t="s">
        <v>1133</v>
      </c>
      <c r="F109" s="613" t="s">
        <v>502</v>
      </c>
      <c r="G109" s="613">
        <v>0.4</v>
      </c>
      <c r="H109" s="652">
        <v>3</v>
      </c>
      <c r="I109" s="653">
        <v>52</v>
      </c>
      <c r="J109" s="653">
        <v>12</v>
      </c>
      <c r="K109" s="654">
        <v>70</v>
      </c>
      <c r="L109" s="638">
        <f t="shared" si="16"/>
        <v>0.4</v>
      </c>
      <c r="N109" s="613" t="s">
        <v>1137</v>
      </c>
      <c r="P109" s="719">
        <v>0.73167969326058102</v>
      </c>
      <c r="S109" s="613" t="s">
        <v>1179</v>
      </c>
      <c r="T109" s="700">
        <f>L117*(H$80-P$105)*(L119)</f>
        <v>0</v>
      </c>
      <c r="U109" s="700">
        <f>IF(U$102,T109/U$102,0)</f>
        <v>0</v>
      </c>
    </row>
    <row r="110" spans="1:21" hidden="1">
      <c r="B110" s="638" t="s">
        <v>1096</v>
      </c>
      <c r="C110" s="716">
        <v>7.5017509999999996</v>
      </c>
      <c r="E110" s="613" t="s">
        <v>1133</v>
      </c>
      <c r="F110" s="613" t="s">
        <v>1214</v>
      </c>
      <c r="G110" s="613">
        <v>0.5</v>
      </c>
      <c r="H110" s="720">
        <v>3.0818181818181811</v>
      </c>
      <c r="I110" s="721">
        <v>75</v>
      </c>
      <c r="J110" s="721">
        <v>25</v>
      </c>
      <c r="K110" s="722">
        <v>86</v>
      </c>
      <c r="L110" s="638">
        <f t="shared" si="16"/>
        <v>0.5</v>
      </c>
      <c r="N110" s="613" t="s">
        <v>1228</v>
      </c>
      <c r="P110" s="723">
        <v>1.968</v>
      </c>
      <c r="S110" s="613" t="s">
        <v>1181</v>
      </c>
      <c r="T110" s="700">
        <f>L115*(H80-P$105)</f>
        <v>0</v>
      </c>
      <c r="U110" s="700">
        <f t="shared" ref="U110:U115" si="17">IF(U$103,T110/U$103,0)</f>
        <v>0</v>
      </c>
    </row>
    <row r="111" spans="1:21" hidden="1">
      <c r="B111" s="638" t="s">
        <v>270</v>
      </c>
      <c r="C111" s="716">
        <v>3.1178680000000001</v>
      </c>
      <c r="E111" s="613" t="s">
        <v>1133</v>
      </c>
      <c r="F111" s="613" t="s">
        <v>1295</v>
      </c>
      <c r="G111" s="613">
        <v>0</v>
      </c>
      <c r="H111" s="613">
        <v>0</v>
      </c>
      <c r="I111" s="613">
        <v>8</v>
      </c>
      <c r="J111" s="613">
        <v>0</v>
      </c>
      <c r="K111" s="613">
        <v>4</v>
      </c>
      <c r="L111" s="638">
        <f t="shared" si="16"/>
        <v>0</v>
      </c>
      <c r="N111" s="613" t="s">
        <v>1346</v>
      </c>
      <c r="P111" s="723">
        <v>1.3321025641025641</v>
      </c>
      <c r="S111" s="613" t="s">
        <v>1175</v>
      </c>
      <c r="T111" s="700">
        <f>L114*H$79</f>
        <v>0</v>
      </c>
      <c r="U111" s="700">
        <f t="shared" si="17"/>
        <v>0</v>
      </c>
    </row>
    <row r="112" spans="1:21" hidden="1">
      <c r="B112" s="638" t="s">
        <v>271</v>
      </c>
      <c r="C112" s="716">
        <v>6.479851</v>
      </c>
      <c r="E112" s="613" t="s">
        <v>1188</v>
      </c>
      <c r="F112" s="613" t="s">
        <v>1177</v>
      </c>
      <c r="G112" s="681">
        <v>0.35558999638957894</v>
      </c>
      <c r="H112" s="713">
        <v>1</v>
      </c>
      <c r="I112" s="636">
        <v>0.27284417600122318</v>
      </c>
      <c r="J112" s="636">
        <v>4.6451465380170684E-2</v>
      </c>
      <c r="K112" s="714">
        <v>4.3260426807429947E-2</v>
      </c>
      <c r="L112" s="689">
        <f t="shared" si="16"/>
        <v>0.35558999638957894</v>
      </c>
      <c r="N112" s="613" t="s">
        <v>1142</v>
      </c>
      <c r="P112" s="637">
        <v>1.4</v>
      </c>
      <c r="S112" s="613" t="s">
        <v>1176</v>
      </c>
      <c r="T112" s="700">
        <f>(1-SUM(L112:L114))*H79</f>
        <v>0</v>
      </c>
      <c r="U112" s="700">
        <f t="shared" si="17"/>
        <v>0</v>
      </c>
    </row>
    <row r="113" spans="2:21" hidden="1">
      <c r="B113" s="638" t="s">
        <v>563</v>
      </c>
      <c r="C113" s="716">
        <v>37.200888999999997</v>
      </c>
      <c r="F113" s="724" t="s">
        <v>1174</v>
      </c>
      <c r="G113" s="681">
        <v>0.31418599945406628</v>
      </c>
      <c r="H113" s="687">
        <v>0</v>
      </c>
      <c r="I113" s="641">
        <v>0.32377605199607579</v>
      </c>
      <c r="J113" s="641">
        <v>0.38855336003498869</v>
      </c>
      <c r="K113" s="688">
        <v>0.24778502909318473</v>
      </c>
      <c r="L113" s="689">
        <f t="shared" si="16"/>
        <v>0.31418599945406628</v>
      </c>
      <c r="N113" s="613" t="s">
        <v>182</v>
      </c>
      <c r="P113" s="637">
        <v>0.25</v>
      </c>
      <c r="Q113" s="613" t="s">
        <v>183</v>
      </c>
      <c r="S113" s="613" t="s">
        <v>1178</v>
      </c>
      <c r="T113" s="700">
        <f>L116*(H$80-P$105)*(1-L118)</f>
        <v>0</v>
      </c>
      <c r="U113" s="700">
        <f t="shared" si="17"/>
        <v>0</v>
      </c>
    </row>
    <row r="114" spans="2:21" hidden="1">
      <c r="B114" s="638" t="s">
        <v>705</v>
      </c>
      <c r="C114" s="716">
        <v>35.601367000000003</v>
      </c>
      <c r="F114" s="724" t="s">
        <v>1175</v>
      </c>
      <c r="G114" s="681">
        <v>0.1238136495505601</v>
      </c>
      <c r="H114" s="687">
        <v>0</v>
      </c>
      <c r="I114" s="641">
        <v>0.18267682241939243</v>
      </c>
      <c r="J114" s="641">
        <v>0.48422017686068564</v>
      </c>
      <c r="K114" s="688">
        <v>0.56522539050692788</v>
      </c>
      <c r="L114" s="689">
        <f t="shared" si="16"/>
        <v>0.1238136495505601</v>
      </c>
      <c r="N114" s="613" t="s">
        <v>180</v>
      </c>
      <c r="P114" s="637">
        <v>1.1100000000000001</v>
      </c>
      <c r="Q114" s="613" t="s">
        <v>183</v>
      </c>
      <c r="S114" s="613" t="s">
        <v>1179</v>
      </c>
      <c r="T114" s="700">
        <f>L117*(H$80-P$105)*(1-L119)</f>
        <v>0</v>
      </c>
      <c r="U114" s="700">
        <f t="shared" si="17"/>
        <v>0</v>
      </c>
    </row>
    <row r="115" spans="2:21" hidden="1">
      <c r="B115" s="638" t="s">
        <v>1097</v>
      </c>
      <c r="C115" s="716">
        <v>0.73101700000000003</v>
      </c>
      <c r="F115" s="724" t="s">
        <v>1181</v>
      </c>
      <c r="G115" s="681">
        <v>8.226691042047532E-2</v>
      </c>
      <c r="H115" s="687">
        <v>1</v>
      </c>
      <c r="I115" s="641">
        <v>7.9797826038994185E-2</v>
      </c>
      <c r="J115" s="641">
        <v>2.1277953911951826E-3</v>
      </c>
      <c r="K115" s="688">
        <v>4.8362155373812395E-2</v>
      </c>
      <c r="L115" s="689">
        <f t="shared" si="16"/>
        <v>8.226691042047532E-2</v>
      </c>
      <c r="N115" s="613" t="s">
        <v>1139</v>
      </c>
      <c r="P115" s="725">
        <v>7</v>
      </c>
      <c r="Q115" s="613" t="s">
        <v>1141</v>
      </c>
      <c r="S115" s="613" t="s">
        <v>1180</v>
      </c>
      <c r="T115" s="700">
        <f>(1-SUM(L115:L117))*(H$80-P$105)</f>
        <v>0</v>
      </c>
      <c r="U115" s="700">
        <f t="shared" si="17"/>
        <v>0</v>
      </c>
    </row>
    <row r="116" spans="2:21" hidden="1">
      <c r="B116" s="638" t="s">
        <v>86</v>
      </c>
      <c r="C116" s="716">
        <v>0.74436800000000003</v>
      </c>
      <c r="F116" s="613" t="s">
        <v>1178</v>
      </c>
      <c r="G116" s="681">
        <v>0.39213893967093238</v>
      </c>
      <c r="H116" s="687">
        <v>0</v>
      </c>
      <c r="I116" s="641">
        <v>0.30839707396403993</v>
      </c>
      <c r="J116" s="641">
        <v>0.5257930928905501</v>
      </c>
      <c r="K116" s="688">
        <v>0.18956623244262913</v>
      </c>
      <c r="L116" s="689">
        <f t="shared" si="16"/>
        <v>0.39213893967093238</v>
      </c>
    </row>
    <row r="117" spans="2:21" hidden="1">
      <c r="B117" s="638" t="s">
        <v>1098</v>
      </c>
      <c r="C117" s="716">
        <v>0.56794599999999995</v>
      </c>
      <c r="F117" s="613" t="s">
        <v>1179</v>
      </c>
      <c r="G117" s="681">
        <v>0.42943327239488116</v>
      </c>
      <c r="H117" s="687">
        <v>0</v>
      </c>
      <c r="I117" s="641">
        <v>0.52680650561502562</v>
      </c>
      <c r="J117" s="641">
        <v>0.22980190224907973</v>
      </c>
      <c r="K117" s="688">
        <v>0.41672741243842876</v>
      </c>
      <c r="L117" s="689">
        <f t="shared" si="16"/>
        <v>0.42943327239488116</v>
      </c>
      <c r="N117" s="613" t="s">
        <v>1140</v>
      </c>
      <c r="P117" s="719">
        <f>SQRT($I$106*L106)</f>
        <v>16.853878873187327</v>
      </c>
      <c r="Q117" s="613" t="s">
        <v>183</v>
      </c>
      <c r="S117" s="612" t="s">
        <v>1209</v>
      </c>
    </row>
    <row r="118" spans="2:21" hidden="1">
      <c r="B118" s="638" t="s">
        <v>1099</v>
      </c>
      <c r="C118" s="716">
        <v>0.70685699999999996</v>
      </c>
      <c r="E118" s="613" t="s">
        <v>1195</v>
      </c>
      <c r="F118" s="613" t="s">
        <v>1178</v>
      </c>
      <c r="G118" s="681">
        <v>0.60230754275499221</v>
      </c>
      <c r="H118" s="687">
        <v>0</v>
      </c>
      <c r="I118" s="641">
        <v>0.52255727161879051</v>
      </c>
      <c r="J118" s="641">
        <v>0.33899804240859482</v>
      </c>
      <c r="K118" s="688">
        <v>0.20971968847403119</v>
      </c>
      <c r="L118" s="689">
        <f t="shared" si="16"/>
        <v>0.60230754275499221</v>
      </c>
      <c r="N118" s="613" t="s">
        <v>1146</v>
      </c>
      <c r="P118" s="719">
        <f>INDEX($G107:$K107,L$100)</f>
        <v>0.77</v>
      </c>
      <c r="S118" s="724" t="s">
        <v>1181</v>
      </c>
      <c r="T118" s="700">
        <f>T110</f>
        <v>0</v>
      </c>
      <c r="U118" s="692">
        <f>IF(T118&gt;0,T118/T$122,0)</f>
        <v>0</v>
      </c>
    </row>
    <row r="119" spans="2:21" hidden="1">
      <c r="B119" s="643" t="s">
        <v>1341</v>
      </c>
      <c r="C119" s="716">
        <f>C116*0.3</f>
        <v>0.22331039999999999</v>
      </c>
      <c r="F119" s="613" t="s">
        <v>1179</v>
      </c>
      <c r="G119" s="681">
        <v>0.78951126890674816</v>
      </c>
      <c r="H119" s="687">
        <v>0</v>
      </c>
      <c r="I119" s="641">
        <v>0.71588633020468018</v>
      </c>
      <c r="J119" s="641">
        <v>0.52376089342608956</v>
      </c>
      <c r="K119" s="688">
        <v>0.38925811970784829</v>
      </c>
      <c r="L119" s="689">
        <f t="shared" si="16"/>
        <v>0.78951126890674816</v>
      </c>
      <c r="N119" s="613" t="s">
        <v>350</v>
      </c>
      <c r="P119" s="725">
        <f>INDEX($C$102:$C$119,RegIndex)</f>
        <v>0.22331039999999999</v>
      </c>
      <c r="Q119" s="613" t="s">
        <v>976</v>
      </c>
      <c r="S119" s="613" t="s">
        <v>1178</v>
      </c>
      <c r="T119" s="700">
        <f>T108+T113+L120*L$103</f>
        <v>0</v>
      </c>
      <c r="U119" s="692">
        <f>IF(T119&gt;0,T119/T$122,0)</f>
        <v>0</v>
      </c>
    </row>
    <row r="120" spans="2:21" hidden="1">
      <c r="E120" s="613" t="s">
        <v>1206</v>
      </c>
      <c r="F120" s="613" t="s">
        <v>1178</v>
      </c>
      <c r="H120" s="678">
        <v>0</v>
      </c>
      <c r="I120" s="648">
        <v>0.36223616657159158</v>
      </c>
      <c r="J120" s="648">
        <v>0.63175012767787542</v>
      </c>
      <c r="K120" s="679">
        <v>0.20067785407808131</v>
      </c>
      <c r="L120" s="689">
        <f t="shared" si="16"/>
        <v>0</v>
      </c>
      <c r="N120" s="613" t="s">
        <v>1138</v>
      </c>
      <c r="P120" s="725">
        <f>INDEX($G102:$K102,L$100)</f>
        <v>0</v>
      </c>
      <c r="S120" s="613" t="s">
        <v>1179</v>
      </c>
      <c r="T120" s="700">
        <f>T109+T114+(1-L120)*L$103</f>
        <v>0</v>
      </c>
      <c r="U120" s="692">
        <f>IF(T120&gt;0,T120/T$122,0)</f>
        <v>0</v>
      </c>
    </row>
    <row r="121" spans="2:21" hidden="1">
      <c r="E121" s="613" t="s">
        <v>1189</v>
      </c>
      <c r="F121" s="613" t="s">
        <v>1182</v>
      </c>
      <c r="G121" s="681">
        <v>0.69849146767329739</v>
      </c>
      <c r="H121" s="713">
        <v>0.69722335752296005</v>
      </c>
      <c r="I121" s="636">
        <v>0.67868505819579905</v>
      </c>
      <c r="J121" s="636">
        <v>0.80077161770790239</v>
      </c>
      <c r="K121" s="714">
        <v>0.67551955719557188</v>
      </c>
      <c r="L121" s="689">
        <f t="shared" si="16"/>
        <v>0.69849146767329739</v>
      </c>
      <c r="N121" s="613" t="s">
        <v>452</v>
      </c>
      <c r="P121" s="726">
        <v>0.04</v>
      </c>
      <c r="S121" s="613" t="s">
        <v>1180</v>
      </c>
      <c r="T121" s="700">
        <f>T115</f>
        <v>0</v>
      </c>
      <c r="U121" s="692">
        <f>IF(T121&gt;0,T121/T$122,0)</f>
        <v>0</v>
      </c>
    </row>
    <row r="122" spans="2:21" hidden="1">
      <c r="F122" s="613" t="s">
        <v>1183</v>
      </c>
      <c r="G122" s="681">
        <v>0.99784495381899641</v>
      </c>
      <c r="H122" s="678">
        <v>0.99603336788994312</v>
      </c>
      <c r="I122" s="648">
        <v>0.96955008313685576</v>
      </c>
      <c r="J122" s="648">
        <v>1.1439594538684321</v>
      </c>
      <c r="K122" s="679">
        <v>0.96502793885081706</v>
      </c>
      <c r="L122" s="689">
        <f t="shared" si="16"/>
        <v>0.99784495381899641</v>
      </c>
      <c r="N122" s="613" t="s">
        <v>182</v>
      </c>
      <c r="P122" s="776">
        <v>0</v>
      </c>
      <c r="T122" s="700">
        <f>SUM(T118:T121)</f>
        <v>0</v>
      </c>
      <c r="U122" s="692"/>
    </row>
    <row r="123" spans="2:21" hidden="1">
      <c r="E123" s="613" t="s">
        <v>1193</v>
      </c>
      <c r="F123" s="613" t="s">
        <v>250</v>
      </c>
      <c r="G123" s="681">
        <v>9.4906480381714129</v>
      </c>
      <c r="H123" s="681">
        <v>9.4730392665628784</v>
      </c>
      <c r="I123" s="681">
        <v>9.4906480381714129</v>
      </c>
      <c r="J123" s="681">
        <v>9.4782969619169872</v>
      </c>
      <c r="K123" s="681">
        <v>9.4678507379213919</v>
      </c>
      <c r="L123" s="689">
        <f t="shared" si="16"/>
        <v>9.4906480381714129</v>
      </c>
      <c r="N123" s="613" t="s">
        <v>180</v>
      </c>
      <c r="P123" s="776">
        <f>MAX(0,P117-INDEX($G106:$K106,L$100))</f>
        <v>1.8538788731873268</v>
      </c>
    </row>
    <row r="124" spans="2:21" hidden="1">
      <c r="F124" s="613" t="s">
        <v>1190</v>
      </c>
      <c r="G124" s="681">
        <v>6.2934919119468509</v>
      </c>
      <c r="H124" s="681">
        <v>7.3880975609756092</v>
      </c>
      <c r="I124" s="681">
        <v>6.2934919119468509</v>
      </c>
      <c r="J124" s="681">
        <v>5.282953378607445</v>
      </c>
      <c r="K124" s="681">
        <v>5.1013825247513971</v>
      </c>
      <c r="L124" s="689">
        <f t="shared" si="16"/>
        <v>6.2934919119468509</v>
      </c>
      <c r="U124" s="700"/>
    </row>
    <row r="125" spans="2:21" hidden="1">
      <c r="F125" s="613" t="s">
        <v>1136</v>
      </c>
      <c r="G125" s="681">
        <v>16.881827068900289</v>
      </c>
      <c r="H125" s="681">
        <v>10</v>
      </c>
      <c r="I125" s="681">
        <v>16.881827068900289</v>
      </c>
      <c r="J125" s="681">
        <v>17.239439904687796</v>
      </c>
      <c r="K125" s="681">
        <v>17.379380975498581</v>
      </c>
      <c r="L125" s="689">
        <f t="shared" si="16"/>
        <v>16.881827068900289</v>
      </c>
      <c r="N125" s="613" t="s">
        <v>1127</v>
      </c>
    </row>
    <row r="126" spans="2:21" hidden="1">
      <c r="F126" s="613" t="s">
        <v>1191</v>
      </c>
      <c r="G126" s="681">
        <v>2.7094634146341465</v>
      </c>
      <c r="H126" s="681">
        <v>2.7094634146341465</v>
      </c>
      <c r="I126" s="681">
        <v>2.7094634146341465</v>
      </c>
      <c r="J126" s="681">
        <v>2.7094634146341465</v>
      </c>
      <c r="K126" s="681">
        <v>2.7094634146341465</v>
      </c>
      <c r="L126" s="689">
        <f t="shared" si="16"/>
        <v>2.7094634146341465</v>
      </c>
      <c r="N126" s="613" t="s">
        <v>1165</v>
      </c>
      <c r="P126" s="776">
        <f>P117*H80</f>
        <v>0</v>
      </c>
    </row>
    <row r="127" spans="2:21" hidden="1">
      <c r="F127" s="613" t="s">
        <v>1207</v>
      </c>
      <c r="G127" s="613">
        <v>0</v>
      </c>
      <c r="H127" s="681">
        <v>0</v>
      </c>
      <c r="I127" s="681">
        <v>4.492390243902439</v>
      </c>
      <c r="J127" s="681">
        <v>4.492390243902439</v>
      </c>
      <c r="K127" s="681">
        <v>4.492390243902439</v>
      </c>
      <c r="L127" s="689">
        <f>(INDEX($G127:$K127,$L$100)-L132)*X$27</f>
        <v>0</v>
      </c>
      <c r="N127" s="613" t="s">
        <v>1166</v>
      </c>
      <c r="P127" s="776">
        <f ca="1">MIN(1,$P$126/IEAData2!$BJ$62)*SUM(IEAData2!AY19:AY20)*Q127</f>
        <v>0</v>
      </c>
      <c r="Q127" s="613">
        <v>0.77</v>
      </c>
    </row>
    <row r="128" spans="2:21" hidden="1">
      <c r="E128" s="613" t="s">
        <v>1192</v>
      </c>
      <c r="F128" s="613" t="s">
        <v>250</v>
      </c>
      <c r="G128" s="681">
        <v>2.6401706380526733</v>
      </c>
      <c r="H128" s="681">
        <v>2.6214184397163125</v>
      </c>
      <c r="I128" s="681">
        <v>2.6401706380526733</v>
      </c>
      <c r="J128" s="681">
        <v>2.6270175438596493</v>
      </c>
      <c r="K128" s="681">
        <v>2.6158929936305735</v>
      </c>
      <c r="L128" s="689">
        <f>INDEX($G128:$K128,$L$100)</f>
        <v>2.6401706380526733</v>
      </c>
      <c r="N128" s="613" t="s">
        <v>1169</v>
      </c>
      <c r="P128" s="776">
        <f ca="1">Calibration2!Q224-P129</f>
        <v>0.10097341417865223</v>
      </c>
    </row>
    <row r="129" spans="5:16" hidden="1">
      <c r="E129" s="724"/>
      <c r="F129" s="613" t="s">
        <v>1190</v>
      </c>
      <c r="G129" s="681">
        <v>8.4656594492968811</v>
      </c>
      <c r="H129" s="681">
        <v>7.6319999999999997</v>
      </c>
      <c r="I129" s="681">
        <v>8.4656594492968811</v>
      </c>
      <c r="J129" s="681">
        <v>9.1770154354902722</v>
      </c>
      <c r="K129" s="681">
        <v>8.4771799941015953</v>
      </c>
      <c r="L129" s="689">
        <f>INDEX($G129:$K129,$L$100)</f>
        <v>8.4656594492968811</v>
      </c>
      <c r="N129" s="613" t="s">
        <v>1170</v>
      </c>
      <c r="P129" s="776">
        <f ca="1">MIN(Calibration2!Q224,P126-P127)</f>
        <v>0</v>
      </c>
    </row>
    <row r="130" spans="5:16" hidden="1">
      <c r="E130" s="724"/>
      <c r="F130" s="613" t="s">
        <v>1136</v>
      </c>
      <c r="G130" s="681">
        <v>2.3684590890211825</v>
      </c>
      <c r="H130" s="681">
        <v>1</v>
      </c>
      <c r="I130" s="681">
        <v>2.3684590890211825</v>
      </c>
      <c r="J130" s="681">
        <v>2.3481942325581397</v>
      </c>
      <c r="K130" s="681">
        <v>2.356484405408529</v>
      </c>
      <c r="L130" s="689">
        <f>INDEX($G130:$K130,$L$100)</f>
        <v>2.3684590890211825</v>
      </c>
    </row>
    <row r="131" spans="5:16" hidden="1">
      <c r="E131" s="724"/>
      <c r="F131" s="613" t="s">
        <v>1191</v>
      </c>
      <c r="G131" s="681">
        <v>1.3680000000000001</v>
      </c>
      <c r="H131" s="681">
        <v>1.3680000000000001</v>
      </c>
      <c r="I131" s="681">
        <v>1.3680000000000001</v>
      </c>
      <c r="J131" s="681">
        <v>1.3680000000000001</v>
      </c>
      <c r="K131" s="681">
        <v>1.3680000000000001</v>
      </c>
      <c r="L131" s="689">
        <f>INDEX($G131:$K131,$L$100)</f>
        <v>1.3680000000000001</v>
      </c>
    </row>
    <row r="132" spans="5:16" hidden="1">
      <c r="F132" s="613" t="s">
        <v>1207</v>
      </c>
      <c r="G132" s="613">
        <v>0</v>
      </c>
      <c r="H132" s="681">
        <v>0</v>
      </c>
      <c r="I132" s="681">
        <v>0.46799999999999997</v>
      </c>
      <c r="J132" s="681">
        <v>0.46800000000000003</v>
      </c>
      <c r="K132" s="681">
        <v>0.46800000000000003</v>
      </c>
      <c r="L132" s="689">
        <f>INDEX($G132:$K132,$L$100)*$X$29</f>
        <v>0</v>
      </c>
    </row>
    <row r="133" spans="5:16" hidden="1">
      <c r="E133" s="613" t="s">
        <v>1283</v>
      </c>
      <c r="F133" s="613" t="s">
        <v>284</v>
      </c>
      <c r="G133" s="613">
        <v>0</v>
      </c>
      <c r="H133" s="613">
        <v>0</v>
      </c>
      <c r="I133" s="613">
        <v>1.1240000000000001</v>
      </c>
      <c r="J133" s="613">
        <v>0</v>
      </c>
      <c r="K133" s="613">
        <v>0.68</v>
      </c>
      <c r="L133" s="689">
        <f>INDEX($G133:$K133,$L$100)</f>
        <v>0</v>
      </c>
    </row>
    <row r="134" spans="5:16" hidden="1">
      <c r="E134" s="613" t="s">
        <v>1325</v>
      </c>
      <c r="F134" s="613" t="s">
        <v>1326</v>
      </c>
      <c r="G134" s="613">
        <v>0</v>
      </c>
      <c r="H134" s="613">
        <v>30</v>
      </c>
      <c r="I134" s="613">
        <v>50</v>
      </c>
      <c r="J134" s="613">
        <v>50</v>
      </c>
      <c r="K134" s="724">
        <v>135.14400923870599</v>
      </c>
      <c r="L134" s="689">
        <f>INDEX($G134:$K134,$L$100)</f>
        <v>0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11"/>
  <dimension ref="A2:AM271"/>
  <sheetViews>
    <sheetView showGridLines="0" showRowColHeaders="0" showZeros="0" showOutlineSymbols="0" topLeftCell="IV65536" zoomScale="75" workbookViewId="0">
      <selection activeCell="B16" sqref="B16:B17 B19:B20 B23:B24 S56 B60"/>
    </sheetView>
  </sheetViews>
  <sheetFormatPr defaultColWidth="0" defaultRowHeight="12.75" zeroHeight="1"/>
  <cols>
    <col min="1" max="16384" width="0" style="613" hidden="1"/>
  </cols>
  <sheetData>
    <row r="2" spans="1:20" hidden="1">
      <c r="B2" s="613" t="s">
        <v>291</v>
      </c>
    </row>
    <row r="3" spans="1:20" hidden="1">
      <c r="C3" s="613" t="s">
        <v>905</v>
      </c>
      <c r="D3" s="613" t="s">
        <v>906</v>
      </c>
      <c r="E3" s="613" t="s">
        <v>907</v>
      </c>
      <c r="F3" s="613" t="s">
        <v>908</v>
      </c>
      <c r="G3" s="613" t="s">
        <v>909</v>
      </c>
      <c r="H3" s="613" t="s">
        <v>910</v>
      </c>
      <c r="I3" s="613" t="s">
        <v>911</v>
      </c>
      <c r="J3" s="613" t="s">
        <v>912</v>
      </c>
      <c r="K3" s="613" t="s">
        <v>1150</v>
      </c>
      <c r="L3" s="613" t="s">
        <v>913</v>
      </c>
      <c r="M3" s="613" t="s">
        <v>826</v>
      </c>
      <c r="N3" s="613" t="s">
        <v>914</v>
      </c>
      <c r="O3" s="613" t="s">
        <v>915</v>
      </c>
      <c r="P3" s="613" t="s">
        <v>916</v>
      </c>
      <c r="Q3" s="613" t="s">
        <v>917</v>
      </c>
      <c r="R3" s="613" t="s">
        <v>950</v>
      </c>
      <c r="S3" s="613" t="s">
        <v>946</v>
      </c>
      <c r="T3" s="613" t="s">
        <v>888</v>
      </c>
    </row>
    <row r="4" spans="1:20" hidden="1">
      <c r="C4" s="613">
        <v>2</v>
      </c>
      <c r="D4" s="613">
        <v>3</v>
      </c>
      <c r="E4" s="613">
        <v>4</v>
      </c>
      <c r="F4" s="613">
        <v>5</v>
      </c>
      <c r="G4" s="613">
        <v>6</v>
      </c>
      <c r="H4" s="613">
        <v>7</v>
      </c>
      <c r="I4" s="613">
        <v>8</v>
      </c>
      <c r="J4" s="613">
        <v>9</v>
      </c>
      <c r="K4" s="613">
        <v>10</v>
      </c>
      <c r="L4" s="613">
        <v>11</v>
      </c>
      <c r="M4" s="613">
        <v>12</v>
      </c>
      <c r="N4" s="613">
        <v>13</v>
      </c>
      <c r="O4" s="613">
        <v>14</v>
      </c>
      <c r="P4" s="613">
        <v>15</v>
      </c>
      <c r="Q4" s="613">
        <v>16</v>
      </c>
      <c r="R4" s="613">
        <v>17</v>
      </c>
      <c r="S4" s="613">
        <v>18</v>
      </c>
      <c r="T4" s="613">
        <v>19</v>
      </c>
    </row>
    <row r="5" spans="1:20" hidden="1"/>
    <row r="6" spans="1:20" ht="18" hidden="1">
      <c r="B6" s="728" t="s">
        <v>212</v>
      </c>
      <c r="C6" s="729"/>
      <c r="D6" s="708"/>
      <c r="E6" s="729"/>
      <c r="F6" s="708"/>
      <c r="G6" s="708"/>
    </row>
    <row r="7" spans="1:20" hidden="1"/>
    <row r="8" spans="1:20" hidden="1">
      <c r="C8" s="613" t="s">
        <v>905</v>
      </c>
      <c r="D8" s="613" t="s">
        <v>906</v>
      </c>
      <c r="E8" s="613" t="s">
        <v>907</v>
      </c>
      <c r="F8" s="613" t="s">
        <v>908</v>
      </c>
      <c r="G8" s="613" t="s">
        <v>909</v>
      </c>
      <c r="H8" s="613" t="s">
        <v>910</v>
      </c>
      <c r="I8" s="613" t="s">
        <v>911</v>
      </c>
      <c r="J8" s="613" t="s">
        <v>912</v>
      </c>
      <c r="K8" s="613" t="s">
        <v>1150</v>
      </c>
      <c r="L8" s="613" t="s">
        <v>913</v>
      </c>
      <c r="M8" s="613" t="s">
        <v>826</v>
      </c>
      <c r="N8" s="613" t="s">
        <v>914</v>
      </c>
      <c r="O8" s="613" t="s">
        <v>915</v>
      </c>
      <c r="P8" s="613" t="s">
        <v>916</v>
      </c>
      <c r="Q8" s="613" t="s">
        <v>917</v>
      </c>
      <c r="R8" s="613" t="s">
        <v>950</v>
      </c>
      <c r="S8" s="613" t="s">
        <v>946</v>
      </c>
      <c r="T8" s="613" t="s">
        <v>888</v>
      </c>
    </row>
    <row r="9" spans="1:20" hidden="1">
      <c r="A9" s="613" t="s">
        <v>568</v>
      </c>
      <c r="B9" s="613" t="s">
        <v>213</v>
      </c>
      <c r="C9" s="730"/>
      <c r="D9" s="731">
        <v>0.1</v>
      </c>
      <c r="E9" s="730"/>
      <c r="F9" s="730"/>
      <c r="G9" s="731">
        <v>0.05</v>
      </c>
      <c r="H9" s="731">
        <v>0.35</v>
      </c>
      <c r="I9" s="731">
        <v>0.05</v>
      </c>
      <c r="J9" s="731">
        <v>0.35</v>
      </c>
      <c r="K9" s="731">
        <v>0</v>
      </c>
      <c r="L9" s="731">
        <v>0.05</v>
      </c>
      <c r="M9" s="730"/>
      <c r="N9" s="730"/>
      <c r="O9" s="730"/>
      <c r="P9" s="730">
        <v>0.05</v>
      </c>
      <c r="Q9" s="730"/>
      <c r="R9" s="730"/>
      <c r="S9" s="730"/>
      <c r="T9" s="732">
        <f>SUM(C9:S9)</f>
        <v>1</v>
      </c>
    </row>
    <row r="10" spans="1:20" hidden="1">
      <c r="A10" s="613" t="s">
        <v>568</v>
      </c>
      <c r="B10" s="613" t="s">
        <v>367</v>
      </c>
      <c r="C10" s="731">
        <v>0.1</v>
      </c>
      <c r="D10" s="731">
        <v>0.82499999999999996</v>
      </c>
      <c r="E10" s="730"/>
      <c r="F10" s="730"/>
      <c r="G10" s="731">
        <v>0.05</v>
      </c>
      <c r="H10" s="730"/>
      <c r="I10" s="730"/>
      <c r="J10" s="730"/>
      <c r="K10" s="730"/>
      <c r="L10" s="730"/>
      <c r="M10" s="731">
        <v>2.5000000000000001E-2</v>
      </c>
      <c r="N10" s="730"/>
      <c r="O10" s="730"/>
      <c r="P10" s="730"/>
      <c r="Q10" s="730"/>
      <c r="R10" s="730"/>
      <c r="S10" s="730"/>
      <c r="T10" s="732">
        <f>SUM(C10:S10)</f>
        <v>1</v>
      </c>
    </row>
    <row r="11" spans="1:20" hidden="1">
      <c r="A11" s="613" t="s">
        <v>568</v>
      </c>
      <c r="B11" s="613" t="s">
        <v>365</v>
      </c>
      <c r="C11" s="731">
        <v>0.5</v>
      </c>
      <c r="D11" s="731">
        <v>0.3</v>
      </c>
      <c r="E11" s="730"/>
      <c r="F11" s="730"/>
      <c r="G11" s="731">
        <v>0.15</v>
      </c>
      <c r="H11" s="730"/>
      <c r="I11" s="730"/>
      <c r="J11" s="730"/>
      <c r="K11" s="730"/>
      <c r="L11" s="730"/>
      <c r="M11" s="731">
        <v>0.05</v>
      </c>
      <c r="N11" s="730"/>
      <c r="O11" s="730"/>
      <c r="P11" s="730"/>
      <c r="Q11" s="730"/>
      <c r="R11" s="730"/>
      <c r="S11" s="730"/>
      <c r="T11" s="732">
        <f>SUM(C11:S11)</f>
        <v>1</v>
      </c>
    </row>
    <row r="12" spans="1:20" hidden="1">
      <c r="A12" s="613" t="s">
        <v>568</v>
      </c>
      <c r="B12" s="613" t="s">
        <v>409</v>
      </c>
      <c r="C12" s="731">
        <v>0.4</v>
      </c>
      <c r="D12" s="730"/>
      <c r="E12" s="730"/>
      <c r="F12" s="730"/>
      <c r="G12" s="731">
        <v>0.2</v>
      </c>
      <c r="H12" s="731">
        <v>0.4</v>
      </c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2">
        <f>SUM(C12:S12)</f>
        <v>1</v>
      </c>
    </row>
    <row r="13" spans="1:20" hidden="1">
      <c r="A13" s="613" t="s">
        <v>568</v>
      </c>
      <c r="B13" s="613" t="s">
        <v>560</v>
      </c>
      <c r="C13" s="731">
        <v>0.5</v>
      </c>
      <c r="D13" s="730"/>
      <c r="E13" s="731">
        <v>0.1</v>
      </c>
      <c r="F13" s="730"/>
      <c r="G13" s="731"/>
      <c r="H13" s="731">
        <v>0.4</v>
      </c>
      <c r="I13" s="730"/>
      <c r="J13" s="730"/>
      <c r="K13" s="730"/>
      <c r="L13" s="731">
        <v>0</v>
      </c>
      <c r="M13" s="731">
        <v>0</v>
      </c>
      <c r="N13" s="730"/>
      <c r="O13" s="730"/>
      <c r="P13" s="730"/>
      <c r="Q13" s="730"/>
      <c r="R13" s="730"/>
      <c r="S13" s="730"/>
      <c r="T13" s="732">
        <f>SUM(C13:S13)</f>
        <v>1</v>
      </c>
    </row>
    <row r="14" spans="1:20" hidden="1">
      <c r="A14" s="613" t="s">
        <v>568</v>
      </c>
      <c r="B14" s="613" t="s">
        <v>224</v>
      </c>
      <c r="C14" s="764">
        <v>0.9</v>
      </c>
      <c r="D14" s="765"/>
      <c r="E14" s="764">
        <v>2.5000000000000001E-2</v>
      </c>
      <c r="F14" s="766"/>
      <c r="G14" s="766"/>
      <c r="H14" s="766"/>
      <c r="I14" s="766"/>
      <c r="J14" s="766"/>
      <c r="K14" s="766"/>
      <c r="L14" s="766"/>
      <c r="M14" s="764">
        <v>0.05</v>
      </c>
      <c r="N14" s="766"/>
      <c r="O14" s="764">
        <v>2.5000000000000001E-2</v>
      </c>
      <c r="P14" s="766"/>
      <c r="Q14" s="766"/>
      <c r="R14" s="766"/>
      <c r="S14" s="766"/>
      <c r="T14" s="732">
        <f t="shared" ref="T14:T26" si="0">SUM(C14:S14)</f>
        <v>1</v>
      </c>
    </row>
    <row r="15" spans="1:20" hidden="1">
      <c r="A15" s="613" t="s">
        <v>568</v>
      </c>
      <c r="B15" s="613" t="s">
        <v>223</v>
      </c>
      <c r="C15" s="766"/>
      <c r="D15" s="764">
        <v>0.1</v>
      </c>
      <c r="E15" s="764">
        <v>0.05</v>
      </c>
      <c r="F15" s="764">
        <v>0.01</v>
      </c>
      <c r="G15" s="764">
        <v>0.15</v>
      </c>
      <c r="H15" s="764">
        <v>0.05</v>
      </c>
      <c r="I15" s="764">
        <v>0.1</v>
      </c>
      <c r="J15" s="764">
        <v>0.25</v>
      </c>
      <c r="K15" s="764">
        <v>0.01</v>
      </c>
      <c r="L15" s="764">
        <v>0.1</v>
      </c>
      <c r="M15" s="764">
        <v>0.04</v>
      </c>
      <c r="N15" s="764">
        <v>0.01</v>
      </c>
      <c r="O15" s="764">
        <v>0</v>
      </c>
      <c r="P15" s="764">
        <v>0.01</v>
      </c>
      <c r="Q15" s="764">
        <v>0.01</v>
      </c>
      <c r="R15" s="764">
        <v>0.01</v>
      </c>
      <c r="S15" s="764">
        <v>0.1</v>
      </c>
      <c r="T15" s="732">
        <f t="shared" si="0"/>
        <v>1.0000000000000002</v>
      </c>
    </row>
    <row r="16" spans="1:20" hidden="1">
      <c r="A16" s="613" t="s">
        <v>879</v>
      </c>
      <c r="B16" s="613" t="s">
        <v>214</v>
      </c>
      <c r="C16" s="731">
        <v>0</v>
      </c>
      <c r="D16" s="731">
        <v>0.25</v>
      </c>
      <c r="E16" s="730"/>
      <c r="F16" s="730"/>
      <c r="G16" s="731">
        <v>0.25</v>
      </c>
      <c r="H16" s="730"/>
      <c r="I16" s="730"/>
      <c r="J16" s="730"/>
      <c r="K16" s="730"/>
      <c r="L16" s="731">
        <v>0.2</v>
      </c>
      <c r="M16" s="730"/>
      <c r="N16" s="730"/>
      <c r="O16" s="730"/>
      <c r="P16" s="731">
        <v>0.3</v>
      </c>
      <c r="Q16" s="730"/>
      <c r="R16" s="730"/>
      <c r="S16" s="730"/>
      <c r="T16" s="732">
        <f t="shared" si="0"/>
        <v>1</v>
      </c>
    </row>
    <row r="17" spans="1:20" hidden="1">
      <c r="A17" s="613" t="s">
        <v>879</v>
      </c>
      <c r="B17" s="613" t="s">
        <v>216</v>
      </c>
      <c r="C17" s="731">
        <v>0</v>
      </c>
      <c r="D17" s="731">
        <v>0.25</v>
      </c>
      <c r="E17" s="730"/>
      <c r="F17" s="730"/>
      <c r="G17" s="731">
        <v>0.25</v>
      </c>
      <c r="H17" s="730"/>
      <c r="I17" s="730"/>
      <c r="J17" s="730"/>
      <c r="K17" s="730"/>
      <c r="L17" s="731">
        <v>0.15</v>
      </c>
      <c r="M17" s="730"/>
      <c r="N17" s="730"/>
      <c r="O17" s="730"/>
      <c r="P17" s="731">
        <v>0.25</v>
      </c>
      <c r="Q17" s="731">
        <v>0.1</v>
      </c>
      <c r="R17" s="730"/>
      <c r="S17" s="730"/>
      <c r="T17" s="732">
        <f>SUM(C17:S17)</f>
        <v>1</v>
      </c>
    </row>
    <row r="18" spans="1:20" hidden="1">
      <c r="A18" s="613" t="s">
        <v>879</v>
      </c>
      <c r="B18" s="613" t="s">
        <v>456</v>
      </c>
      <c r="C18" s="731">
        <v>0</v>
      </c>
      <c r="D18" s="731">
        <v>0.45</v>
      </c>
      <c r="E18" s="730"/>
      <c r="F18" s="730"/>
      <c r="G18" s="731">
        <v>0.35</v>
      </c>
      <c r="H18" s="730"/>
      <c r="I18" s="730"/>
      <c r="J18" s="730"/>
      <c r="K18" s="730"/>
      <c r="L18" s="731">
        <v>0.2</v>
      </c>
      <c r="M18" s="730"/>
      <c r="N18" s="730"/>
      <c r="O18" s="730"/>
      <c r="P18" s="730"/>
      <c r="Q18" s="730"/>
      <c r="R18" s="730"/>
      <c r="S18" s="730"/>
      <c r="T18" s="732">
        <f>SUM(C18:S18)</f>
        <v>1</v>
      </c>
    </row>
    <row r="19" spans="1:20" hidden="1">
      <c r="A19" s="613" t="s">
        <v>879</v>
      </c>
      <c r="B19" s="613" t="s">
        <v>218</v>
      </c>
      <c r="C19" s="731">
        <v>0.18</v>
      </c>
      <c r="D19" s="686">
        <v>0.55000000000000004</v>
      </c>
      <c r="E19" s="730"/>
      <c r="F19" s="730"/>
      <c r="G19" s="686">
        <v>0.1</v>
      </c>
      <c r="H19" s="730"/>
      <c r="I19" s="730"/>
      <c r="J19" s="730"/>
      <c r="K19" s="730"/>
      <c r="L19" s="686">
        <v>0.17</v>
      </c>
      <c r="M19" s="730"/>
      <c r="N19" s="730"/>
      <c r="O19" s="730"/>
      <c r="P19" s="730"/>
      <c r="Q19" s="730"/>
      <c r="R19" s="730"/>
      <c r="S19" s="730"/>
      <c r="T19" s="732">
        <f>SUM(C19:S19)</f>
        <v>1</v>
      </c>
    </row>
    <row r="20" spans="1:20" hidden="1">
      <c r="A20" s="613" t="s">
        <v>879</v>
      </c>
      <c r="B20" s="613" t="s">
        <v>219</v>
      </c>
      <c r="C20" s="731">
        <v>0.25</v>
      </c>
      <c r="D20" s="686">
        <v>0.4</v>
      </c>
      <c r="E20" s="730"/>
      <c r="F20" s="730"/>
      <c r="G20" s="731">
        <v>0.1</v>
      </c>
      <c r="H20" s="730"/>
      <c r="I20" s="730"/>
      <c r="J20" s="730"/>
      <c r="K20" s="730"/>
      <c r="L20" s="731">
        <v>0.25</v>
      </c>
      <c r="M20" s="730"/>
      <c r="N20" s="730"/>
      <c r="O20" s="730"/>
      <c r="P20" s="730"/>
      <c r="Q20" s="730"/>
      <c r="R20" s="730"/>
      <c r="S20" s="730"/>
      <c r="T20" s="732">
        <f>SUM(C20:S20)</f>
        <v>1</v>
      </c>
    </row>
    <row r="21" spans="1:20" hidden="1">
      <c r="A21" s="613" t="s">
        <v>879</v>
      </c>
      <c r="B21" s="613" t="s">
        <v>239</v>
      </c>
      <c r="C21" s="764">
        <v>0.96</v>
      </c>
      <c r="D21" s="765"/>
      <c r="E21" s="764">
        <v>0.02</v>
      </c>
      <c r="F21" s="766"/>
      <c r="G21" s="766"/>
      <c r="H21" s="766"/>
      <c r="I21" s="766"/>
      <c r="J21" s="766"/>
      <c r="K21" s="766"/>
      <c r="L21" s="766"/>
      <c r="M21" s="764">
        <v>0.01</v>
      </c>
      <c r="N21" s="766"/>
      <c r="O21" s="764">
        <v>0.01</v>
      </c>
      <c r="P21" s="766"/>
      <c r="Q21" s="766"/>
      <c r="R21" s="766"/>
      <c r="S21" s="766"/>
      <c r="T21" s="732">
        <f t="shared" si="0"/>
        <v>1</v>
      </c>
    </row>
    <row r="22" spans="1:20" hidden="1">
      <c r="A22" s="613" t="s">
        <v>879</v>
      </c>
      <c r="B22" s="613" t="s">
        <v>240</v>
      </c>
      <c r="C22" s="766"/>
      <c r="D22" s="764">
        <v>0.15</v>
      </c>
      <c r="E22" s="764">
        <v>0.05</v>
      </c>
      <c r="F22" s="764">
        <v>0.01</v>
      </c>
      <c r="G22" s="764">
        <v>0.15</v>
      </c>
      <c r="H22" s="764">
        <v>0.05</v>
      </c>
      <c r="I22" s="764">
        <v>0.1</v>
      </c>
      <c r="J22" s="764">
        <v>0.05</v>
      </c>
      <c r="K22" s="764">
        <v>0.05</v>
      </c>
      <c r="L22" s="764">
        <v>0.15</v>
      </c>
      <c r="M22" s="764">
        <v>0.05</v>
      </c>
      <c r="N22" s="764">
        <v>0.01</v>
      </c>
      <c r="O22" s="764">
        <v>0</v>
      </c>
      <c r="P22" s="764">
        <v>0.01</v>
      </c>
      <c r="Q22" s="764">
        <v>0.06</v>
      </c>
      <c r="R22" s="764">
        <v>0.01</v>
      </c>
      <c r="S22" s="764">
        <v>0.1</v>
      </c>
      <c r="T22" s="732">
        <f>SUM(C22:S22)</f>
        <v>1.0000000000000002</v>
      </c>
    </row>
    <row r="23" spans="1:20" hidden="1">
      <c r="A23" s="613" t="s">
        <v>880</v>
      </c>
      <c r="B23" s="613" t="s">
        <v>220</v>
      </c>
      <c r="C23" s="731">
        <v>0.8</v>
      </c>
      <c r="D23" s="764">
        <v>0.06</v>
      </c>
      <c r="E23" s="730"/>
      <c r="F23" s="730"/>
      <c r="G23" s="764">
        <v>0.05</v>
      </c>
      <c r="H23" s="764">
        <v>0.05</v>
      </c>
      <c r="I23" s="730"/>
      <c r="J23" s="730"/>
      <c r="K23" s="730"/>
      <c r="L23" s="764">
        <v>0.04</v>
      </c>
      <c r="M23" s="734"/>
      <c r="N23" s="730"/>
      <c r="O23" s="730"/>
      <c r="P23" s="730"/>
      <c r="Q23" s="730"/>
      <c r="R23" s="730"/>
      <c r="S23" s="730"/>
      <c r="T23" s="732">
        <f t="shared" si="0"/>
        <v>1.0000000000000002</v>
      </c>
    </row>
    <row r="24" spans="1:20" hidden="1">
      <c r="A24" s="613" t="s">
        <v>880</v>
      </c>
      <c r="B24" s="613" t="s">
        <v>222</v>
      </c>
      <c r="C24" s="731">
        <v>0.55000000000000004</v>
      </c>
      <c r="D24" s="764">
        <v>0.1</v>
      </c>
      <c r="E24" s="730"/>
      <c r="F24" s="730"/>
      <c r="G24" s="764">
        <v>0.05</v>
      </c>
      <c r="H24" s="764">
        <v>0.1</v>
      </c>
      <c r="I24" s="730"/>
      <c r="J24" s="730"/>
      <c r="K24" s="730"/>
      <c r="L24" s="764">
        <v>0.2</v>
      </c>
      <c r="M24" s="734"/>
      <c r="N24" s="730"/>
      <c r="O24" s="730"/>
      <c r="P24" s="730"/>
      <c r="Q24" s="730"/>
      <c r="R24" s="730"/>
      <c r="S24" s="730"/>
      <c r="T24" s="732">
        <f t="shared" si="0"/>
        <v>1</v>
      </c>
    </row>
    <row r="25" spans="1:20" hidden="1">
      <c r="A25" s="613" t="s">
        <v>880</v>
      </c>
      <c r="B25" s="613" t="s">
        <v>407</v>
      </c>
      <c r="C25" s="731">
        <v>0.9</v>
      </c>
      <c r="D25" s="764">
        <v>0.05</v>
      </c>
      <c r="E25" s="730"/>
      <c r="F25" s="730"/>
      <c r="G25" s="730"/>
      <c r="H25" s="730"/>
      <c r="I25" s="730"/>
      <c r="J25" s="730"/>
      <c r="K25" s="730"/>
      <c r="L25" s="764">
        <v>0.05</v>
      </c>
      <c r="M25" s="734"/>
      <c r="N25" s="730"/>
      <c r="O25" s="730"/>
      <c r="P25" s="730"/>
      <c r="Q25" s="730"/>
      <c r="R25" s="730"/>
      <c r="S25" s="730"/>
      <c r="T25" s="732">
        <f t="shared" si="0"/>
        <v>1</v>
      </c>
    </row>
    <row r="26" spans="1:20" hidden="1">
      <c r="A26" s="613" t="s">
        <v>880</v>
      </c>
      <c r="B26" s="613" t="s">
        <v>406</v>
      </c>
      <c r="C26" s="731">
        <v>0.3</v>
      </c>
      <c r="D26" s="764">
        <v>0.35</v>
      </c>
      <c r="E26" s="764">
        <v>0.05</v>
      </c>
      <c r="F26" s="730"/>
      <c r="G26" s="764"/>
      <c r="H26" s="764">
        <v>0.05</v>
      </c>
      <c r="I26" s="730"/>
      <c r="J26" s="730"/>
      <c r="K26" s="730"/>
      <c r="L26" s="764">
        <v>0.25</v>
      </c>
      <c r="M26" s="734"/>
      <c r="N26" s="730"/>
      <c r="O26" s="730"/>
      <c r="P26" s="730"/>
      <c r="Q26" s="730"/>
      <c r="R26" s="730"/>
      <c r="S26" s="730"/>
      <c r="T26" s="732">
        <f t="shared" si="0"/>
        <v>1</v>
      </c>
    </row>
    <row r="27" spans="1:20" hidden="1">
      <c r="A27" s="613" t="s">
        <v>880</v>
      </c>
      <c r="B27" s="613" t="s">
        <v>235</v>
      </c>
      <c r="C27" s="764">
        <v>0.97</v>
      </c>
      <c r="D27" s="765"/>
      <c r="E27" s="764">
        <v>0.03</v>
      </c>
      <c r="F27" s="766"/>
      <c r="G27" s="766"/>
      <c r="H27" s="766"/>
      <c r="I27" s="766"/>
      <c r="J27" s="766"/>
      <c r="K27" s="766"/>
      <c r="L27" s="766"/>
      <c r="M27" s="764">
        <v>0</v>
      </c>
      <c r="N27" s="766"/>
      <c r="O27" s="764">
        <v>0</v>
      </c>
      <c r="P27" s="766"/>
      <c r="Q27" s="766"/>
      <c r="R27" s="766"/>
      <c r="S27" s="766"/>
      <c r="T27" s="732">
        <f>SUM(C27:S27)</f>
        <v>1</v>
      </c>
    </row>
    <row r="28" spans="1:20" hidden="1">
      <c r="A28" s="613" t="s">
        <v>880</v>
      </c>
      <c r="B28" s="613" t="s">
        <v>236</v>
      </c>
      <c r="C28" s="766"/>
      <c r="D28" s="764">
        <v>0.3</v>
      </c>
      <c r="E28" s="764">
        <v>0.05</v>
      </c>
      <c r="F28" s="764">
        <v>0.01</v>
      </c>
      <c r="G28" s="764">
        <v>0.1</v>
      </c>
      <c r="H28" s="764">
        <v>0.05</v>
      </c>
      <c r="I28" s="764">
        <v>0.1</v>
      </c>
      <c r="J28" s="764">
        <v>0.05</v>
      </c>
      <c r="K28" s="764">
        <v>0.01</v>
      </c>
      <c r="L28" s="764">
        <v>0.12</v>
      </c>
      <c r="M28" s="764">
        <v>0.05</v>
      </c>
      <c r="N28" s="764">
        <v>0.01</v>
      </c>
      <c r="O28" s="764">
        <v>0</v>
      </c>
      <c r="P28" s="764">
        <v>0.01</v>
      </c>
      <c r="Q28" s="764">
        <v>0.03</v>
      </c>
      <c r="R28" s="764">
        <v>0.01</v>
      </c>
      <c r="S28" s="764">
        <v>0.1</v>
      </c>
      <c r="T28" s="732">
        <f>SUM(C28:S28)</f>
        <v>1.0000000000000002</v>
      </c>
    </row>
    <row r="29" spans="1:20" hidden="1">
      <c r="A29" s="613" t="s">
        <v>787</v>
      </c>
      <c r="B29" s="613" t="s">
        <v>251</v>
      </c>
      <c r="C29" s="731">
        <v>0.1</v>
      </c>
      <c r="D29" s="731">
        <v>0.2</v>
      </c>
      <c r="E29" s="731">
        <v>0.05</v>
      </c>
      <c r="F29" s="730"/>
      <c r="G29" s="730"/>
      <c r="H29" s="730"/>
      <c r="I29" s="730"/>
      <c r="J29" s="730"/>
      <c r="K29" s="730"/>
      <c r="L29" s="731">
        <v>0.05</v>
      </c>
      <c r="M29" s="731">
        <v>0.05</v>
      </c>
      <c r="N29" s="731">
        <v>0.05</v>
      </c>
      <c r="O29" s="731">
        <v>0.5</v>
      </c>
      <c r="P29" s="730"/>
      <c r="Q29" s="730"/>
      <c r="R29" s="730"/>
      <c r="S29" s="730"/>
      <c r="T29" s="732">
        <f t="shared" ref="T29:T42" si="1">SUM(C29:S29)</f>
        <v>1</v>
      </c>
    </row>
    <row r="30" spans="1:20" hidden="1">
      <c r="A30" s="613" t="s">
        <v>787</v>
      </c>
      <c r="B30" s="613" t="s">
        <v>252</v>
      </c>
      <c r="C30" s="731">
        <v>0.1</v>
      </c>
      <c r="D30" s="731">
        <v>0.15</v>
      </c>
      <c r="E30" s="731">
        <v>0.05</v>
      </c>
      <c r="F30" s="730"/>
      <c r="G30" s="730"/>
      <c r="H30" s="730"/>
      <c r="I30" s="730"/>
      <c r="J30" s="730"/>
      <c r="K30" s="730"/>
      <c r="L30" s="731">
        <v>0.05</v>
      </c>
      <c r="M30" s="731">
        <v>0.05</v>
      </c>
      <c r="N30" s="731">
        <v>0.1</v>
      </c>
      <c r="O30" s="731">
        <v>0.5</v>
      </c>
      <c r="P30" s="730"/>
      <c r="Q30" s="730"/>
      <c r="R30" s="730"/>
      <c r="S30" s="730"/>
      <c r="T30" s="732">
        <f t="shared" si="1"/>
        <v>1</v>
      </c>
    </row>
    <row r="31" spans="1:20" hidden="1">
      <c r="A31" s="613" t="s">
        <v>787</v>
      </c>
      <c r="B31" s="613" t="s">
        <v>254</v>
      </c>
      <c r="C31" s="731">
        <v>0.1</v>
      </c>
      <c r="D31" s="731">
        <v>0.75</v>
      </c>
      <c r="E31" s="730"/>
      <c r="F31" s="730"/>
      <c r="G31" s="731">
        <v>0.05</v>
      </c>
      <c r="H31" s="730"/>
      <c r="I31" s="730"/>
      <c r="J31" s="730"/>
      <c r="K31" s="730"/>
      <c r="L31" s="730"/>
      <c r="M31" s="730"/>
      <c r="N31" s="730"/>
      <c r="O31" s="731">
        <v>0.1</v>
      </c>
      <c r="P31" s="730"/>
      <c r="Q31" s="730"/>
      <c r="R31" s="730"/>
      <c r="S31" s="730"/>
      <c r="T31" s="732">
        <f t="shared" si="1"/>
        <v>1</v>
      </c>
    </row>
    <row r="32" spans="1:20" hidden="1">
      <c r="A32" s="613" t="s">
        <v>787</v>
      </c>
      <c r="B32" s="613" t="s">
        <v>539</v>
      </c>
      <c r="C32" s="731">
        <v>1</v>
      </c>
      <c r="D32" s="731">
        <v>0</v>
      </c>
      <c r="E32" s="730"/>
      <c r="F32" s="730"/>
      <c r="G32" s="731"/>
      <c r="H32" s="730"/>
      <c r="I32" s="730"/>
      <c r="J32" s="730"/>
      <c r="K32" s="730"/>
      <c r="L32" s="730"/>
      <c r="M32" s="730"/>
      <c r="N32" s="730"/>
      <c r="O32" s="731"/>
      <c r="P32" s="730"/>
      <c r="Q32" s="730"/>
      <c r="R32" s="730"/>
      <c r="S32" s="730"/>
      <c r="T32" s="732">
        <f t="shared" si="1"/>
        <v>1</v>
      </c>
    </row>
    <row r="33" spans="1:21" hidden="1">
      <c r="A33" s="613" t="s">
        <v>787</v>
      </c>
      <c r="B33" s="613" t="s">
        <v>353</v>
      </c>
      <c r="C33" s="731">
        <v>0.1</v>
      </c>
      <c r="D33" s="731">
        <v>0.85</v>
      </c>
      <c r="E33" s="735"/>
      <c r="F33" s="735"/>
      <c r="G33" s="731">
        <v>0.05</v>
      </c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2">
        <f t="shared" si="1"/>
        <v>1</v>
      </c>
    </row>
    <row r="34" spans="1:21" hidden="1">
      <c r="A34" s="613" t="s">
        <v>787</v>
      </c>
      <c r="B34" s="613" t="s">
        <v>560</v>
      </c>
      <c r="C34" s="731">
        <v>0.4</v>
      </c>
      <c r="D34" s="731">
        <v>0.25</v>
      </c>
      <c r="E34" s="731">
        <v>0.05</v>
      </c>
      <c r="F34" s="735"/>
      <c r="G34" s="731">
        <v>0.02</v>
      </c>
      <c r="H34" s="735">
        <v>0.01</v>
      </c>
      <c r="I34" s="735"/>
      <c r="J34" s="735"/>
      <c r="K34" s="735"/>
      <c r="L34" s="731">
        <v>0.14000000000000001</v>
      </c>
      <c r="M34" s="731">
        <v>0.05</v>
      </c>
      <c r="N34" s="731">
        <v>7.0000000000000007E-2</v>
      </c>
      <c r="O34" s="735">
        <v>0.01</v>
      </c>
      <c r="P34" s="735"/>
      <c r="Q34" s="735"/>
      <c r="R34" s="735"/>
      <c r="S34" s="735"/>
      <c r="T34" s="732">
        <f>SUM(C34:S34)</f>
        <v>1.0000000000000002</v>
      </c>
    </row>
    <row r="35" spans="1:21" hidden="1">
      <c r="A35" s="613" t="s">
        <v>787</v>
      </c>
      <c r="B35" s="613" t="s">
        <v>227</v>
      </c>
      <c r="C35" s="764">
        <v>0.96</v>
      </c>
      <c r="D35" s="765"/>
      <c r="E35" s="764">
        <v>0.02</v>
      </c>
      <c r="F35" s="766"/>
      <c r="G35" s="766"/>
      <c r="H35" s="766"/>
      <c r="I35" s="766"/>
      <c r="J35" s="766"/>
      <c r="K35" s="766"/>
      <c r="L35" s="766"/>
      <c r="M35" s="764">
        <v>0.01</v>
      </c>
      <c r="N35" s="766"/>
      <c r="O35" s="764">
        <v>0.01</v>
      </c>
      <c r="P35" s="766"/>
      <c r="Q35" s="766"/>
      <c r="R35" s="766"/>
      <c r="S35" s="766"/>
      <c r="T35" s="732">
        <f t="shared" si="1"/>
        <v>1</v>
      </c>
    </row>
    <row r="36" spans="1:21" hidden="1">
      <c r="A36" s="613" t="s">
        <v>787</v>
      </c>
      <c r="B36" s="613" t="s">
        <v>228</v>
      </c>
      <c r="C36" s="766"/>
      <c r="D36" s="764">
        <v>0.4</v>
      </c>
      <c r="E36" s="766"/>
      <c r="F36" s="764">
        <v>0.03</v>
      </c>
      <c r="G36" s="764">
        <v>0.05</v>
      </c>
      <c r="H36" s="764">
        <v>0.03</v>
      </c>
      <c r="I36" s="764">
        <v>0.03</v>
      </c>
      <c r="J36" s="764">
        <v>0.01</v>
      </c>
      <c r="K36" s="764">
        <v>0.03</v>
      </c>
      <c r="L36" s="764">
        <v>0.1</v>
      </c>
      <c r="M36" s="764">
        <v>0.03</v>
      </c>
      <c r="N36" s="764">
        <v>0.02</v>
      </c>
      <c r="O36" s="766"/>
      <c r="P36" s="764">
        <v>0.05</v>
      </c>
      <c r="Q36" s="764">
        <v>0.01</v>
      </c>
      <c r="R36" s="764">
        <v>0.01</v>
      </c>
      <c r="S36" s="764">
        <v>0.2</v>
      </c>
      <c r="T36" s="732">
        <f t="shared" si="1"/>
        <v>1.0000000000000002</v>
      </c>
    </row>
    <row r="37" spans="1:21" hidden="1">
      <c r="A37" s="613" t="s">
        <v>978</v>
      </c>
      <c r="B37" s="613" t="s">
        <v>250</v>
      </c>
      <c r="C37" s="730">
        <v>0</v>
      </c>
      <c r="D37" s="730">
        <v>0.4</v>
      </c>
      <c r="E37" s="730">
        <v>0.25</v>
      </c>
      <c r="F37" s="730"/>
      <c r="G37" s="730"/>
      <c r="H37" s="730"/>
      <c r="I37" s="730"/>
      <c r="J37" s="730"/>
      <c r="K37" s="730"/>
      <c r="L37" s="730"/>
      <c r="M37" s="730">
        <v>0.35</v>
      </c>
      <c r="N37" s="730"/>
      <c r="O37" s="730"/>
      <c r="P37" s="730"/>
      <c r="Q37" s="730"/>
      <c r="S37" s="730"/>
      <c r="T37" s="732">
        <f>SUM(C37:S37)</f>
        <v>1</v>
      </c>
    </row>
    <row r="38" spans="1:21" s="736" customFormat="1" hidden="1">
      <c r="A38" s="613" t="s">
        <v>978</v>
      </c>
      <c r="B38" s="613" t="s">
        <v>249</v>
      </c>
      <c r="C38" s="730">
        <v>1</v>
      </c>
      <c r="D38" s="730">
        <v>0</v>
      </c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2">
        <f t="shared" si="1"/>
        <v>1</v>
      </c>
    </row>
    <row r="39" spans="1:21" s="736" customFormat="1" hidden="1">
      <c r="A39" s="613" t="s">
        <v>978</v>
      </c>
      <c r="B39" s="613" t="s">
        <v>247</v>
      </c>
      <c r="C39" s="730">
        <v>0</v>
      </c>
      <c r="D39" s="730">
        <v>0.4</v>
      </c>
      <c r="E39" s="730"/>
      <c r="F39" s="730"/>
      <c r="G39" s="730">
        <v>0.05</v>
      </c>
      <c r="H39" s="730"/>
      <c r="I39" s="730"/>
      <c r="J39" s="730"/>
      <c r="K39" s="730"/>
      <c r="L39" s="730">
        <v>0.5</v>
      </c>
      <c r="M39" s="730"/>
      <c r="N39" s="730"/>
      <c r="O39" s="730"/>
      <c r="P39" s="730"/>
      <c r="Q39" s="730">
        <v>0.05</v>
      </c>
      <c r="R39" s="730"/>
      <c r="S39" s="730"/>
      <c r="T39" s="732">
        <f>SUM(C39:S39)</f>
        <v>1</v>
      </c>
    </row>
    <row r="40" spans="1:21" s="736" customFormat="1" hidden="1">
      <c r="A40" s="613" t="s">
        <v>978</v>
      </c>
      <c r="B40" s="613" t="s">
        <v>338</v>
      </c>
      <c r="C40" s="730">
        <v>0</v>
      </c>
      <c r="D40" s="730">
        <v>0.5</v>
      </c>
      <c r="E40" s="730">
        <v>0.2</v>
      </c>
      <c r="F40" s="730"/>
      <c r="G40" s="730"/>
      <c r="H40" s="730"/>
      <c r="I40" s="730"/>
      <c r="J40" s="730"/>
      <c r="K40" s="730"/>
      <c r="L40" s="730"/>
      <c r="M40" s="730">
        <v>0.3</v>
      </c>
      <c r="N40" s="730"/>
      <c r="O40" s="730"/>
      <c r="P40" s="730"/>
      <c r="Q40" s="730"/>
      <c r="R40" s="730"/>
      <c r="S40" s="730"/>
      <c r="T40" s="732">
        <f>SUM(C40:S40)</f>
        <v>1</v>
      </c>
    </row>
    <row r="41" spans="1:21" s="736" customFormat="1" hidden="1">
      <c r="A41" s="613" t="s">
        <v>978</v>
      </c>
      <c r="B41" s="613" t="s">
        <v>560</v>
      </c>
      <c r="C41" s="730">
        <v>0.12</v>
      </c>
      <c r="D41" s="730">
        <v>0.34</v>
      </c>
      <c r="E41" s="730">
        <v>0.05</v>
      </c>
      <c r="F41" s="730"/>
      <c r="G41" s="730">
        <v>0.03</v>
      </c>
      <c r="H41" s="730">
        <v>0.01</v>
      </c>
      <c r="I41" s="730"/>
      <c r="J41" s="730"/>
      <c r="K41" s="730"/>
      <c r="L41" s="730">
        <v>0.22</v>
      </c>
      <c r="M41" s="730">
        <v>0.2</v>
      </c>
      <c r="N41" s="730"/>
      <c r="O41" s="730"/>
      <c r="P41" s="730"/>
      <c r="Q41" s="730">
        <v>0.01</v>
      </c>
      <c r="R41" s="730"/>
      <c r="S41" s="730"/>
      <c r="T41" s="732">
        <f>SUM(C41:S41)</f>
        <v>0.98</v>
      </c>
    </row>
    <row r="42" spans="1:21" hidden="1">
      <c r="A42" s="613" t="s">
        <v>978</v>
      </c>
      <c r="B42" s="613" t="s">
        <v>231</v>
      </c>
      <c r="C42" s="764">
        <v>1</v>
      </c>
      <c r="D42" s="765"/>
      <c r="E42" s="764">
        <v>0</v>
      </c>
      <c r="F42" s="766"/>
      <c r="G42" s="766"/>
      <c r="H42" s="766"/>
      <c r="I42" s="766"/>
      <c r="J42" s="766"/>
      <c r="K42" s="766"/>
      <c r="L42" s="766"/>
      <c r="M42" s="764">
        <v>0</v>
      </c>
      <c r="N42" s="766"/>
      <c r="O42" s="764">
        <v>0</v>
      </c>
      <c r="P42" s="766"/>
      <c r="Q42" s="766"/>
      <c r="R42" s="766"/>
      <c r="S42" s="766"/>
      <c r="T42" s="732">
        <f t="shared" si="1"/>
        <v>1</v>
      </c>
    </row>
    <row r="43" spans="1:21" hidden="1">
      <c r="A43" s="613" t="s">
        <v>978</v>
      </c>
      <c r="B43" s="613" t="s">
        <v>232</v>
      </c>
      <c r="C43" s="766"/>
      <c r="D43" s="764">
        <v>0.19</v>
      </c>
      <c r="E43" s="764">
        <v>0.01</v>
      </c>
      <c r="F43" s="764">
        <v>0.01</v>
      </c>
      <c r="G43" s="764">
        <v>5.8000000000000003E-2</v>
      </c>
      <c r="H43" s="764">
        <v>0.01</v>
      </c>
      <c r="I43" s="764">
        <v>2E-3</v>
      </c>
      <c r="J43" s="764">
        <v>0</v>
      </c>
      <c r="K43" s="764">
        <v>0.03</v>
      </c>
      <c r="L43" s="764">
        <v>0.08</v>
      </c>
      <c r="M43" s="764">
        <v>0.01</v>
      </c>
      <c r="N43" s="764">
        <v>0</v>
      </c>
      <c r="O43" s="764">
        <v>0.01</v>
      </c>
      <c r="P43" s="764">
        <v>0</v>
      </c>
      <c r="Q43" s="764">
        <v>0.46</v>
      </c>
      <c r="R43" s="764">
        <v>0.01</v>
      </c>
      <c r="S43" s="764">
        <v>0.12</v>
      </c>
      <c r="T43" s="732">
        <f>SUM(C43:S43)</f>
        <v>1</v>
      </c>
    </row>
    <row r="44" spans="1:21" hidden="1"/>
    <row r="45" spans="1:21" hidden="1"/>
    <row r="46" spans="1:21" hidden="1"/>
    <row r="47" spans="1:21" hidden="1">
      <c r="B47" s="612" t="s">
        <v>81</v>
      </c>
      <c r="U47" s="710">
        <f ca="1">Drivers2!$X$27</f>
        <v>0.82</v>
      </c>
    </row>
    <row r="48" spans="1:21" hidden="1">
      <c r="C48" s="613" t="s">
        <v>905</v>
      </c>
      <c r="D48" s="613" t="s">
        <v>906</v>
      </c>
      <c r="E48" s="613" t="s">
        <v>907</v>
      </c>
      <c r="F48" s="613" t="s">
        <v>908</v>
      </c>
      <c r="G48" s="613" t="s">
        <v>909</v>
      </c>
      <c r="H48" s="613" t="s">
        <v>910</v>
      </c>
      <c r="I48" s="613" t="s">
        <v>911</v>
      </c>
      <c r="J48" s="613" t="s">
        <v>912</v>
      </c>
      <c r="K48" s="613" t="s">
        <v>1150</v>
      </c>
      <c r="L48" s="613" t="s">
        <v>913</v>
      </c>
      <c r="M48" s="613" t="s">
        <v>826</v>
      </c>
      <c r="N48" s="613" t="s">
        <v>914</v>
      </c>
      <c r="O48" s="613" t="s">
        <v>915</v>
      </c>
      <c r="P48" s="613" t="s">
        <v>916</v>
      </c>
      <c r="Q48" s="613" t="s">
        <v>917</v>
      </c>
      <c r="R48" s="613" t="s">
        <v>950</v>
      </c>
      <c r="S48" s="613" t="s">
        <v>946</v>
      </c>
      <c r="T48" s="613" t="s">
        <v>888</v>
      </c>
      <c r="U48" s="613" t="s">
        <v>378</v>
      </c>
    </row>
    <row r="49" spans="1:21" hidden="1">
      <c r="B49" s="613" t="s">
        <v>568</v>
      </c>
      <c r="C49" s="613">
        <f t="array" aca="1" ref="C49" ca="1">SUM(IF($A$9:$A$43=$B49,Drivers2!$R$58:$R$92*C$9:C$43))</f>
        <v>7.286781894794557E-2</v>
      </c>
      <c r="D49" s="613">
        <f t="array" aca="1" ref="D49" ca="1">SUM(IF($A$9:$A$43=$B49,Drivers2!$R$58:$R$92*D$9:D$43))</f>
        <v>3.9719947911931331E-3</v>
      </c>
      <c r="E49" s="613">
        <f t="array" aca="1" ref="E49" ca="1">SUM(IF($A$9:$A$43=$B49,Drivers2!$R$58:$R$92*E$9:E$43))</f>
        <v>8.5247465527093502E-3</v>
      </c>
      <c r="F49" s="613">
        <f t="array" aca="1" ref="F49" ca="1">SUM(IF($A$9:$A$43=$B49,Drivers2!$R$58:$R$92*F$9:F$43))</f>
        <v>3.9719947911931328E-4</v>
      </c>
      <c r="G49" s="613">
        <f t="array" aca="1" ref="G49" ca="1">SUM(IF($A$9:$A$43=$B49,Drivers2!$R$58:$R$92*G$9:G$43))</f>
        <v>5.9579921867896988E-3</v>
      </c>
      <c r="H49" s="613">
        <f t="array" aca="1" ref="H49" ca="1">SUM(IF($A$9:$A$43=$B49,Drivers2!$R$58:$R$92*H$9:H$43))</f>
        <v>2.2957242648256514E-2</v>
      </c>
      <c r="I49" s="613">
        <f t="array" aca="1" ref="I49" ca="1">SUM(IF($A$9:$A$43=$B49,Drivers2!$R$58:$R$92*I$9:I$43))</f>
        <v>3.9719947911931331E-3</v>
      </c>
      <c r="J49" s="613">
        <f t="array" aca="1" ref="J49" ca="1">SUM(IF($A$9:$A$43=$B49,Drivers2!$R$58:$R$92*J$9:J$43))</f>
        <v>9.9299869779828319E-3</v>
      </c>
      <c r="K49" s="613">
        <f t="array" aca="1" ref="K49" ca="1">SUM(IF($A$9:$A$43=$B49,Drivers2!$R$58:$R$92*K$9:K$43))</f>
        <v>3.9719947911931328E-4</v>
      </c>
      <c r="L49" s="613">
        <f t="array" aca="1" ref="L49" ca="1">SUM(IF($A$9:$A$43=$B49,Drivers2!$R$58:$R$92*L$9:L$43))</f>
        <v>3.9719947911931331E-3</v>
      </c>
      <c r="M49" s="613">
        <f t="array" aca="1" ref="M49" ca="1">SUM(IF($A$9:$A$43=$B49,Drivers2!$R$58:$R$92*M$9:M$43))</f>
        <v>4.1806736043728445E-3</v>
      </c>
      <c r="N49" s="613">
        <f t="array" aca="1" ref="N49" ca="1">SUM(IF($A$9:$A$43=$B49,Drivers2!$R$58:$R$92*N$9:N$43))</f>
        <v>3.9719947911931328E-4</v>
      </c>
      <c r="O49" s="613">
        <f t="array" aca="1" ref="O49" ca="1">SUM(IF($A$9:$A$43=$B49,Drivers2!$R$58:$R$92*O$9:O$43))</f>
        <v>1.2959378439477956E-3</v>
      </c>
      <c r="P49" s="613">
        <f t="array" aca="1" ref="P49" ca="1">SUM(IF($A$9:$A$43=$B49,Drivers2!$R$58:$R$92*P$9:P$43))</f>
        <v>3.9719947911931328E-4</v>
      </c>
      <c r="Q49" s="613">
        <f t="array" aca="1" ref="Q49" ca="1">SUM(IF($A$9:$A$43=$B49,Drivers2!$R$58:$R$92*Q$9:Q$43))</f>
        <v>3.9719947911931328E-4</v>
      </c>
      <c r="R49" s="613">
        <f t="array" aca="1" ref="R49" ca="1">SUM(IF($A$9:$A$43=$B49,Drivers2!$R$58:$R$92*R$9:R$43))</f>
        <v>3.9719947911931328E-4</v>
      </c>
      <c r="S49" s="613">
        <f t="array" aca="1" ref="S49" ca="1">SUM(IF($A$9:$A$43=$B49,Drivers2!$R$58:$R$92*S$9:S$43))</f>
        <v>3.9719947911931331E-3</v>
      </c>
      <c r="T49" s="651">
        <f>SUM(C49:S49)</f>
        <v>0.14398557480149304</v>
      </c>
      <c r="U49" s="613">
        <f>SUM(D49:S49)</f>
        <v>7.1117755853547446E-2</v>
      </c>
    </row>
    <row r="50" spans="1:21" hidden="1">
      <c r="B50" s="613" t="s">
        <v>879</v>
      </c>
      <c r="C50" s="613">
        <f t="array" aca="1" ref="C50" ca="1">SUM(IF($A$9:$A$43=$B50,Drivers2!$R$58:$R$92*C$9:C$43))</f>
        <v>0.18568245875165196</v>
      </c>
      <c r="D50" s="613">
        <f t="array" aca="1" ref="D50" ca="1">SUM(IF($A$9:$A$43=$B50,Drivers2!$R$58:$R$92*D$9:D$43))</f>
        <v>0.18069830090125427</v>
      </c>
      <c r="E50" s="613">
        <f t="array" aca="1" ref="E50" ca="1">SUM(IF($A$9:$A$43=$B50,Drivers2!$R$58:$R$92*E$9:E$43))</f>
        <v>1.2702932906541618E-2</v>
      </c>
      <c r="F50" s="613">
        <f t="array" aca="1" ref="F50" ca="1">SUM(IF($A$9:$A$43=$B50,Drivers2!$R$58:$R$92*F$9:F$43))</f>
        <v>2.1533624414060335E-3</v>
      </c>
      <c r="G50" s="613">
        <f t="array" aca="1" ref="G50" ca="1">SUM(IF($A$9:$A$43=$B50,Drivers2!$R$58:$R$92*G$9:G$43))</f>
        <v>6.9399902691131443E-2</v>
      </c>
      <c r="H50" s="613">
        <f t="array" aca="1" ref="H50" ca="1">SUM(IF($A$9:$A$43=$B50,Drivers2!$R$58:$R$92*H$9:H$43))</f>
        <v>1.0766812207030168E-2</v>
      </c>
      <c r="I50" s="613">
        <f t="array" aca="1" ref="I50" ca="1">SUM(IF($A$9:$A$43=$B50,Drivers2!$R$58:$R$92*I$9:I$43))</f>
        <v>2.1533624414060336E-2</v>
      </c>
      <c r="J50" s="613">
        <f t="array" aca="1" ref="J50" ca="1">SUM(IF($A$9:$A$43=$B50,Drivers2!$R$58:$R$92*J$9:J$43))</f>
        <v>1.0766812207030168E-2</v>
      </c>
      <c r="K50" s="613">
        <f t="array" aca="1" ref="K50" ca="1">SUM(IF($A$9:$A$43=$B50,Drivers2!$R$58:$R$92*K$9:K$43))</f>
        <v>1.0766812207030168E-2</v>
      </c>
      <c r="L50" s="613">
        <f t="array" aca="1" ref="L50" ca="1">SUM(IF($A$9:$A$43=$B50,Drivers2!$R$58:$R$92*L$9:L$43))</f>
        <v>0.12504910179619286</v>
      </c>
      <c r="M50" s="613">
        <f t="array" aca="1" ref="M50" ca="1">SUM(IF($A$9:$A$43=$B50,Drivers2!$R$58:$R$92*M$9:M$43))</f>
        <v>1.1734872556785894E-2</v>
      </c>
      <c r="N50" s="613">
        <f t="array" aca="1" ref="N50" ca="1">SUM(IF($A$9:$A$43=$B50,Drivers2!$R$58:$R$92*N$9:N$43))</f>
        <v>2.1533624414060335E-3</v>
      </c>
      <c r="O50" s="613">
        <f t="array" aca="1" ref="O50" ca="1">SUM(IF($A$9:$A$43=$B50,Drivers2!$R$58:$R$92*O$9:O$43))</f>
        <v>9.6806034975572511E-4</v>
      </c>
      <c r="P50" s="613">
        <f t="array" aca="1" ref="P50" ca="1">SUM(IF($A$9:$A$43=$B50,Drivers2!$R$58:$R$92*P$9:P$43))</f>
        <v>2.1533624414060335E-3</v>
      </c>
      <c r="Q50" s="613">
        <f t="array" aca="1" ref="Q50" ca="1">SUM(IF($A$9:$A$43=$B50,Drivers2!$R$58:$R$92*Q$9:Q$43))</f>
        <v>1.29201746484362E-2</v>
      </c>
      <c r="R50" s="613">
        <f t="array" aca="1" ref="R50" ca="1">SUM(IF($A$9:$A$43=$B50,Drivers2!$R$58:$R$92*R$9:R$43))</f>
        <v>2.1533624414060335E-3</v>
      </c>
      <c r="S50" s="613">
        <f t="array" aca="1" ref="S50" ca="1">SUM(IF($A$9:$A$43=$B50,Drivers2!$R$58:$R$92*S$9:S$43))</f>
        <v>2.1533624414060336E-2</v>
      </c>
      <c r="T50" s="651">
        <f>SUM(C50:S50)</f>
        <v>0.68313693981658541</v>
      </c>
      <c r="U50" s="613">
        <f>SUM(D50:S50)</f>
        <v>0.49745448106493334</v>
      </c>
    </row>
    <row r="51" spans="1:21" hidden="1">
      <c r="B51" s="613" t="s">
        <v>880</v>
      </c>
      <c r="C51" s="613">
        <f t="array" aca="1" ref="C51" ca="1">SUM(IF($A$9:$A$43=$B51,Drivers2!$R$58:$R$92*C$9:C$43))</f>
        <v>7.286781894794557E-2</v>
      </c>
      <c r="D51" s="613">
        <f t="array" aca="1" ref="D51" ca="1">SUM(IF($A$9:$A$43=$B51,Drivers2!$R$58:$R$92*D$9:D$43))</f>
        <v>1.627722622133564E-2</v>
      </c>
      <c r="E51" s="613">
        <f t="array" aca="1" ref="E51" ca="1">SUM(IF($A$9:$A$43=$B51,Drivers2!$R$58:$R$92*E$9:E$43))</f>
        <v>4.6348992866237599E-3</v>
      </c>
      <c r="F51" s="613">
        <f t="array" aca="1" ref="F51" ca="1">SUM(IF($A$9:$A$43=$B51,Drivers2!$R$58:$R$92*F$9:F$43))</f>
        <v>3.2289906948796109E-4</v>
      </c>
      <c r="G51" s="613">
        <f t="array" aca="1" ref="G51" ca="1">SUM(IF($A$9:$A$43=$B51,Drivers2!$R$58:$R$92*G$9:G$43))</f>
        <v>3.2289906948796115E-3</v>
      </c>
      <c r="H51" s="613">
        <f t="array" aca="1" ref="H51" ca="1">SUM(IF($A$9:$A$43=$B51,Drivers2!$R$58:$R$92*H$9:H$43))</f>
        <v>2.5559602241107785E-3</v>
      </c>
      <c r="I51" s="613">
        <f t="array" aca="1" ref="I51" ca="1">SUM(IF($A$9:$A$43=$B51,Drivers2!$R$58:$R$92*I$9:I$43))</f>
        <v>3.2289906948796115E-3</v>
      </c>
      <c r="J51" s="613">
        <f t="array" aca="1" ref="J51" ca="1">SUM(IF($A$9:$A$43=$B51,Drivers2!$R$58:$R$92*J$9:J$43))</f>
        <v>1.6144953474398057E-3</v>
      </c>
      <c r="K51" s="613">
        <f t="array" aca="1" ref="K51" ca="1">SUM(IF($A$9:$A$43=$B51,Drivers2!$R$58:$R$92*K$9:K$43))</f>
        <v>3.2289906948796109E-4</v>
      </c>
      <c r="L51" s="613">
        <f t="array" aca="1" ref="L51" ca="1">SUM(IF($A$9:$A$43=$B51,Drivers2!$R$58:$R$92*L$9:L$43))</f>
        <v>8.5821132172103961E-3</v>
      </c>
      <c r="M51" s="613">
        <f t="array" aca="1" ref="M51" ca="1">SUM(IF($A$9:$A$43=$B51,Drivers2!$R$58:$R$92*M$9:M$43))</f>
        <v>1.6144953474398057E-3</v>
      </c>
      <c r="N51" s="613">
        <f t="array" aca="1" ref="N51" ca="1">SUM(IF($A$9:$A$43=$B51,Drivers2!$R$58:$R$92*N$9:N$43))</f>
        <v>3.2289906948796109E-4</v>
      </c>
      <c r="O51" s="613">
        <f t="array" aca="1" ref="O51" ca="1">SUM(IF($A$9:$A$43=$B51,Drivers2!$R$58:$R$92*O$9:O$43))</f>
        <v>0</v>
      </c>
      <c r="P51" s="613">
        <f t="array" aca="1" ref="P51" ca="1">SUM(IF($A$9:$A$43=$B51,Drivers2!$R$58:$R$92*P$9:P$43))</f>
        <v>3.2289906948796109E-4</v>
      </c>
      <c r="Q51" s="613">
        <f t="array" aca="1" ref="Q51" ca="1">SUM(IF($A$9:$A$43=$B51,Drivers2!$R$58:$R$92*Q$9:Q$43))</f>
        <v>9.6869720846388333E-4</v>
      </c>
      <c r="R51" s="613">
        <f t="array" aca="1" ref="R51" ca="1">SUM(IF($A$9:$A$43=$B51,Drivers2!$R$58:$R$92*R$9:R$43))</f>
        <v>3.2289906948796109E-4</v>
      </c>
      <c r="S51" s="613">
        <f t="array" aca="1" ref="S51" ca="1">SUM(IF($A$9:$A$43=$B51,Drivers2!$R$58:$R$92*S$9:S$43))</f>
        <v>3.2289906948796115E-3</v>
      </c>
      <c r="T51" s="651">
        <f>SUM(C51:S51)</f>
        <v>0.12041717323264828</v>
      </c>
      <c r="U51" s="613">
        <f>SUM(D51:S51)</f>
        <v>4.7549354284702701E-2</v>
      </c>
    </row>
    <row r="52" spans="1:21" hidden="1">
      <c r="B52" s="613" t="s">
        <v>787</v>
      </c>
      <c r="C52" s="613">
        <f t="array" aca="1" ref="C52" ca="1">SUM(IF($A$9:$A$43=$B52,Drivers2!$R$58:$R$92*C$9:C$43))</f>
        <v>0.36717810067276463</v>
      </c>
      <c r="D52" s="613">
        <f t="array" aca="1" ref="D52" ca="1">SUM(IF($A$9:$A$43=$B52,Drivers2!$R$58:$R$92*D$9:D$43))</f>
        <v>0.33942935098311028</v>
      </c>
      <c r="E52" s="613">
        <f t="array" aca="1" ref="E52" ca="1">SUM(IF($A$9:$A$43=$B52,Drivers2!$R$58:$R$92*E$9:E$43))</f>
        <v>2.1757162598140173E-2</v>
      </c>
      <c r="F52" s="613">
        <f t="array" aca="1" ref="F52" ca="1">SUM(IF($A$9:$A$43=$B52,Drivers2!$R$58:$R$92*F$9:F$43))</f>
        <v>1.9108772848377361E-2</v>
      </c>
      <c r="G52" s="613">
        <f t="array" aca="1" ref="G52" ca="1">SUM(IF($A$9:$A$43=$B52,Drivers2!$R$58:$R$92*G$9:G$43))</f>
        <v>3.8619611787675243E-2</v>
      </c>
      <c r="H52" s="613">
        <f t="array" aca="1" ref="H52" ca="1">SUM(IF($A$9:$A$43=$B52,Drivers2!$R$58:$R$92*H$9:H$43))</f>
        <v>2.249460136856718E-2</v>
      </c>
      <c r="I52" s="613">
        <f t="array" aca="1" ref="I52" ca="1">SUM(IF($A$9:$A$43=$B52,Drivers2!$R$58:$R$92*I$9:I$43))</f>
        <v>1.9108772848377361E-2</v>
      </c>
      <c r="J52" s="613">
        <f t="array" aca="1" ref="J52" ca="1">SUM(IF($A$9:$A$43=$B52,Drivers2!$R$58:$R$92*J$9:J$43))</f>
        <v>6.3695909494591212E-3</v>
      </c>
      <c r="K52" s="613">
        <f t="array" aca="1" ref="K52" ca="1">SUM(IF($A$9:$A$43=$B52,Drivers2!$R$58:$R$92*K$9:K$43))</f>
        <v>1.9108772848377361E-2</v>
      </c>
      <c r="L52" s="613">
        <f t="array" aca="1" ref="L52" ca="1">SUM(IF($A$9:$A$43=$B52,Drivers2!$R$58:$R$92*L$9:L$43))</f>
        <v>0.11109750877724867</v>
      </c>
      <c r="M52" s="613">
        <f t="array" aca="1" ref="M52" ca="1">SUM(IF($A$9:$A$43=$B52,Drivers2!$R$58:$R$92*M$9:M$43))</f>
        <v>3.8451925447921989E-2</v>
      </c>
      <c r="N52" s="613">
        <f t="array" aca="1" ref="N52" ca="1">SUM(IF($A$9:$A$43=$B52,Drivers2!$R$58:$R$92*N$9:N$43))</f>
        <v>3.6439981540246968E-2</v>
      </c>
      <c r="O52" s="613">
        <f t="array" aca="1" ref="O52" ca="1">SUM(IF($A$9:$A$43=$B52,Drivers2!$R$58:$R$92*O$9:O$43))</f>
        <v>5.7998385187853592E-3</v>
      </c>
      <c r="P52" s="613">
        <f t="array" aca="1" ref="P52" ca="1">SUM(IF($A$9:$A$43=$B52,Drivers2!$R$58:$R$92*P$9:P$43))</f>
        <v>3.1847954747295605E-2</v>
      </c>
      <c r="Q52" s="613">
        <f t="array" aca="1" ref="Q52" ca="1">SUM(IF($A$9:$A$43=$B52,Drivers2!$R$58:$R$92*Q$9:Q$43))</f>
        <v>6.3695909494591212E-3</v>
      </c>
      <c r="R52" s="613">
        <f t="array" aca="1" ref="R52" ca="1">SUM(IF($A$9:$A$43=$B52,Drivers2!$R$58:$R$92*R$9:R$43))</f>
        <v>6.3695909494591212E-3</v>
      </c>
      <c r="S52" s="613">
        <f t="array" aca="1" ref="S52" ca="1">SUM(IF($A$9:$A$43=$B52,Drivers2!$R$58:$R$92*S$9:S$43))</f>
        <v>0.12739181898918242</v>
      </c>
      <c r="T52" s="651">
        <f>SUM(C52:S52)</f>
        <v>1.2169429468244481</v>
      </c>
      <c r="U52" s="613">
        <f>SUM(D52:S52)</f>
        <v>0.84976484615168335</v>
      </c>
    </row>
    <row r="53" spans="1:21" hidden="1">
      <c r="B53" s="613" t="s">
        <v>978</v>
      </c>
      <c r="C53" s="613">
        <f t="array" aca="1" ref="C53" ca="1">SUM(IF($A$9:$A$43=$B53,Drivers2!$R$58:$R$92*C$9:C$43))</f>
        <v>8.9428686890660469E-2</v>
      </c>
      <c r="D53" s="613">
        <f t="array" aca="1" ref="D53" ca="1">SUM(IF($A$9:$A$43=$B53,Drivers2!$R$58:$R$92*D$9:D$43))</f>
        <v>6.4489541489371055E-2</v>
      </c>
      <c r="E53" s="613">
        <f t="array" aca="1" ref="E53" ca="1">SUM(IF($A$9:$A$43=$B53,Drivers2!$R$58:$R$92*E$9:E$43))</f>
        <v>8.3793644501767295E-3</v>
      </c>
      <c r="F53" s="613">
        <f t="array" aca="1" ref="F53" ca="1">SUM(IF($A$9:$A$43=$B53,Drivers2!$R$58:$R$92*F$9:F$43))</f>
        <v>6.1556255968600712E-4</v>
      </c>
      <c r="G53" s="613">
        <f t="array" aca="1" ref="G53" ca="1">SUM(IF($A$9:$A$43=$B53,Drivers2!$R$58:$R$92*G$9:G$43))</f>
        <v>8.2285439804732751E-3</v>
      </c>
      <c r="H53" s="613">
        <f t="array" aca="1" ref="H53" ca="1">SUM(IF($A$9:$A$43=$B53,Drivers2!$R$58:$R$92*H$9:H$43))</f>
        <v>2.1683229377841514E-3</v>
      </c>
      <c r="I53" s="613">
        <f t="array" aca="1" ref="I53" ca="1">SUM(IF($A$9:$A$43=$B53,Drivers2!$R$58:$R$92*I$9:I$43))</f>
        <v>1.2311251193720143E-4</v>
      </c>
      <c r="J53" s="613">
        <f t="array" aca="1" ref="J53" ca="1">SUM(IF($A$9:$A$43=$B53,Drivers2!$R$58:$R$92*J$9:J$43))</f>
        <v>0</v>
      </c>
      <c r="K53" s="613">
        <f t="array" aca="1" ref="K53" ca="1">SUM(IF($A$9:$A$43=$B53,Drivers2!$R$58:$R$92*K$9:K$43))</f>
        <v>1.8466876790580213E-3</v>
      </c>
      <c r="L53" s="613">
        <f t="array" aca="1" ref="L53" ca="1">SUM(IF($A$9:$A$43=$B53,Drivers2!$R$58:$R$92*L$9:L$43))</f>
        <v>3.9085228795647235E-2</v>
      </c>
      <c r="M53" s="613">
        <f t="array" aca="1" ref="M53" ca="1">SUM(IF($A$9:$A$43=$B53,Drivers2!$R$58:$R$92*M$9:M$43))</f>
        <v>3.16707701216489E-2</v>
      </c>
      <c r="N53" s="613">
        <f t="array" aca="1" ref="N53" ca="1">SUM(IF($A$9:$A$43=$B53,Drivers2!$R$58:$R$92*N$9:N$43))</f>
        <v>0</v>
      </c>
      <c r="O53" s="613">
        <f t="array" aca="1" ref="O53" ca="1">SUM(IF($A$9:$A$43=$B53,Drivers2!$R$58:$R$92*O$9:O$43))</f>
        <v>6.1556255968600712E-4</v>
      </c>
      <c r="P53" s="613">
        <f t="array" aca="1" ref="P53" ca="1">SUM(IF($A$9:$A$43=$B53,Drivers2!$R$58:$R$92*P$9:P$43))</f>
        <v>0</v>
      </c>
      <c r="Q53" s="613">
        <f t="array" aca="1" ref="Q53" ca="1">SUM(IF($A$9:$A$43=$B53,Drivers2!$R$58:$R$92*Q$9:Q$43))</f>
        <v>2.9868638123654472E-2</v>
      </c>
      <c r="R53" s="613">
        <f t="array" aca="1" ref="R53" ca="1">SUM(IF($A$9:$A$43=$B53,Drivers2!$R$58:$R$92*R$9:R$43))</f>
        <v>6.1556255968600712E-4</v>
      </c>
      <c r="S53" s="613">
        <f t="array" aca="1" ref="S53" ca="1">SUM(IF($A$9:$A$43=$B53,Drivers2!$R$58:$R$92*S$9:S$43))</f>
        <v>7.386750716232085E-3</v>
      </c>
      <c r="T53" s="651">
        <f>SUM(C53:S53)</f>
        <v>0.2845223353757016</v>
      </c>
      <c r="U53" s="613">
        <f>SUM(D53:S53)</f>
        <v>0.19509364848504113</v>
      </c>
    </row>
    <row r="54" spans="1:21" hidden="1">
      <c r="T54" s="737">
        <f>SUM(T49:T53)</f>
        <v>2.4490049700508765</v>
      </c>
    </row>
    <row r="55" spans="1:21" hidden="1">
      <c r="B55" s="612" t="s">
        <v>82</v>
      </c>
    </row>
    <row r="56" spans="1:21" hidden="1">
      <c r="C56" s="613" t="s">
        <v>905</v>
      </c>
      <c r="D56" s="613" t="s">
        <v>906</v>
      </c>
      <c r="E56" s="613" t="s">
        <v>907</v>
      </c>
      <c r="F56" s="613" t="s">
        <v>908</v>
      </c>
      <c r="G56" s="613" t="s">
        <v>909</v>
      </c>
      <c r="H56" s="613" t="s">
        <v>910</v>
      </c>
      <c r="I56" s="613" t="s">
        <v>911</v>
      </c>
      <c r="J56" s="613" t="s">
        <v>912</v>
      </c>
      <c r="K56" s="613" t="s">
        <v>1150</v>
      </c>
      <c r="L56" s="613" t="s">
        <v>913</v>
      </c>
      <c r="M56" s="613" t="s">
        <v>826</v>
      </c>
      <c r="N56" s="613" t="s">
        <v>914</v>
      </c>
      <c r="O56" s="613" t="s">
        <v>915</v>
      </c>
      <c r="P56" s="613" t="s">
        <v>916</v>
      </c>
      <c r="Q56" s="613" t="s">
        <v>917</v>
      </c>
      <c r="R56" s="613" t="s">
        <v>950</v>
      </c>
      <c r="S56" s="613" t="s">
        <v>946</v>
      </c>
      <c r="T56" s="613" t="s">
        <v>888</v>
      </c>
      <c r="U56" s="613" t="s">
        <v>378</v>
      </c>
    </row>
    <row r="57" spans="1:21" hidden="1">
      <c r="A57" s="613">
        <f ca="1">MATCH(B57,IEAData2!$A$28:$A$33,0)</f>
        <v>1</v>
      </c>
      <c r="B57" s="613" t="s">
        <v>568</v>
      </c>
      <c r="C57" s="738">
        <f t="array" aca="1" ref="C57:R57" ca="1">INDEX(IEAData2!$B$28:$Q$33,$A57,0)</f>
        <v>7.286781894794557E-2</v>
      </c>
      <c r="D57" s="738">
        <f ca="1"/>
        <v>1.2999999999999999E-2</v>
      </c>
      <c r="E57" s="738">
        <f ca="1"/>
        <v>3.2000000000000001E-2</v>
      </c>
      <c r="F57" s="738">
        <f ca="1"/>
        <v>0</v>
      </c>
      <c r="G57" s="738">
        <f ca="1"/>
        <v>0</v>
      </c>
      <c r="H57" s="738">
        <f ca="1"/>
        <v>0</v>
      </c>
      <c r="I57" s="738">
        <f ca="1"/>
        <v>0</v>
      </c>
      <c r="J57" s="738">
        <f ca="1"/>
        <v>0</v>
      </c>
      <c r="K57" s="738">
        <f ca="1"/>
        <v>0</v>
      </c>
      <c r="L57" s="738">
        <f ca="1"/>
        <v>1.4E-2</v>
      </c>
      <c r="M57" s="738">
        <f ca="1"/>
        <v>1E-3</v>
      </c>
      <c r="N57" s="738">
        <f ca="1"/>
        <v>0</v>
      </c>
      <c r="O57" s="738">
        <f ca="1"/>
        <v>0</v>
      </c>
      <c r="P57" s="738">
        <f ca="1"/>
        <v>0</v>
      </c>
      <c r="Q57" s="738">
        <f ca="1"/>
        <v>0</v>
      </c>
      <c r="R57" s="738">
        <f ca="1"/>
        <v>0</v>
      </c>
      <c r="S57" s="613">
        <f ca="1">VLOOKUP("IS"&amp;RIGHT($B57,2),IEAData2!$BF$34:$BJ$39,5,FALSE)/U$47</f>
        <v>1.1117755853547424E-2</v>
      </c>
      <c r="T57" s="613">
        <f t="shared" ref="T57:T63" si="2">SUM(C57:S57)</f>
        <v>0.14398557480149302</v>
      </c>
      <c r="U57" s="613">
        <f>SUM(D57:S57)</f>
        <v>7.1117755853547418E-2</v>
      </c>
    </row>
    <row r="58" spans="1:21" hidden="1">
      <c r="A58" s="613">
        <f ca="1">MATCH(B58,IEAData2!$A$28:$A$33,0)</f>
        <v>5</v>
      </c>
      <c r="B58" s="613" t="s">
        <v>879</v>
      </c>
      <c r="C58" s="738">
        <f t="array" aca="1" ref="C58:R58" ca="1">INDEX(IEAData2!$B$28:$Q$33,$A58,0)</f>
        <v>0.18568245875165196</v>
      </c>
      <c r="D58" s="738">
        <f ca="1"/>
        <v>0.09</v>
      </c>
      <c r="E58" s="738">
        <f ca="1"/>
        <v>4.4999999999999998E-2</v>
      </c>
      <c r="F58" s="738">
        <f ca="1"/>
        <v>0</v>
      </c>
      <c r="G58" s="738">
        <f ca="1"/>
        <v>0.19500000000000001</v>
      </c>
      <c r="H58" s="738">
        <f ca="1"/>
        <v>0</v>
      </c>
      <c r="I58" s="738">
        <f ca="1"/>
        <v>0</v>
      </c>
      <c r="J58" s="738">
        <f ca="1"/>
        <v>0</v>
      </c>
      <c r="K58" s="738">
        <f ca="1"/>
        <v>1E-3</v>
      </c>
      <c r="L58" s="738">
        <f ca="1"/>
        <v>2.1999999999999999E-2</v>
      </c>
      <c r="M58" s="738">
        <f ca="1"/>
        <v>2.3E-2</v>
      </c>
      <c r="N58" s="738">
        <f ca="1"/>
        <v>0</v>
      </c>
      <c r="O58" s="738">
        <f ca="1"/>
        <v>0</v>
      </c>
      <c r="P58" s="738">
        <f ca="1"/>
        <v>5.3999999999999999E-2</v>
      </c>
      <c r="Q58" s="738">
        <f ca="1"/>
        <v>0.01</v>
      </c>
      <c r="R58" s="738">
        <f ca="1"/>
        <v>0</v>
      </c>
      <c r="S58" s="613">
        <f ca="1">VLOOKUP("IS"&amp;RIGHT($B58,2),IEAData2!$BF$34:$BJ$39,5,FALSE)/U$47</f>
        <v>5.7454481064933241E-2</v>
      </c>
      <c r="T58" s="613">
        <f t="shared" si="2"/>
        <v>0.6831369398165853</v>
      </c>
      <c r="U58" s="613">
        <f>SUM(D58:S58)</f>
        <v>0.49745448106493328</v>
      </c>
    </row>
    <row r="59" spans="1:21" hidden="1">
      <c r="A59" s="613">
        <f ca="1">MATCH(B59,IEAData2!$A$28:$A$33,0)</f>
        <v>2</v>
      </c>
      <c r="B59" s="613" t="s">
        <v>880</v>
      </c>
      <c r="C59" s="738">
        <f t="array" aca="1" ref="C59:R59" ca="1">INDEX(IEAData2!$B$28:$Q$33,$A59,0)</f>
        <v>7.286781894794557E-2</v>
      </c>
      <c r="D59" s="738">
        <f ca="1"/>
        <v>1E-3</v>
      </c>
      <c r="E59" s="738">
        <f ca="1"/>
        <v>5.0000000000000001E-3</v>
      </c>
      <c r="F59" s="738">
        <f ca="1"/>
        <v>0</v>
      </c>
      <c r="G59" s="738">
        <f ca="1"/>
        <v>0</v>
      </c>
      <c r="H59" s="738">
        <f ca="1"/>
        <v>0</v>
      </c>
      <c r="I59" s="738">
        <f ca="1"/>
        <v>0</v>
      </c>
      <c r="J59" s="738">
        <f ca="1"/>
        <v>0</v>
      </c>
      <c r="K59" s="738">
        <f ca="1"/>
        <v>0</v>
      </c>
      <c r="L59" s="738">
        <f ca="1"/>
        <v>5.0000000000000001E-3</v>
      </c>
      <c r="M59" s="738">
        <f ca="1"/>
        <v>3.0000000000000001E-3</v>
      </c>
      <c r="N59" s="738">
        <f ca="1"/>
        <v>0</v>
      </c>
      <c r="O59" s="738">
        <f ca="1"/>
        <v>0</v>
      </c>
      <c r="P59" s="738">
        <f ca="1"/>
        <v>0</v>
      </c>
      <c r="Q59" s="738">
        <f ca="1"/>
        <v>4.0000000000000001E-3</v>
      </c>
      <c r="R59" s="738">
        <f ca="1"/>
        <v>0</v>
      </c>
      <c r="S59" s="613">
        <f ca="1">VLOOKUP("IS"&amp;RIGHT($B59,2),IEAData2!$BF$34:$BJ$39,5,FALSE)/U$47</f>
        <v>2.9549354284702699E-2</v>
      </c>
      <c r="T59" s="613">
        <f t="shared" si="2"/>
        <v>0.12041717323264828</v>
      </c>
      <c r="U59" s="613">
        <f>SUM(D59:S59)</f>
        <v>4.7549354284702694E-2</v>
      </c>
    </row>
    <row r="60" spans="1:21" hidden="1">
      <c r="A60" s="613">
        <f ca="1">MATCH(B60,IEAData2!$A$28:$A$33,0)</f>
        <v>3</v>
      </c>
      <c r="B60" s="613" t="s">
        <v>787</v>
      </c>
      <c r="C60" s="738">
        <f t="array" aca="1" ref="C60:R60" ca="1">INDEX(IEAData2!$B$28:$Q$33,$A60,0)-IEAData2!$B$37:$Q$37</f>
        <v>0.36717810067276463</v>
      </c>
      <c r="D60" s="738">
        <f ca="1"/>
        <v>0.27400000000000002</v>
      </c>
      <c r="E60" s="738">
        <f ca="1"/>
        <v>0.12</v>
      </c>
      <c r="F60" s="738">
        <f ca="1"/>
        <v>0</v>
      </c>
      <c r="G60" s="738">
        <f ca="1"/>
        <v>0</v>
      </c>
      <c r="H60" s="738">
        <f ca="1"/>
        <v>0</v>
      </c>
      <c r="I60" s="738">
        <f ca="1"/>
        <v>0</v>
      </c>
      <c r="J60" s="738">
        <f ca="1"/>
        <v>0</v>
      </c>
      <c r="K60" s="738">
        <f ca="1"/>
        <v>0</v>
      </c>
      <c r="L60" s="738">
        <f ca="1"/>
        <v>6.6000000000000003E-2</v>
      </c>
      <c r="M60" s="738">
        <f ca="1"/>
        <v>4.0000000000000001E-3</v>
      </c>
      <c r="N60" s="738">
        <f ca="1"/>
        <v>0</v>
      </c>
      <c r="O60" s="738">
        <f ca="1"/>
        <v>0</v>
      </c>
      <c r="P60" s="738">
        <f ca="1"/>
        <v>0</v>
      </c>
      <c r="Q60" s="738">
        <f ca="1"/>
        <v>7.0000000000000001E-3</v>
      </c>
      <c r="R60" s="738">
        <f ca="1"/>
        <v>0</v>
      </c>
      <c r="S60" s="613">
        <f ca="1">VLOOKUP("IS"&amp;RIGHT($B60,2),IEAData2!$BF$34:$BJ$39,5,FALSE)/U$47</f>
        <v>0.37876484615168338</v>
      </c>
      <c r="T60" s="613">
        <f t="shared" si="2"/>
        <v>1.2169429468244479</v>
      </c>
      <c r="U60" s="613">
        <f>SUM(D60:S60)</f>
        <v>0.84976484615168335</v>
      </c>
    </row>
    <row r="61" spans="1:21" hidden="1">
      <c r="A61" s="613">
        <f ca="1">MATCH(B61,IEAData2!$A$28:$A$33,0)</f>
        <v>4</v>
      </c>
      <c r="B61" s="613" t="s">
        <v>978</v>
      </c>
      <c r="C61" s="738">
        <f t="array" aca="1" ref="C61:R61" ca="1">INDEX(IEAData2!$B$28:$Q$33,$A61,0)</f>
        <v>8.9428686890660469E-2</v>
      </c>
      <c r="D61" s="738">
        <f ca="1"/>
        <v>2.5000000000000001E-2</v>
      </c>
      <c r="E61" s="738">
        <f ca="1"/>
        <v>3.0000000000000001E-3</v>
      </c>
      <c r="F61" s="738">
        <f ca="1"/>
        <v>0</v>
      </c>
      <c r="G61" s="738">
        <f ca="1"/>
        <v>1E-3</v>
      </c>
      <c r="H61" s="738">
        <f ca="1"/>
        <v>0</v>
      </c>
      <c r="I61" s="738">
        <f ca="1"/>
        <v>0</v>
      </c>
      <c r="J61" s="738">
        <f ca="1"/>
        <v>0</v>
      </c>
      <c r="K61" s="738">
        <f ca="1"/>
        <v>0.01</v>
      </c>
      <c r="L61" s="738">
        <f ca="1"/>
        <v>6.0000000000000001E-3</v>
      </c>
      <c r="M61" s="738">
        <f ca="1"/>
        <v>0</v>
      </c>
      <c r="N61" s="738">
        <f ca="1"/>
        <v>0</v>
      </c>
      <c r="O61" s="738">
        <f ca="1"/>
        <v>0</v>
      </c>
      <c r="P61" s="738">
        <f ca="1"/>
        <v>0</v>
      </c>
      <c r="Q61" s="738">
        <f ca="1"/>
        <v>0.14200000000000002</v>
      </c>
      <c r="R61" s="738">
        <f ca="1"/>
        <v>0</v>
      </c>
      <c r="S61" s="613">
        <f ca="1">VLOOKUP("IS"&amp;RIGHT($B61,2),IEAData2!$BF$34:$BJ$39,5,FALSE)/U$47</f>
        <v>1.1199169241237466E-2</v>
      </c>
      <c r="T61" s="613">
        <f t="shared" si="2"/>
        <v>0.28762785613189795</v>
      </c>
      <c r="U61" s="613">
        <f>SUM(D61:S61)</f>
        <v>0.19819916924123746</v>
      </c>
    </row>
    <row r="62" spans="1:21" hidden="1">
      <c r="A62" s="613">
        <f ca="1">MATCH(B62,IEAData2!$A$28:$A$33,0)</f>
        <v>6</v>
      </c>
      <c r="B62" s="613" t="s">
        <v>722</v>
      </c>
      <c r="C62" s="738">
        <f t="array" aca="1" ref="C62:R62" ca="1">INDEX(IEAData2!$B$28:$Q$33,$A62,0)</f>
        <v>2.7043791490591844</v>
      </c>
      <c r="D62" s="738">
        <f ca="1"/>
        <v>0.2176159584981894</v>
      </c>
      <c r="E62" s="738">
        <f ca="1"/>
        <v>0.13582807407658209</v>
      </c>
      <c r="F62" s="738">
        <f ca="1"/>
        <v>0</v>
      </c>
      <c r="G62" s="738">
        <f ca="1"/>
        <v>0</v>
      </c>
      <c r="H62" s="738">
        <f ca="1"/>
        <v>0</v>
      </c>
      <c r="I62" s="738">
        <f ca="1"/>
        <v>0</v>
      </c>
      <c r="J62" s="738">
        <f ca="1"/>
        <v>0</v>
      </c>
      <c r="K62" s="738">
        <f ca="1"/>
        <v>9.2839633011830527E-2</v>
      </c>
      <c r="L62" s="738">
        <f ca="1"/>
        <v>0.30032570497861699</v>
      </c>
      <c r="M62" s="738">
        <f ca="1"/>
        <v>1.3548581954210062</v>
      </c>
      <c r="N62" s="738">
        <f ca="1"/>
        <v>0</v>
      </c>
      <c r="O62" s="738">
        <f ca="1"/>
        <v>0</v>
      </c>
      <c r="P62" s="738">
        <f ca="1"/>
        <v>0</v>
      </c>
      <c r="Q62" s="738">
        <f ca="1"/>
        <v>0.50367929185414095</v>
      </c>
      <c r="R62" s="738">
        <f ca="1"/>
        <v>0</v>
      </c>
      <c r="S62" s="681">
        <f ca="1">VLOOKUP("IS"&amp;RIGHT($B62,2),IEAData2!$BF$34:$BJ$39,5,FALSE)+IEAData2!$T$69*0</f>
        <v>1.7328255796438299</v>
      </c>
      <c r="T62" s="613">
        <f t="shared" si="2"/>
        <v>7.042351586543381</v>
      </c>
    </row>
    <row r="63" spans="1:21" hidden="1">
      <c r="B63" s="613" t="s">
        <v>286</v>
      </c>
      <c r="C63" s="738">
        <f ca="1">ROUND(SUM(IEAData2!B$35:B$36),5)</f>
        <v>0</v>
      </c>
      <c r="D63" s="738">
        <f ca="1">ROUND(SUM(IEAData2!C$35:C$36),5)</f>
        <v>0</v>
      </c>
      <c r="E63" s="738">
        <f ca="1">ROUND(SUM(IEAData2!D$35:D$36),5)</f>
        <v>0</v>
      </c>
      <c r="F63" s="738">
        <f ca="1">ROUND(SUM(IEAData2!E$35:E$36),5)</f>
        <v>0</v>
      </c>
      <c r="G63" s="738">
        <f ca="1">ROUND(SUM(IEAData2!F$35:F$36),5)</f>
        <v>0</v>
      </c>
      <c r="H63" s="738">
        <f ca="1">ROUND(SUM(IEAData2!G$35:G$36),5)</f>
        <v>0</v>
      </c>
      <c r="I63" s="738">
        <f ca="1">ROUND(SUM(IEAData2!H$35:H$36),5)</f>
        <v>0</v>
      </c>
      <c r="J63" s="738">
        <f ca="1">ROUND(SUM(IEAData2!I$35:I$36),5)</f>
        <v>0</v>
      </c>
      <c r="K63" s="738">
        <f ca="1">ROUND(SUM(IEAData2!J$35:J$36),5)</f>
        <v>0</v>
      </c>
      <c r="L63" s="738">
        <f ca="1">ROUND(SUM(IEAData2!K$35:K$36),5)</f>
        <v>0</v>
      </c>
      <c r="M63" s="738">
        <f ca="1">ROUND(SUM(IEAData2!L$35:L$36),5)</f>
        <v>0</v>
      </c>
      <c r="N63" s="738">
        <f ca="1">ROUND(SUM(IEAData2!M$35:M$36),5)</f>
        <v>0</v>
      </c>
      <c r="O63" s="738">
        <f ca="1">ROUND(SUM(IEAData2!N$35:N$36),5)</f>
        <v>0</v>
      </c>
      <c r="P63" s="738">
        <f ca="1">ROUND(SUM(IEAData2!O$35:O$36),5)</f>
        <v>0</v>
      </c>
      <c r="Q63" s="738">
        <f ca="1">ROUND(SUM(IEAData2!P$35:P$36),5)</f>
        <v>0</v>
      </c>
      <c r="R63" s="738">
        <f ca="1">ROUND(SUM(IEAData2!Q$35:Q$36),5)</f>
        <v>0</v>
      </c>
      <c r="S63" s="681">
        <f ca="1">ROUND(SUM(IEAData2!R$36)+MAX(0,S62+IEAData2!R35-IEAData2!R33),5)/$U$47</f>
        <v>0</v>
      </c>
      <c r="T63" s="613">
        <f t="shared" si="2"/>
        <v>0</v>
      </c>
    </row>
    <row r="64" spans="1:21" hidden="1"/>
    <row r="65" spans="1:22" hidden="1">
      <c r="B65" s="612" t="s">
        <v>377</v>
      </c>
    </row>
    <row r="66" spans="1:22" hidden="1">
      <c r="C66" s="613" t="s">
        <v>905</v>
      </c>
      <c r="D66" s="613" t="s">
        <v>906</v>
      </c>
      <c r="E66" s="613" t="s">
        <v>907</v>
      </c>
      <c r="F66" s="613" t="s">
        <v>908</v>
      </c>
      <c r="G66" s="613" t="s">
        <v>909</v>
      </c>
      <c r="H66" s="613" t="s">
        <v>910</v>
      </c>
      <c r="I66" s="613" t="s">
        <v>911</v>
      </c>
      <c r="J66" s="613" t="s">
        <v>912</v>
      </c>
      <c r="K66" s="613" t="s">
        <v>1150</v>
      </c>
      <c r="L66" s="613" t="s">
        <v>913</v>
      </c>
      <c r="M66" s="613" t="s">
        <v>826</v>
      </c>
      <c r="N66" s="613" t="s">
        <v>914</v>
      </c>
      <c r="O66" s="613" t="s">
        <v>915</v>
      </c>
      <c r="P66" s="613" t="s">
        <v>916</v>
      </c>
      <c r="Q66" s="613" t="s">
        <v>917</v>
      </c>
      <c r="R66" s="613" t="s">
        <v>950</v>
      </c>
      <c r="S66" s="613" t="s">
        <v>946</v>
      </c>
      <c r="T66" s="613" t="s">
        <v>888</v>
      </c>
      <c r="U66" s="613" t="s">
        <v>378</v>
      </c>
      <c r="V66" s="612" t="s">
        <v>527</v>
      </c>
    </row>
    <row r="67" spans="1:22" hidden="1">
      <c r="B67" s="613" t="s">
        <v>568</v>
      </c>
      <c r="C67" s="767">
        <f>IF(C57&lt;&gt;0,C49/C57,MAX(1,V67))</f>
        <v>1</v>
      </c>
      <c r="D67" s="766">
        <f t="shared" ref="D67:T71" si="3">IF(D57&lt;&gt;0,D49/D57,0)</f>
        <v>0.30553806086101026</v>
      </c>
      <c r="E67" s="766">
        <f t="shared" si="3"/>
        <v>0.26639832977216721</v>
      </c>
      <c r="F67" s="766">
        <f t="shared" si="3"/>
        <v>0</v>
      </c>
      <c r="G67" s="766">
        <f t="shared" si="3"/>
        <v>0</v>
      </c>
      <c r="H67" s="766">
        <f t="shared" si="3"/>
        <v>0</v>
      </c>
      <c r="I67" s="766">
        <f t="shared" si="3"/>
        <v>0</v>
      </c>
      <c r="J67" s="766">
        <f t="shared" si="3"/>
        <v>0</v>
      </c>
      <c r="K67" s="766">
        <f t="shared" si="3"/>
        <v>0</v>
      </c>
      <c r="L67" s="766">
        <f t="shared" si="3"/>
        <v>0.28371391365665238</v>
      </c>
      <c r="M67" s="766">
        <f t="shared" si="3"/>
        <v>4.1806736043728447</v>
      </c>
      <c r="N67" s="766">
        <f t="shared" si="3"/>
        <v>0</v>
      </c>
      <c r="O67" s="766">
        <f t="shared" si="3"/>
        <v>0</v>
      </c>
      <c r="P67" s="766">
        <f t="shared" si="3"/>
        <v>0</v>
      </c>
      <c r="Q67" s="766">
        <f t="shared" si="3"/>
        <v>0</v>
      </c>
      <c r="R67" s="766">
        <f t="shared" si="3"/>
        <v>0</v>
      </c>
      <c r="S67" s="766">
        <f t="shared" si="3"/>
        <v>0.35726587663154696</v>
      </c>
      <c r="T67" s="767">
        <f t="shared" si="3"/>
        <v>1.0000000000000002</v>
      </c>
      <c r="U67" s="766">
        <f>IF(U57&lt;&gt;0,U49/U57,0)</f>
        <v>1.0000000000000004</v>
      </c>
      <c r="V67" s="704">
        <f ca="1">IF(Drivers2!H62&gt;0,1.001,0.95)</f>
        <v>1.0009999999999999</v>
      </c>
    </row>
    <row r="68" spans="1:22" hidden="1">
      <c r="B68" s="613" t="s">
        <v>879</v>
      </c>
      <c r="C68" s="767">
        <f>IF(C58&lt;&gt;0,C50/C58,MAX(1,V68))</f>
        <v>1</v>
      </c>
      <c r="D68" s="766">
        <f t="shared" si="3"/>
        <v>2.0077588989028254</v>
      </c>
      <c r="E68" s="766">
        <f t="shared" si="3"/>
        <v>0.28228739792314705</v>
      </c>
      <c r="F68" s="766">
        <f t="shared" si="3"/>
        <v>0</v>
      </c>
      <c r="G68" s="766">
        <f t="shared" si="3"/>
        <v>0.35589693687759716</v>
      </c>
      <c r="H68" s="766">
        <f t="shared" si="3"/>
        <v>0</v>
      </c>
      <c r="I68" s="766">
        <f t="shared" si="3"/>
        <v>0</v>
      </c>
      <c r="J68" s="766">
        <f t="shared" si="3"/>
        <v>0</v>
      </c>
      <c r="K68" s="766">
        <f t="shared" si="3"/>
        <v>10.766812207030167</v>
      </c>
      <c r="L68" s="766">
        <f t="shared" si="3"/>
        <v>5.6840500816451298</v>
      </c>
      <c r="M68" s="766">
        <f t="shared" si="3"/>
        <v>0.5102118502950389</v>
      </c>
      <c r="N68" s="766">
        <f t="shared" si="3"/>
        <v>0</v>
      </c>
      <c r="O68" s="766">
        <f t="shared" si="3"/>
        <v>0</v>
      </c>
      <c r="P68" s="766">
        <f t="shared" si="3"/>
        <v>3.9877082248259879E-2</v>
      </c>
      <c r="Q68" s="766">
        <f t="shared" si="3"/>
        <v>1.29201746484362</v>
      </c>
      <c r="R68" s="766">
        <f t="shared" si="3"/>
        <v>0</v>
      </c>
      <c r="S68" s="766">
        <f t="shared" si="3"/>
        <v>0.37479451584853257</v>
      </c>
      <c r="T68" s="766">
        <f t="shared" si="3"/>
        <v>1.0000000000000002</v>
      </c>
      <c r="U68" s="766">
        <f>IF(U58&lt;&gt;0,U50/U58,0)</f>
        <v>1.0000000000000002</v>
      </c>
      <c r="V68" s="704">
        <v>0.95</v>
      </c>
    </row>
    <row r="69" spans="1:22" hidden="1">
      <c r="B69" s="613" t="s">
        <v>880</v>
      </c>
      <c r="C69" s="767">
        <f>IF(C59&lt;&gt;0,C51/C59,MAX(1,V69))</f>
        <v>1</v>
      </c>
      <c r="D69" s="766">
        <f t="shared" si="3"/>
        <v>16.277226221335638</v>
      </c>
      <c r="E69" s="766">
        <f t="shared" si="3"/>
        <v>0.92697985732475197</v>
      </c>
      <c r="F69" s="766">
        <f t="shared" si="3"/>
        <v>0</v>
      </c>
      <c r="G69" s="766">
        <f t="shared" si="3"/>
        <v>0</v>
      </c>
      <c r="H69" s="766">
        <f t="shared" si="3"/>
        <v>0</v>
      </c>
      <c r="I69" s="766">
        <f t="shared" si="3"/>
        <v>0</v>
      </c>
      <c r="J69" s="766">
        <f t="shared" si="3"/>
        <v>0</v>
      </c>
      <c r="K69" s="766">
        <f t="shared" si="3"/>
        <v>0</v>
      </c>
      <c r="L69" s="766">
        <f t="shared" si="3"/>
        <v>1.7164226434420793</v>
      </c>
      <c r="M69" s="766">
        <f t="shared" si="3"/>
        <v>0.53816511581326854</v>
      </c>
      <c r="N69" s="766">
        <f t="shared" si="3"/>
        <v>0</v>
      </c>
      <c r="O69" s="766">
        <f t="shared" si="3"/>
        <v>0</v>
      </c>
      <c r="P69" s="766">
        <f t="shared" si="3"/>
        <v>0</v>
      </c>
      <c r="Q69" s="766">
        <f t="shared" si="3"/>
        <v>0.24217430211597082</v>
      </c>
      <c r="R69" s="766">
        <f t="shared" si="3"/>
        <v>0</v>
      </c>
      <c r="S69" s="766">
        <f t="shared" si="3"/>
        <v>0.10927449255807313</v>
      </c>
      <c r="T69" s="766">
        <f t="shared" si="3"/>
        <v>1</v>
      </c>
      <c r="U69" s="767">
        <f>IF(U59&lt;&gt;0,U51/U59,0)</f>
        <v>1.0000000000000002</v>
      </c>
      <c r="V69" s="704">
        <v>0.95</v>
      </c>
    </row>
    <row r="70" spans="1:22" hidden="1">
      <c r="B70" s="613" t="s">
        <v>787</v>
      </c>
      <c r="C70" s="767">
        <f>IF(C60&lt;&gt;0,C52/C60,MAX(1,V70))</f>
        <v>1</v>
      </c>
      <c r="D70" s="766">
        <f t="shared" si="3"/>
        <v>1.2387932517631761</v>
      </c>
      <c r="E70" s="766">
        <f t="shared" si="3"/>
        <v>0.18130968831783478</v>
      </c>
      <c r="F70" s="766">
        <f t="shared" si="3"/>
        <v>0</v>
      </c>
      <c r="G70" s="766">
        <f t="shared" si="3"/>
        <v>0</v>
      </c>
      <c r="H70" s="766">
        <f t="shared" si="3"/>
        <v>0</v>
      </c>
      <c r="I70" s="766">
        <f t="shared" si="3"/>
        <v>0</v>
      </c>
      <c r="J70" s="766">
        <f t="shared" si="3"/>
        <v>0</v>
      </c>
      <c r="K70" s="766">
        <f t="shared" si="3"/>
        <v>0</v>
      </c>
      <c r="L70" s="766">
        <f t="shared" si="3"/>
        <v>1.6832955875340707</v>
      </c>
      <c r="M70" s="766">
        <f t="shared" si="3"/>
        <v>9.6129813619804967</v>
      </c>
      <c r="N70" s="766">
        <f t="shared" si="3"/>
        <v>0</v>
      </c>
      <c r="O70" s="766">
        <f t="shared" si="3"/>
        <v>0</v>
      </c>
      <c r="P70" s="766">
        <f t="shared" si="3"/>
        <v>0</v>
      </c>
      <c r="Q70" s="766">
        <f t="shared" si="3"/>
        <v>0.90994156420844585</v>
      </c>
      <c r="R70" s="766">
        <f t="shared" si="3"/>
        <v>0</v>
      </c>
      <c r="S70" s="766">
        <f t="shared" si="3"/>
        <v>0.33633485336219932</v>
      </c>
      <c r="T70" s="767">
        <f t="shared" si="3"/>
        <v>1.0000000000000002</v>
      </c>
      <c r="U70" s="766">
        <f>IF(U60&lt;&gt;0,U52/U60,0)</f>
        <v>1</v>
      </c>
      <c r="V70" s="704">
        <v>1.0009999999999999</v>
      </c>
    </row>
    <row r="71" spans="1:22" hidden="1">
      <c r="B71" s="613" t="s">
        <v>978</v>
      </c>
      <c r="C71" s="767">
        <f>IF(C61&lt;&gt;0,C53/C61,MAX(1,V71))</f>
        <v>1</v>
      </c>
      <c r="D71" s="766">
        <f t="shared" si="3"/>
        <v>2.579581659574842</v>
      </c>
      <c r="E71" s="766">
        <f t="shared" si="3"/>
        <v>2.7931214833922433</v>
      </c>
      <c r="F71" s="766">
        <f t="shared" si="3"/>
        <v>0</v>
      </c>
      <c r="G71" s="766">
        <f t="shared" si="3"/>
        <v>8.2285439804732743</v>
      </c>
      <c r="H71" s="766">
        <f t="shared" si="3"/>
        <v>0</v>
      </c>
      <c r="I71" s="766">
        <f t="shared" si="3"/>
        <v>0</v>
      </c>
      <c r="J71" s="766">
        <f t="shared" si="3"/>
        <v>0</v>
      </c>
      <c r="K71" s="766">
        <f t="shared" si="3"/>
        <v>0.18466876790580211</v>
      </c>
      <c r="L71" s="766">
        <f t="shared" si="3"/>
        <v>6.5142047992745393</v>
      </c>
      <c r="M71" s="766">
        <f t="shared" si="3"/>
        <v>0</v>
      </c>
      <c r="N71" s="766">
        <f t="shared" si="3"/>
        <v>0</v>
      </c>
      <c r="O71" s="766">
        <f t="shared" si="3"/>
        <v>0</v>
      </c>
      <c r="P71" s="766">
        <f t="shared" si="3"/>
        <v>0</v>
      </c>
      <c r="Q71" s="766">
        <f t="shared" si="3"/>
        <v>0.21034252199756667</v>
      </c>
      <c r="R71" s="766">
        <f t="shared" si="3"/>
        <v>0</v>
      </c>
      <c r="S71" s="766">
        <f t="shared" si="3"/>
        <v>0.65958023824058909</v>
      </c>
      <c r="T71" s="766">
        <f t="shared" si="3"/>
        <v>0.98920299028765746</v>
      </c>
      <c r="U71" s="766">
        <f>IF(U61&lt;&gt;0,U53/U61,0)</f>
        <v>0.98433131295108278</v>
      </c>
      <c r="V71" s="704">
        <v>1.0009999999999999</v>
      </c>
    </row>
    <row r="72" spans="1:22" hidden="1">
      <c r="T72" s="704"/>
    </row>
    <row r="73" spans="1:22" hidden="1">
      <c r="B73" s="704"/>
      <c r="C73" s="766"/>
      <c r="D73" s="766"/>
      <c r="E73" s="766"/>
      <c r="F73" s="766"/>
      <c r="G73" s="766"/>
      <c r="H73" s="766"/>
      <c r="I73" s="766"/>
      <c r="J73" s="766"/>
      <c r="K73" s="766"/>
      <c r="L73" s="766"/>
      <c r="M73" s="766"/>
      <c r="N73" s="766"/>
      <c r="O73" s="766"/>
      <c r="P73" s="766"/>
      <c r="Q73" s="766"/>
      <c r="R73" s="766"/>
      <c r="S73" s="766"/>
      <c r="T73" s="766"/>
    </row>
    <row r="74" spans="1:22" hidden="1">
      <c r="A74" s="740"/>
    </row>
    <row r="75" spans="1:22" ht="18" hidden="1">
      <c r="A75" s="740"/>
      <c r="B75" s="728" t="s">
        <v>379</v>
      </c>
      <c r="C75" s="729"/>
      <c r="D75" s="708"/>
      <c r="E75" s="729"/>
      <c r="F75" s="708"/>
      <c r="G75" s="708"/>
    </row>
    <row r="76" spans="1:22" hidden="1">
      <c r="B76" s="613" t="s">
        <v>83</v>
      </c>
      <c r="F76" s="741">
        <v>0</v>
      </c>
    </row>
    <row r="77" spans="1:22" hidden="1">
      <c r="B77" s="613" t="s">
        <v>376</v>
      </c>
    </row>
    <row r="78" spans="1:22" hidden="1">
      <c r="B78" s="710"/>
      <c r="C78" s="613" t="s">
        <v>905</v>
      </c>
      <c r="D78" s="613" t="s">
        <v>906</v>
      </c>
      <c r="E78" s="613" t="s">
        <v>907</v>
      </c>
      <c r="F78" s="613" t="s">
        <v>908</v>
      </c>
      <c r="G78" s="613" t="s">
        <v>909</v>
      </c>
      <c r="H78" s="613" t="s">
        <v>910</v>
      </c>
      <c r="I78" s="613" t="s">
        <v>911</v>
      </c>
      <c r="J78" s="613" t="s">
        <v>912</v>
      </c>
      <c r="K78" s="613" t="s">
        <v>1150</v>
      </c>
      <c r="L78" s="613" t="s">
        <v>913</v>
      </c>
      <c r="M78" s="613" t="s">
        <v>826</v>
      </c>
      <c r="N78" s="613" t="s">
        <v>914</v>
      </c>
      <c r="O78" s="613" t="s">
        <v>915</v>
      </c>
      <c r="P78" s="613" t="s">
        <v>916</v>
      </c>
      <c r="Q78" s="613" t="s">
        <v>917</v>
      </c>
      <c r="R78" s="613" t="s">
        <v>950</v>
      </c>
      <c r="S78" s="613" t="s">
        <v>946</v>
      </c>
      <c r="T78" s="613" t="s">
        <v>888</v>
      </c>
      <c r="U78" s="613" t="s">
        <v>439</v>
      </c>
    </row>
    <row r="79" spans="1:22" hidden="1">
      <c r="B79" s="613" t="s">
        <v>568</v>
      </c>
      <c r="C79" s="742">
        <f>IF(OR(C$63=0,C67&lt;$V67^$B$78),0,ROUND(C49-C57*$V67^$B$78,5))</f>
        <v>0</v>
      </c>
      <c r="D79" s="743">
        <f t="shared" ref="D79:P82" si="4">IF(OR(D$63*$F$76=0,$U67&lt;$V67),0,D49*($U49-$U57*$V67)/$U49)</f>
        <v>0</v>
      </c>
      <c r="E79" s="743">
        <f t="shared" si="4"/>
        <v>0</v>
      </c>
      <c r="F79" s="743">
        <f t="shared" si="4"/>
        <v>0</v>
      </c>
      <c r="G79" s="743">
        <f t="shared" si="4"/>
        <v>0</v>
      </c>
      <c r="H79" s="743">
        <f t="shared" si="4"/>
        <v>0</v>
      </c>
      <c r="I79" s="743">
        <f t="shared" si="4"/>
        <v>0</v>
      </c>
      <c r="J79" s="743">
        <f t="shared" si="4"/>
        <v>0</v>
      </c>
      <c r="K79" s="743">
        <f t="shared" si="4"/>
        <v>0</v>
      </c>
      <c r="L79" s="743">
        <f t="shared" si="4"/>
        <v>0</v>
      </c>
      <c r="M79" s="743">
        <f t="shared" si="4"/>
        <v>0</v>
      </c>
      <c r="N79" s="743">
        <f t="shared" si="4"/>
        <v>0</v>
      </c>
      <c r="O79" s="743">
        <f t="shared" si="4"/>
        <v>0</v>
      </c>
      <c r="P79" s="743">
        <f t="shared" si="4"/>
        <v>0</v>
      </c>
      <c r="Q79" s="743">
        <f t="shared" ref="Q79:S82" si="5">IF(OR(Q$63=0,$U67&lt;$V67),0,Q49*($U49-$U57*$V67)/$U49)</f>
        <v>0</v>
      </c>
      <c r="R79" s="743">
        <f t="shared" si="5"/>
        <v>0</v>
      </c>
      <c r="S79" s="743">
        <f t="shared" si="5"/>
        <v>0</v>
      </c>
      <c r="T79" s="613">
        <f t="array" ref="T79">SUM(IF(D$84:S$84&gt;0,D79:S79/$D$84:$S$84*$D$63:$S$63),0)</f>
        <v>0</v>
      </c>
      <c r="U79" s="700" t="b">
        <f>IF(T79&gt;0,MIN(1,(U49-U57*$V67)/T79))</f>
        <v>0</v>
      </c>
    </row>
    <row r="80" spans="1:22" hidden="1">
      <c r="B80" s="613" t="s">
        <v>879</v>
      </c>
      <c r="C80" s="742">
        <f>IF(OR(C$63=0,C68&lt;$V68^$B$78),0,ROUND(C50-C58*$V68^$B$78,5))</f>
        <v>0</v>
      </c>
      <c r="D80" s="743">
        <f t="shared" si="4"/>
        <v>0</v>
      </c>
      <c r="E80" s="743">
        <f t="shared" si="4"/>
        <v>0</v>
      </c>
      <c r="F80" s="743">
        <f t="shared" si="4"/>
        <v>0</v>
      </c>
      <c r="G80" s="743">
        <f t="shared" si="4"/>
        <v>0</v>
      </c>
      <c r="H80" s="743">
        <f t="shared" si="4"/>
        <v>0</v>
      </c>
      <c r="I80" s="743">
        <f t="shared" si="4"/>
        <v>0</v>
      </c>
      <c r="J80" s="743">
        <f t="shared" si="4"/>
        <v>0</v>
      </c>
      <c r="K80" s="743">
        <f t="shared" si="4"/>
        <v>0</v>
      </c>
      <c r="L80" s="743">
        <f t="shared" si="4"/>
        <v>0</v>
      </c>
      <c r="M80" s="743">
        <f t="shared" si="4"/>
        <v>0</v>
      </c>
      <c r="N80" s="743">
        <f t="shared" si="4"/>
        <v>0</v>
      </c>
      <c r="O80" s="743">
        <f t="shared" si="4"/>
        <v>0</v>
      </c>
      <c r="P80" s="743">
        <f t="shared" si="4"/>
        <v>0</v>
      </c>
      <c r="Q80" s="743">
        <f t="shared" si="5"/>
        <v>0</v>
      </c>
      <c r="R80" s="743">
        <f t="shared" si="5"/>
        <v>0</v>
      </c>
      <c r="S80" s="743">
        <f t="shared" si="5"/>
        <v>0</v>
      </c>
      <c r="T80" s="613">
        <f t="array" ref="T80">SUM(IF(D$84:S$84&gt;0,D80:S80/$D$84:$S$84*$D$63:$S$63),0)</f>
        <v>0</v>
      </c>
      <c r="U80" s="700" t="b">
        <f>IF(T80&gt;0,MIN(1,(U50-U58*$V68)/T80))</f>
        <v>0</v>
      </c>
    </row>
    <row r="81" spans="2:22" hidden="1">
      <c r="B81" s="613" t="s">
        <v>880</v>
      </c>
      <c r="C81" s="742">
        <f>IF(OR(C$63=0,C69&lt;$V69^$B$78),0,ROUND(C51-C59*$V69^$B$78,5))</f>
        <v>0</v>
      </c>
      <c r="D81" s="743">
        <f t="shared" si="4"/>
        <v>0</v>
      </c>
      <c r="E81" s="743">
        <f t="shared" si="4"/>
        <v>0</v>
      </c>
      <c r="F81" s="743">
        <f t="shared" si="4"/>
        <v>0</v>
      </c>
      <c r="G81" s="743">
        <f t="shared" si="4"/>
        <v>0</v>
      </c>
      <c r="H81" s="743">
        <f t="shared" si="4"/>
        <v>0</v>
      </c>
      <c r="I81" s="743">
        <f t="shared" si="4"/>
        <v>0</v>
      </c>
      <c r="J81" s="743">
        <f t="shared" si="4"/>
        <v>0</v>
      </c>
      <c r="K81" s="743">
        <f t="shared" si="4"/>
        <v>0</v>
      </c>
      <c r="L81" s="743">
        <f t="shared" si="4"/>
        <v>0</v>
      </c>
      <c r="M81" s="743">
        <f t="shared" si="4"/>
        <v>0</v>
      </c>
      <c r="N81" s="743">
        <f t="shared" si="4"/>
        <v>0</v>
      </c>
      <c r="O81" s="743">
        <f t="shared" si="4"/>
        <v>0</v>
      </c>
      <c r="P81" s="743">
        <f t="shared" si="4"/>
        <v>0</v>
      </c>
      <c r="Q81" s="743">
        <f t="shared" si="5"/>
        <v>0</v>
      </c>
      <c r="R81" s="743">
        <f t="shared" si="5"/>
        <v>0</v>
      </c>
      <c r="S81" s="743">
        <f t="shared" si="5"/>
        <v>0</v>
      </c>
      <c r="T81" s="613">
        <f t="array" ref="T81">SUM(IF(D$84:S$84&gt;0,D81:S81/$D$84:$S$84*$D$63:$S$63),0)</f>
        <v>0</v>
      </c>
      <c r="U81" s="700" t="b">
        <f>IF(T81&gt;0,MIN(1,(U51-U59*$V69)/T81))</f>
        <v>0</v>
      </c>
    </row>
    <row r="82" spans="2:22" hidden="1">
      <c r="B82" s="613" t="s">
        <v>787</v>
      </c>
      <c r="C82" s="742">
        <f>IF(OR(C$63=0,C70&lt;$V70^$B$78),0,ROUND(C52-C60*$V70^$B$78,5))</f>
        <v>0</v>
      </c>
      <c r="D82" s="743">
        <f t="shared" si="4"/>
        <v>0</v>
      </c>
      <c r="E82" s="743">
        <f t="shared" si="4"/>
        <v>0</v>
      </c>
      <c r="F82" s="743">
        <f t="shared" si="4"/>
        <v>0</v>
      </c>
      <c r="G82" s="743">
        <f t="shared" si="4"/>
        <v>0</v>
      </c>
      <c r="H82" s="743">
        <f t="shared" si="4"/>
        <v>0</v>
      </c>
      <c r="I82" s="743">
        <f t="shared" si="4"/>
        <v>0</v>
      </c>
      <c r="J82" s="743">
        <f t="shared" si="4"/>
        <v>0</v>
      </c>
      <c r="K82" s="743">
        <f t="shared" si="4"/>
        <v>0</v>
      </c>
      <c r="L82" s="743">
        <f t="shared" si="4"/>
        <v>0</v>
      </c>
      <c r="M82" s="743">
        <f t="shared" si="4"/>
        <v>0</v>
      </c>
      <c r="N82" s="743">
        <f t="shared" si="4"/>
        <v>0</v>
      </c>
      <c r="O82" s="743">
        <f t="shared" si="4"/>
        <v>0</v>
      </c>
      <c r="P82" s="743">
        <f t="shared" si="4"/>
        <v>0</v>
      </c>
      <c r="Q82" s="743">
        <f t="shared" si="5"/>
        <v>0</v>
      </c>
      <c r="R82" s="743">
        <f t="shared" si="5"/>
        <v>0</v>
      </c>
      <c r="S82" s="743">
        <f t="shared" si="5"/>
        <v>0</v>
      </c>
      <c r="T82" s="613">
        <f t="array" ref="T82">SUM(IF(D$84:S$84&gt;0,D82:S82/$D$84:$S$84*$D$63:$S$63),0)</f>
        <v>0</v>
      </c>
      <c r="U82" s="700" t="b">
        <f>IF(T82&gt;0,MIN(1,(U52-U60*$V70)/T82))</f>
        <v>0</v>
      </c>
    </row>
    <row r="83" spans="2:22" hidden="1">
      <c r="B83" s="613" t="s">
        <v>978</v>
      </c>
      <c r="C83" s="744">
        <f>IF(OR(C$63=0,C71&lt;$V71^$B$78),0,ROUND(C53-C61*$V71^$B$78,5))</f>
        <v>0</v>
      </c>
      <c r="D83" s="745">
        <f>IF(OR(D$63*$F$76=0,$U71&lt;$V71),0,D53*(1-(1/$U$71)^($U$71))*($U53-$U61*$V71)/$U53)</f>
        <v>0</v>
      </c>
      <c r="E83" s="745">
        <f>IF(OR(E$63*$F$76=0,$U71&lt;$V71),0,E53*(1-(1/$U$71)^($U$71))*($U53-$U61*$V71)/$U53)</f>
        <v>0</v>
      </c>
      <c r="F83" s="745">
        <v>0</v>
      </c>
      <c r="G83" s="745">
        <f>IF(OR(G$63*$F$76=0,$U71&lt;$V71),0,G53*(1-(1/$U$71)^($U$71))*($U53-$U61*$V71)/$U53)</f>
        <v>0</v>
      </c>
      <c r="H83" s="745">
        <v>0</v>
      </c>
      <c r="I83" s="745">
        <v>0</v>
      </c>
      <c r="J83" s="745">
        <v>0</v>
      </c>
      <c r="K83" s="745">
        <v>0</v>
      </c>
      <c r="L83" s="745">
        <f>IF(OR(L$63*$F$76=0,$U71&lt;$V71),0,L53*(1-(1/$U$71)^($U$71))*($U53-$U61*$V71)/$U53)</f>
        <v>0</v>
      </c>
      <c r="M83" s="745">
        <f>IF(OR(M$63*$F$76=0,$U71&lt;$V71),0,M53*(1-(1/$U$71)^($U$71))*($U53-$U61*$V71)/$U53)</f>
        <v>0</v>
      </c>
      <c r="N83" s="745">
        <v>0</v>
      </c>
      <c r="O83" s="745">
        <v>0</v>
      </c>
      <c r="P83" s="745">
        <v>0</v>
      </c>
      <c r="Q83" s="745">
        <f>IF(OR(Q$63=0,$U71&lt;$V71),0,Q53*($U53-$U61*$V71)/$U53)</f>
        <v>0</v>
      </c>
      <c r="R83" s="745">
        <v>0</v>
      </c>
      <c r="S83" s="745">
        <f>IF(OR(S$63=0,$U71&lt;$V71),0,S53*(1-(1/$U$71)^($U$71))*($U53-$U61*$V71)/$U53)</f>
        <v>0</v>
      </c>
      <c r="T83" s="613">
        <f t="array" ref="T83">SUM(IF(D$84:S$84&gt;0,D83:S83/$D$84:$S$84*$D$63:$S$63),0)</f>
        <v>0</v>
      </c>
      <c r="U83" s="700" t="b">
        <f>IF(T83&gt;0,MIN(1,(U53-U61*$V71)/T83))</f>
        <v>0</v>
      </c>
    </row>
    <row r="84" spans="2:22" hidden="1">
      <c r="C84" s="613">
        <f>SUM(C79:C83)</f>
        <v>0</v>
      </c>
      <c r="D84" s="613">
        <f t="shared" ref="D84:S84" si="6">SUM(D79:D83)</f>
        <v>0</v>
      </c>
      <c r="E84" s="613">
        <f t="shared" si="6"/>
        <v>0</v>
      </c>
      <c r="F84" s="613">
        <f t="shared" si="6"/>
        <v>0</v>
      </c>
      <c r="G84" s="613">
        <f t="shared" si="6"/>
        <v>0</v>
      </c>
      <c r="H84" s="613">
        <f t="shared" si="6"/>
        <v>0</v>
      </c>
      <c r="I84" s="613">
        <f t="shared" si="6"/>
        <v>0</v>
      </c>
      <c r="J84" s="613">
        <f t="shared" si="6"/>
        <v>0</v>
      </c>
      <c r="K84" s="613">
        <f t="shared" si="6"/>
        <v>0</v>
      </c>
      <c r="L84" s="613">
        <f t="shared" si="6"/>
        <v>0</v>
      </c>
      <c r="M84" s="613">
        <f t="shared" si="6"/>
        <v>0</v>
      </c>
      <c r="N84" s="613">
        <f t="shared" si="6"/>
        <v>0</v>
      </c>
      <c r="O84" s="613">
        <f t="shared" si="6"/>
        <v>0</v>
      </c>
      <c r="P84" s="613">
        <f t="shared" si="6"/>
        <v>0</v>
      </c>
      <c r="Q84" s="613">
        <f t="shared" si="6"/>
        <v>0</v>
      </c>
      <c r="R84" s="613">
        <f t="shared" si="6"/>
        <v>0</v>
      </c>
      <c r="S84" s="613">
        <f t="shared" si="6"/>
        <v>0</v>
      </c>
    </row>
    <row r="85" spans="2:22" hidden="1"/>
    <row r="86" spans="2:22" hidden="1">
      <c r="B86" s="612" t="s">
        <v>990</v>
      </c>
    </row>
    <row r="87" spans="2:22" hidden="1">
      <c r="C87" s="613" t="s">
        <v>905</v>
      </c>
      <c r="D87" s="613" t="s">
        <v>906</v>
      </c>
      <c r="E87" s="613" t="s">
        <v>907</v>
      </c>
      <c r="F87" s="613" t="s">
        <v>908</v>
      </c>
      <c r="G87" s="613" t="s">
        <v>909</v>
      </c>
      <c r="H87" s="613" t="s">
        <v>910</v>
      </c>
      <c r="I87" s="613" t="s">
        <v>911</v>
      </c>
      <c r="J87" s="613" t="s">
        <v>912</v>
      </c>
      <c r="K87" s="613" t="s">
        <v>1150</v>
      </c>
      <c r="L87" s="613" t="s">
        <v>913</v>
      </c>
      <c r="M87" s="613" t="s">
        <v>826</v>
      </c>
      <c r="N87" s="613" t="s">
        <v>914</v>
      </c>
      <c r="O87" s="613" t="s">
        <v>915</v>
      </c>
      <c r="P87" s="613" t="s">
        <v>916</v>
      </c>
      <c r="Q87" s="613" t="s">
        <v>917</v>
      </c>
      <c r="R87" s="613" t="s">
        <v>950</v>
      </c>
      <c r="S87" s="613" t="s">
        <v>946</v>
      </c>
      <c r="T87" s="613" t="s">
        <v>888</v>
      </c>
    </row>
    <row r="88" spans="2:22" hidden="1">
      <c r="B88" s="613" t="s">
        <v>568</v>
      </c>
      <c r="C88" s="738">
        <f>IF(C79&gt;0,MIN(C49-C57*$V67^$B$78,C$63*C79/C$84),0)</f>
        <v>0</v>
      </c>
      <c r="D88" s="738">
        <f t="shared" ref="D88:S92" si="7">IF(D$84&gt;0,D$63*D79/D$84*$U79,0)</f>
        <v>0</v>
      </c>
      <c r="E88" s="738">
        <f t="shared" si="7"/>
        <v>0</v>
      </c>
      <c r="F88" s="738">
        <f t="shared" si="7"/>
        <v>0</v>
      </c>
      <c r="G88" s="738">
        <f t="shared" si="7"/>
        <v>0</v>
      </c>
      <c r="H88" s="738">
        <f t="shared" si="7"/>
        <v>0</v>
      </c>
      <c r="I88" s="738">
        <f t="shared" si="7"/>
        <v>0</v>
      </c>
      <c r="J88" s="738">
        <f t="shared" si="7"/>
        <v>0</v>
      </c>
      <c r="K88" s="738">
        <f t="shared" si="7"/>
        <v>0</v>
      </c>
      <c r="L88" s="738">
        <f t="shared" si="7"/>
        <v>0</v>
      </c>
      <c r="M88" s="738">
        <f t="shared" si="7"/>
        <v>0</v>
      </c>
      <c r="N88" s="738">
        <f t="shared" si="7"/>
        <v>0</v>
      </c>
      <c r="O88" s="738">
        <f t="shared" si="7"/>
        <v>0</v>
      </c>
      <c r="P88" s="738">
        <f t="shared" si="7"/>
        <v>0</v>
      </c>
      <c r="Q88" s="738">
        <f t="shared" si="7"/>
        <v>0</v>
      </c>
      <c r="R88" s="738">
        <f t="shared" si="7"/>
        <v>0</v>
      </c>
      <c r="S88" s="738">
        <f t="shared" si="7"/>
        <v>0</v>
      </c>
      <c r="T88" s="738">
        <f t="shared" ref="T88:T93" si="8">SUM(C88:S88)</f>
        <v>0</v>
      </c>
    </row>
    <row r="89" spans="2:22" hidden="1">
      <c r="B89" s="613" t="s">
        <v>879</v>
      </c>
      <c r="C89" s="738">
        <f>IF(C80&gt;0,MIN(C50-C58*$V68^$B$78,C$63*C80/C$84),0)</f>
        <v>0</v>
      </c>
      <c r="D89" s="738">
        <f t="shared" si="7"/>
        <v>0</v>
      </c>
      <c r="E89" s="738">
        <f t="shared" si="7"/>
        <v>0</v>
      </c>
      <c r="F89" s="738">
        <f t="shared" si="7"/>
        <v>0</v>
      </c>
      <c r="G89" s="738">
        <f t="shared" si="7"/>
        <v>0</v>
      </c>
      <c r="H89" s="738">
        <f t="shared" si="7"/>
        <v>0</v>
      </c>
      <c r="I89" s="738">
        <f t="shared" si="7"/>
        <v>0</v>
      </c>
      <c r="J89" s="738">
        <f t="shared" si="7"/>
        <v>0</v>
      </c>
      <c r="K89" s="738">
        <f t="shared" si="7"/>
        <v>0</v>
      </c>
      <c r="L89" s="738">
        <f t="shared" si="7"/>
        <v>0</v>
      </c>
      <c r="M89" s="738">
        <f t="shared" si="7"/>
        <v>0</v>
      </c>
      <c r="N89" s="738">
        <f t="shared" si="7"/>
        <v>0</v>
      </c>
      <c r="O89" s="738">
        <f t="shared" si="7"/>
        <v>0</v>
      </c>
      <c r="P89" s="738">
        <f t="shared" si="7"/>
        <v>0</v>
      </c>
      <c r="Q89" s="738">
        <f t="shared" si="7"/>
        <v>0</v>
      </c>
      <c r="R89" s="738">
        <f t="shared" si="7"/>
        <v>0</v>
      </c>
      <c r="S89" s="738">
        <f t="shared" si="7"/>
        <v>0</v>
      </c>
      <c r="T89" s="738">
        <f t="shared" si="8"/>
        <v>0</v>
      </c>
    </row>
    <row r="90" spans="2:22" hidden="1">
      <c r="B90" s="613" t="s">
        <v>880</v>
      </c>
      <c r="C90" s="738">
        <f>IF(C81&gt;0,MIN(C51-C59*$V69^$B$78,C$63*C81/C$84),0)</f>
        <v>0</v>
      </c>
      <c r="D90" s="738">
        <f t="shared" si="7"/>
        <v>0</v>
      </c>
      <c r="E90" s="738">
        <f t="shared" si="7"/>
        <v>0</v>
      </c>
      <c r="F90" s="738">
        <f t="shared" si="7"/>
        <v>0</v>
      </c>
      <c r="G90" s="738">
        <f t="shared" si="7"/>
        <v>0</v>
      </c>
      <c r="H90" s="738">
        <f t="shared" si="7"/>
        <v>0</v>
      </c>
      <c r="I90" s="738">
        <f t="shared" si="7"/>
        <v>0</v>
      </c>
      <c r="J90" s="738">
        <f t="shared" si="7"/>
        <v>0</v>
      </c>
      <c r="K90" s="738">
        <f t="shared" si="7"/>
        <v>0</v>
      </c>
      <c r="L90" s="738">
        <f t="shared" si="7"/>
        <v>0</v>
      </c>
      <c r="M90" s="738">
        <f t="shared" si="7"/>
        <v>0</v>
      </c>
      <c r="N90" s="738">
        <f t="shared" si="7"/>
        <v>0</v>
      </c>
      <c r="O90" s="738">
        <f t="shared" si="7"/>
        <v>0</v>
      </c>
      <c r="P90" s="738">
        <f t="shared" si="7"/>
        <v>0</v>
      </c>
      <c r="Q90" s="738">
        <f t="shared" si="7"/>
        <v>0</v>
      </c>
      <c r="R90" s="738">
        <f t="shared" si="7"/>
        <v>0</v>
      </c>
      <c r="S90" s="738">
        <f t="shared" si="7"/>
        <v>0</v>
      </c>
      <c r="T90" s="738">
        <f t="shared" si="8"/>
        <v>0</v>
      </c>
    </row>
    <row r="91" spans="2:22" hidden="1">
      <c r="B91" s="613" t="s">
        <v>787</v>
      </c>
      <c r="C91" s="738">
        <f>IF(C82&gt;0,MIN(C52-C60*$V70^$B$78,C$63*C82/C$84),0)</f>
        <v>0</v>
      </c>
      <c r="D91" s="738">
        <f t="shared" si="7"/>
        <v>0</v>
      </c>
      <c r="E91" s="738">
        <f t="shared" si="7"/>
        <v>0</v>
      </c>
      <c r="F91" s="738">
        <f t="shared" si="7"/>
        <v>0</v>
      </c>
      <c r="G91" s="738">
        <f t="shared" si="7"/>
        <v>0</v>
      </c>
      <c r="H91" s="738">
        <f t="shared" si="7"/>
        <v>0</v>
      </c>
      <c r="I91" s="738">
        <f t="shared" si="7"/>
        <v>0</v>
      </c>
      <c r="J91" s="738">
        <f t="shared" si="7"/>
        <v>0</v>
      </c>
      <c r="K91" s="738">
        <f t="shared" si="7"/>
        <v>0</v>
      </c>
      <c r="L91" s="738">
        <f t="shared" si="7"/>
        <v>0</v>
      </c>
      <c r="M91" s="738">
        <f t="shared" si="7"/>
        <v>0</v>
      </c>
      <c r="N91" s="738">
        <f t="shared" si="7"/>
        <v>0</v>
      </c>
      <c r="O91" s="738">
        <f t="shared" si="7"/>
        <v>0</v>
      </c>
      <c r="P91" s="738">
        <f t="shared" si="7"/>
        <v>0</v>
      </c>
      <c r="Q91" s="738">
        <f t="shared" si="7"/>
        <v>0</v>
      </c>
      <c r="R91" s="738">
        <f t="shared" si="7"/>
        <v>0</v>
      </c>
      <c r="S91" s="738">
        <f t="shared" si="7"/>
        <v>0</v>
      </c>
      <c r="T91" s="738">
        <f t="shared" si="8"/>
        <v>0</v>
      </c>
    </row>
    <row r="92" spans="2:22" hidden="1">
      <c r="B92" s="613" t="s">
        <v>978</v>
      </c>
      <c r="C92" s="738">
        <f>IF(C83&gt;0,MIN(C53-C61*$V71^$B$78,C$63*C83/C$84),0)</f>
        <v>0</v>
      </c>
      <c r="D92" s="738">
        <f t="shared" si="7"/>
        <v>0</v>
      </c>
      <c r="E92" s="738">
        <f t="shared" si="7"/>
        <v>0</v>
      </c>
      <c r="F92" s="738">
        <f t="shared" si="7"/>
        <v>0</v>
      </c>
      <c r="G92" s="738">
        <f t="shared" si="7"/>
        <v>0</v>
      </c>
      <c r="H92" s="738">
        <f t="shared" si="7"/>
        <v>0</v>
      </c>
      <c r="I92" s="738">
        <f t="shared" si="7"/>
        <v>0</v>
      </c>
      <c r="J92" s="738">
        <f t="shared" si="7"/>
        <v>0</v>
      </c>
      <c r="K92" s="738">
        <f t="shared" si="7"/>
        <v>0</v>
      </c>
      <c r="L92" s="738">
        <f t="shared" si="7"/>
        <v>0</v>
      </c>
      <c r="M92" s="738">
        <f t="shared" si="7"/>
        <v>0</v>
      </c>
      <c r="N92" s="738">
        <f t="shared" si="7"/>
        <v>0</v>
      </c>
      <c r="O92" s="738">
        <f t="shared" si="7"/>
        <v>0</v>
      </c>
      <c r="P92" s="738">
        <f t="shared" si="7"/>
        <v>0</v>
      </c>
      <c r="Q92" s="738">
        <f t="shared" si="7"/>
        <v>0</v>
      </c>
      <c r="R92" s="738">
        <f t="shared" si="7"/>
        <v>0</v>
      </c>
      <c r="S92" s="738">
        <f t="shared" si="7"/>
        <v>0</v>
      </c>
      <c r="T92" s="738">
        <f t="shared" si="8"/>
        <v>0</v>
      </c>
      <c r="V92" s="681">
        <f ca="1">SUM(S88:S92)*U47+SUM(ISOI2!G22,IOOI2!G28)</f>
        <v>4.3202182532017384</v>
      </c>
    </row>
    <row r="93" spans="2:22" hidden="1">
      <c r="B93" s="613" t="s">
        <v>286</v>
      </c>
      <c r="C93" s="738">
        <f t="shared" ref="C93:S93" si="9">C63-SUM(C88:C92)</f>
        <v>0</v>
      </c>
      <c r="D93" s="738">
        <f t="shared" si="9"/>
        <v>0</v>
      </c>
      <c r="E93" s="738">
        <f t="shared" si="9"/>
        <v>0</v>
      </c>
      <c r="F93" s="738">
        <f t="shared" si="9"/>
        <v>0</v>
      </c>
      <c r="G93" s="738">
        <f t="shared" si="9"/>
        <v>0</v>
      </c>
      <c r="H93" s="738">
        <f t="shared" si="9"/>
        <v>0</v>
      </c>
      <c r="I93" s="738">
        <f t="shared" si="9"/>
        <v>0</v>
      </c>
      <c r="J93" s="738">
        <f t="shared" si="9"/>
        <v>0</v>
      </c>
      <c r="K93" s="738">
        <f t="shared" si="9"/>
        <v>0</v>
      </c>
      <c r="L93" s="738">
        <f t="shared" si="9"/>
        <v>0</v>
      </c>
      <c r="M93" s="738">
        <f t="shared" si="9"/>
        <v>0</v>
      </c>
      <c r="N93" s="738">
        <f t="shared" si="9"/>
        <v>0</v>
      </c>
      <c r="O93" s="738">
        <f t="shared" si="9"/>
        <v>0</v>
      </c>
      <c r="P93" s="738">
        <f t="shared" si="9"/>
        <v>0</v>
      </c>
      <c r="Q93" s="738">
        <f t="shared" si="9"/>
        <v>0</v>
      </c>
      <c r="R93" s="738">
        <f t="shared" si="9"/>
        <v>0</v>
      </c>
      <c r="S93" s="738">
        <f t="shared" si="9"/>
        <v>0</v>
      </c>
      <c r="T93" s="738">
        <f t="shared" si="8"/>
        <v>0</v>
      </c>
    </row>
    <row r="94" spans="2:22" hidden="1">
      <c r="B94" s="613" t="s">
        <v>199</v>
      </c>
      <c r="C94" s="657">
        <f t="shared" ref="C94:T94" si="10">IF(C63&gt;0,C93/C63,1)</f>
        <v>1</v>
      </c>
      <c r="D94" s="655">
        <f t="shared" si="10"/>
        <v>1</v>
      </c>
      <c r="E94" s="655">
        <f t="shared" si="10"/>
        <v>1</v>
      </c>
      <c r="F94" s="655">
        <f t="shared" si="10"/>
        <v>1</v>
      </c>
      <c r="G94" s="655">
        <f t="shared" si="10"/>
        <v>1</v>
      </c>
      <c r="H94" s="655">
        <f t="shared" si="10"/>
        <v>1</v>
      </c>
      <c r="I94" s="655">
        <f t="shared" si="10"/>
        <v>1</v>
      </c>
      <c r="J94" s="655">
        <f t="shared" si="10"/>
        <v>1</v>
      </c>
      <c r="K94" s="655">
        <f t="shared" si="10"/>
        <v>1</v>
      </c>
      <c r="L94" s="655">
        <f t="shared" si="10"/>
        <v>1</v>
      </c>
      <c r="M94" s="655">
        <f t="shared" si="10"/>
        <v>1</v>
      </c>
      <c r="N94" s="655">
        <f t="shared" si="10"/>
        <v>1</v>
      </c>
      <c r="O94" s="655">
        <f t="shared" si="10"/>
        <v>1</v>
      </c>
      <c r="P94" s="655">
        <f t="shared" si="10"/>
        <v>1</v>
      </c>
      <c r="Q94" s="655">
        <f t="shared" si="10"/>
        <v>1</v>
      </c>
      <c r="R94" s="655">
        <f t="shared" si="10"/>
        <v>1</v>
      </c>
      <c r="S94" s="655">
        <f>IF(S63&gt;0,S93/S63,1)</f>
        <v>1</v>
      </c>
      <c r="T94" s="658">
        <f t="shared" si="10"/>
        <v>1</v>
      </c>
    </row>
    <row r="95" spans="2:22" hidden="1">
      <c r="B95" s="613" t="s">
        <v>200</v>
      </c>
      <c r="C95" s="657">
        <f ca="1">IF(C62=0,1,1-(1-C94)*IEAData2!B35/C62)</f>
        <v>1</v>
      </c>
      <c r="D95" s="655">
        <f ca="1">IF(D62=0,1,1-(1-D94)*IEAData2!C35/D62)</f>
        <v>1</v>
      </c>
      <c r="E95" s="655">
        <f ca="1">IF(E62=0,1,1-(1-E94)*IEAData2!D35/E62)</f>
        <v>1</v>
      </c>
      <c r="F95" s="655">
        <f ca="1">IF(F62=0,1,1-(1-F94)*IEAData2!E35/F62)</f>
        <v>1</v>
      </c>
      <c r="G95" s="655">
        <f ca="1">IF(G62=0,1,1-(1-G94)*IEAData2!F35/G62)</f>
        <v>1</v>
      </c>
      <c r="H95" s="655">
        <f ca="1">IF(H62=0,1,1-(1-H94)*IEAData2!G35/H62)</f>
        <v>1</v>
      </c>
      <c r="I95" s="655">
        <f ca="1">IF(I62=0,1,1-(1-I94)*IEAData2!H35/I62)</f>
        <v>1</v>
      </c>
      <c r="J95" s="655">
        <f ca="1">IF(J62=0,1,1-(1-J94)*IEAData2!I35/J62)</f>
        <v>1</v>
      </c>
      <c r="K95" s="655">
        <f ca="1">IF(K62=0,1,1-(1-K94)*IEAData2!J35/K62)</f>
        <v>1</v>
      </c>
      <c r="L95" s="655">
        <f ca="1">IF(L62=0,1,1-(1-L94)*IEAData2!K35/L62)</f>
        <v>1</v>
      </c>
      <c r="M95" s="655">
        <f ca="1">IF(M62=0,1,1-(1-M94)*IEAData2!L35/M62)</f>
        <v>1</v>
      </c>
      <c r="N95" s="655">
        <f ca="1">IF(N62=0,1,1-(1-N94)*IEAData2!M35/N62)</f>
        <v>1</v>
      </c>
      <c r="O95" s="655">
        <f ca="1">IF(O62=0,1,1-(1-O94)*IEAData2!N35/O62)</f>
        <v>1</v>
      </c>
      <c r="P95" s="655">
        <f ca="1">IF(P62=0,1,1-(1-P94)*IEAData2!O35/P62)</f>
        <v>1</v>
      </c>
      <c r="Q95" s="655">
        <f ca="1">IF(Q62=0,1,1-(1-Q94)*IEAData2!P35/Q62)</f>
        <v>1</v>
      </c>
      <c r="R95" s="655">
        <f ca="1">IF(R62=0,1,1-(1-R94)*IEAData2!Q35/R62)</f>
        <v>1</v>
      </c>
      <c r="S95" s="655">
        <f ca="1">IF(S62=0,1,1-(1-S94)*MAX(0,S62+IEAData2!R35-IEAData2!R33)/S62)</f>
        <v>1</v>
      </c>
      <c r="T95" s="658">
        <f ca="1">IF(T62=0,1,1-(1-T94)*IEAData2!S35/T62)</f>
        <v>1</v>
      </c>
    </row>
    <row r="96" spans="2:22" hidden="1">
      <c r="R96" s="659" t="s">
        <v>1011</v>
      </c>
      <c r="S96" s="746">
        <f ca="1">IEAData2!$R$36*(1-S94)+IEAData2!$T$69*(1-S95)*0</f>
        <v>0</v>
      </c>
    </row>
    <row r="97" spans="2:21" hidden="1">
      <c r="B97" s="612" t="s">
        <v>991</v>
      </c>
    </row>
    <row r="98" spans="2:21" hidden="1">
      <c r="C98" s="613" t="s">
        <v>905</v>
      </c>
      <c r="D98" s="613" t="s">
        <v>906</v>
      </c>
      <c r="E98" s="613" t="s">
        <v>907</v>
      </c>
      <c r="F98" s="613" t="s">
        <v>908</v>
      </c>
      <c r="G98" s="613" t="s">
        <v>909</v>
      </c>
      <c r="H98" s="613" t="s">
        <v>910</v>
      </c>
      <c r="I98" s="613" t="s">
        <v>911</v>
      </c>
      <c r="J98" s="613" t="s">
        <v>912</v>
      </c>
      <c r="K98" s="613" t="s">
        <v>1150</v>
      </c>
      <c r="L98" s="613" t="s">
        <v>913</v>
      </c>
      <c r="M98" s="613" t="s">
        <v>826</v>
      </c>
      <c r="N98" s="613" t="s">
        <v>914</v>
      </c>
      <c r="O98" s="613" t="s">
        <v>915</v>
      </c>
      <c r="P98" s="613" t="s">
        <v>916</v>
      </c>
      <c r="Q98" s="613" t="s">
        <v>917</v>
      </c>
      <c r="R98" s="613" t="s">
        <v>950</v>
      </c>
      <c r="S98" s="613" t="s">
        <v>946</v>
      </c>
      <c r="T98" s="613" t="s">
        <v>888</v>
      </c>
      <c r="U98" s="613" t="s">
        <v>378</v>
      </c>
    </row>
    <row r="99" spans="2:21" hidden="1">
      <c r="B99" s="613" t="s">
        <v>568</v>
      </c>
      <c r="C99" s="738">
        <f t="shared" ref="C99:S103" si="11">C57+C88</f>
        <v>7.286781894794557E-2</v>
      </c>
      <c r="D99" s="738">
        <f t="shared" si="11"/>
        <v>1.2999999999999999E-2</v>
      </c>
      <c r="E99" s="738">
        <f t="shared" si="11"/>
        <v>3.2000000000000001E-2</v>
      </c>
      <c r="F99" s="738">
        <f t="shared" si="11"/>
        <v>0</v>
      </c>
      <c r="G99" s="738">
        <f t="shared" si="11"/>
        <v>0</v>
      </c>
      <c r="H99" s="738">
        <f t="shared" si="11"/>
        <v>0</v>
      </c>
      <c r="I99" s="738">
        <f t="shared" si="11"/>
        <v>0</v>
      </c>
      <c r="J99" s="738">
        <f t="shared" si="11"/>
        <v>0</v>
      </c>
      <c r="K99" s="738">
        <f t="shared" si="11"/>
        <v>0</v>
      </c>
      <c r="L99" s="738">
        <f t="shared" si="11"/>
        <v>1.4E-2</v>
      </c>
      <c r="M99" s="738">
        <f t="shared" si="11"/>
        <v>1E-3</v>
      </c>
      <c r="N99" s="738">
        <f t="shared" si="11"/>
        <v>0</v>
      </c>
      <c r="O99" s="738">
        <f t="shared" si="11"/>
        <v>0</v>
      </c>
      <c r="P99" s="738">
        <f t="shared" si="11"/>
        <v>0</v>
      </c>
      <c r="Q99" s="738">
        <f t="shared" si="11"/>
        <v>0</v>
      </c>
      <c r="R99" s="738">
        <f t="shared" si="11"/>
        <v>0</v>
      </c>
      <c r="S99" s="738">
        <f t="shared" si="11"/>
        <v>1.1117755853547424E-2</v>
      </c>
      <c r="T99" s="738">
        <f>SUM(C99:S99)</f>
        <v>0.14398557480149302</v>
      </c>
      <c r="U99" s="738">
        <f>SUM(D99:S99)</f>
        <v>7.1117755853547418E-2</v>
      </c>
    </row>
    <row r="100" spans="2:21" hidden="1">
      <c r="B100" s="613" t="s">
        <v>879</v>
      </c>
      <c r="C100" s="738">
        <f t="shared" si="11"/>
        <v>0.18568245875165196</v>
      </c>
      <c r="D100" s="738">
        <f t="shared" si="11"/>
        <v>0.09</v>
      </c>
      <c r="E100" s="738">
        <f t="shared" si="11"/>
        <v>4.4999999999999998E-2</v>
      </c>
      <c r="F100" s="738">
        <f t="shared" si="11"/>
        <v>0</v>
      </c>
      <c r="G100" s="738">
        <f t="shared" si="11"/>
        <v>0.19500000000000001</v>
      </c>
      <c r="H100" s="738">
        <f t="shared" si="11"/>
        <v>0</v>
      </c>
      <c r="I100" s="738">
        <f t="shared" si="11"/>
        <v>0</v>
      </c>
      <c r="J100" s="738">
        <f t="shared" si="11"/>
        <v>0</v>
      </c>
      <c r="K100" s="738">
        <f t="shared" si="11"/>
        <v>1E-3</v>
      </c>
      <c r="L100" s="738">
        <f t="shared" si="11"/>
        <v>2.1999999999999999E-2</v>
      </c>
      <c r="M100" s="738">
        <f t="shared" si="11"/>
        <v>2.3E-2</v>
      </c>
      <c r="N100" s="738">
        <f t="shared" si="11"/>
        <v>0</v>
      </c>
      <c r="O100" s="738">
        <f t="shared" si="11"/>
        <v>0</v>
      </c>
      <c r="P100" s="738">
        <f t="shared" si="11"/>
        <v>5.3999999999999999E-2</v>
      </c>
      <c r="Q100" s="738">
        <f t="shared" si="11"/>
        <v>0.01</v>
      </c>
      <c r="R100" s="738">
        <f t="shared" si="11"/>
        <v>0</v>
      </c>
      <c r="S100" s="738">
        <f t="shared" si="11"/>
        <v>5.7454481064933241E-2</v>
      </c>
      <c r="T100" s="738">
        <f>SUM(C100:S100)</f>
        <v>0.6831369398165853</v>
      </c>
      <c r="U100" s="738">
        <f>SUM(D100:S100)</f>
        <v>0.49745448106493328</v>
      </c>
    </row>
    <row r="101" spans="2:21" hidden="1">
      <c r="B101" s="613" t="s">
        <v>880</v>
      </c>
      <c r="C101" s="738">
        <f t="shared" si="11"/>
        <v>7.286781894794557E-2</v>
      </c>
      <c r="D101" s="738">
        <f t="shared" si="11"/>
        <v>1E-3</v>
      </c>
      <c r="E101" s="738">
        <f t="shared" si="11"/>
        <v>5.0000000000000001E-3</v>
      </c>
      <c r="F101" s="738">
        <f t="shared" si="11"/>
        <v>0</v>
      </c>
      <c r="G101" s="738">
        <f t="shared" si="11"/>
        <v>0</v>
      </c>
      <c r="H101" s="738">
        <f t="shared" si="11"/>
        <v>0</v>
      </c>
      <c r="I101" s="738">
        <f t="shared" si="11"/>
        <v>0</v>
      </c>
      <c r="J101" s="738">
        <f t="shared" si="11"/>
        <v>0</v>
      </c>
      <c r="K101" s="738">
        <f t="shared" si="11"/>
        <v>0</v>
      </c>
      <c r="L101" s="738">
        <f t="shared" si="11"/>
        <v>5.0000000000000001E-3</v>
      </c>
      <c r="M101" s="738">
        <f t="shared" si="11"/>
        <v>3.0000000000000001E-3</v>
      </c>
      <c r="N101" s="738">
        <f t="shared" si="11"/>
        <v>0</v>
      </c>
      <c r="O101" s="738">
        <f t="shared" si="11"/>
        <v>0</v>
      </c>
      <c r="P101" s="738">
        <f t="shared" si="11"/>
        <v>0</v>
      </c>
      <c r="Q101" s="738">
        <f t="shared" si="11"/>
        <v>4.0000000000000001E-3</v>
      </c>
      <c r="R101" s="738">
        <f t="shared" si="11"/>
        <v>0</v>
      </c>
      <c r="S101" s="738">
        <f t="shared" si="11"/>
        <v>2.9549354284702699E-2</v>
      </c>
      <c r="T101" s="738">
        <f>SUM(C101:S101)</f>
        <v>0.12041717323264828</v>
      </c>
      <c r="U101" s="738">
        <f>SUM(D101:S101)</f>
        <v>4.7549354284702694E-2</v>
      </c>
    </row>
    <row r="102" spans="2:21" hidden="1">
      <c r="B102" s="613" t="s">
        <v>787</v>
      </c>
      <c r="C102" s="738">
        <f t="shared" si="11"/>
        <v>0.36717810067276463</v>
      </c>
      <c r="D102" s="738">
        <f t="shared" si="11"/>
        <v>0.27400000000000002</v>
      </c>
      <c r="E102" s="738">
        <f t="shared" si="11"/>
        <v>0.12</v>
      </c>
      <c r="F102" s="738">
        <f t="shared" si="11"/>
        <v>0</v>
      </c>
      <c r="G102" s="738">
        <f t="shared" si="11"/>
        <v>0</v>
      </c>
      <c r="H102" s="738">
        <f t="shared" si="11"/>
        <v>0</v>
      </c>
      <c r="I102" s="738">
        <f t="shared" si="11"/>
        <v>0</v>
      </c>
      <c r="J102" s="738">
        <f t="shared" si="11"/>
        <v>0</v>
      </c>
      <c r="K102" s="738">
        <f t="shared" si="11"/>
        <v>0</v>
      </c>
      <c r="L102" s="738">
        <f t="shared" si="11"/>
        <v>6.6000000000000003E-2</v>
      </c>
      <c r="M102" s="738">
        <f t="shared" si="11"/>
        <v>4.0000000000000001E-3</v>
      </c>
      <c r="N102" s="738">
        <f t="shared" si="11"/>
        <v>0</v>
      </c>
      <c r="O102" s="738">
        <f t="shared" si="11"/>
        <v>0</v>
      </c>
      <c r="P102" s="738">
        <f t="shared" si="11"/>
        <v>0</v>
      </c>
      <c r="Q102" s="738">
        <f t="shared" si="11"/>
        <v>7.0000000000000001E-3</v>
      </c>
      <c r="R102" s="738">
        <f t="shared" si="11"/>
        <v>0</v>
      </c>
      <c r="S102" s="738">
        <f t="shared" si="11"/>
        <v>0.37876484615168338</v>
      </c>
      <c r="T102" s="738">
        <f>SUM(C102:S102)</f>
        <v>1.2169429468244479</v>
      </c>
      <c r="U102" s="738">
        <f>SUM(D102:S102)</f>
        <v>0.84976484615168335</v>
      </c>
    </row>
    <row r="103" spans="2:21" hidden="1">
      <c r="B103" s="613" t="s">
        <v>978</v>
      </c>
      <c r="C103" s="738">
        <f t="shared" si="11"/>
        <v>8.9428686890660469E-2</v>
      </c>
      <c r="D103" s="738">
        <f t="shared" si="11"/>
        <v>2.5000000000000001E-2</v>
      </c>
      <c r="E103" s="738">
        <f t="shared" si="11"/>
        <v>3.0000000000000001E-3</v>
      </c>
      <c r="F103" s="738">
        <f t="shared" si="11"/>
        <v>0</v>
      </c>
      <c r="G103" s="738">
        <f t="shared" si="11"/>
        <v>1E-3</v>
      </c>
      <c r="H103" s="738">
        <f t="shared" si="11"/>
        <v>0</v>
      </c>
      <c r="I103" s="738">
        <f t="shared" si="11"/>
        <v>0</v>
      </c>
      <c r="J103" s="738">
        <f t="shared" si="11"/>
        <v>0</v>
      </c>
      <c r="K103" s="738">
        <f t="shared" si="11"/>
        <v>0.01</v>
      </c>
      <c r="L103" s="738">
        <f t="shared" si="11"/>
        <v>6.0000000000000001E-3</v>
      </c>
      <c r="M103" s="738">
        <f t="shared" si="11"/>
        <v>0</v>
      </c>
      <c r="N103" s="738">
        <f t="shared" si="11"/>
        <v>0</v>
      </c>
      <c r="O103" s="738">
        <f t="shared" si="11"/>
        <v>0</v>
      </c>
      <c r="P103" s="738">
        <f t="shared" si="11"/>
        <v>0</v>
      </c>
      <c r="Q103" s="747">
        <f ca="1">Q61+Q92+MAX(0,MIN(U53-U61-SUM(D92:S92),SUMPRODUCT(Drivers2!H79:H80,Drivers2!$P$122:$P$123)))</f>
        <v>0.14200000000000002</v>
      </c>
      <c r="R103" s="738">
        <f>R61+R92</f>
        <v>0</v>
      </c>
      <c r="S103" s="738">
        <f>S61+S92</f>
        <v>1.1199169241237466E-2</v>
      </c>
      <c r="T103" s="738">
        <f>SUM(C103:S103)</f>
        <v>0.28762785613189795</v>
      </c>
      <c r="U103" s="738">
        <f>SUM(D103:S103)</f>
        <v>0.19819916924123746</v>
      </c>
    </row>
    <row r="104" spans="2:21" hidden="1">
      <c r="M104" s="748">
        <f ca="1">MAX(0.01,1-('CHP2'!I108*'CHP2'!M108+M62*M95+IEAData2!$L36*M94)/IEAData2!$BL$58)</f>
        <v>2.2368810966682307E-2</v>
      </c>
      <c r="S104" s="738"/>
      <c r="T104" s="749">
        <f>SUM(T99:T103)</f>
        <v>2.4521104908070721</v>
      </c>
    </row>
    <row r="105" spans="2:21" hidden="1">
      <c r="M105" s="748">
        <f ca="1">MAX(0.01,(IEAData2!BJ58+SUM(M99:M103)-'CHP2'!I108*'CHP2'!M108)/IEAData2!$BL$58)</f>
        <v>2.2368810966682341E-2</v>
      </c>
    </row>
    <row r="106" spans="2:21" hidden="1">
      <c r="B106" s="612" t="s">
        <v>992</v>
      </c>
    </row>
    <row r="107" spans="2:21" hidden="1">
      <c r="C107" s="613" t="s">
        <v>905</v>
      </c>
      <c r="D107" s="613" t="s">
        <v>906</v>
      </c>
      <c r="E107" s="613" t="s">
        <v>907</v>
      </c>
      <c r="F107" s="613" t="s">
        <v>908</v>
      </c>
      <c r="G107" s="613" t="s">
        <v>909</v>
      </c>
      <c r="H107" s="613" t="s">
        <v>910</v>
      </c>
      <c r="I107" s="613" t="s">
        <v>911</v>
      </c>
      <c r="J107" s="613" t="s">
        <v>912</v>
      </c>
      <c r="K107" s="613" t="s">
        <v>1150</v>
      </c>
      <c r="L107" s="613" t="s">
        <v>913</v>
      </c>
      <c r="M107" s="613" t="s">
        <v>826</v>
      </c>
      <c r="N107" s="613" t="s">
        <v>914</v>
      </c>
      <c r="O107" s="613" t="s">
        <v>915</v>
      </c>
      <c r="P107" s="613" t="s">
        <v>916</v>
      </c>
      <c r="Q107" s="613" t="s">
        <v>917</v>
      </c>
      <c r="R107" s="613" t="s">
        <v>950</v>
      </c>
      <c r="S107" s="613" t="s">
        <v>946</v>
      </c>
      <c r="T107" s="613" t="s">
        <v>888</v>
      </c>
      <c r="U107" s="613" t="s">
        <v>378</v>
      </c>
    </row>
    <row r="108" spans="2:21" hidden="1">
      <c r="B108" s="613" t="s">
        <v>568</v>
      </c>
      <c r="C108" s="766">
        <f t="shared" ref="C108:U112" si="12">IF(C99&lt;&gt;0,C49/C99,1)</f>
        <v>1</v>
      </c>
      <c r="D108" s="766">
        <f t="shared" si="12"/>
        <v>0.30553806086101026</v>
      </c>
      <c r="E108" s="766">
        <f t="shared" si="12"/>
        <v>0.26639832977216721</v>
      </c>
      <c r="F108" s="766">
        <f t="shared" si="12"/>
        <v>1</v>
      </c>
      <c r="G108" s="766">
        <f t="shared" si="12"/>
        <v>1</v>
      </c>
      <c r="H108" s="766">
        <f t="shared" si="12"/>
        <v>1</v>
      </c>
      <c r="I108" s="766">
        <f t="shared" si="12"/>
        <v>1</v>
      </c>
      <c r="J108" s="766">
        <f t="shared" si="12"/>
        <v>1</v>
      </c>
      <c r="K108" s="766">
        <f t="shared" si="12"/>
        <v>1</v>
      </c>
      <c r="L108" s="766">
        <f t="shared" si="12"/>
        <v>0.28371391365665238</v>
      </c>
      <c r="M108" s="766">
        <f t="shared" si="12"/>
        <v>4.1806736043728447</v>
      </c>
      <c r="N108" s="766">
        <f t="shared" si="12"/>
        <v>1</v>
      </c>
      <c r="O108" s="766">
        <f t="shared" si="12"/>
        <v>1</v>
      </c>
      <c r="P108" s="766">
        <f t="shared" si="12"/>
        <v>1</v>
      </c>
      <c r="Q108" s="766">
        <f t="shared" si="12"/>
        <v>1</v>
      </c>
      <c r="R108" s="766">
        <f t="shared" si="12"/>
        <v>1</v>
      </c>
      <c r="S108" s="766">
        <f t="shared" si="12"/>
        <v>0.35726587663154696</v>
      </c>
      <c r="T108" s="766">
        <f t="shared" si="12"/>
        <v>1.0000000000000002</v>
      </c>
      <c r="U108" s="766">
        <f t="shared" si="12"/>
        <v>1.0000000000000004</v>
      </c>
    </row>
    <row r="109" spans="2:21" hidden="1">
      <c r="B109" s="613" t="s">
        <v>879</v>
      </c>
      <c r="C109" s="766">
        <f t="shared" si="12"/>
        <v>1</v>
      </c>
      <c r="D109" s="766">
        <f t="shared" si="12"/>
        <v>2.0077588989028254</v>
      </c>
      <c r="E109" s="766">
        <f t="shared" si="12"/>
        <v>0.28228739792314705</v>
      </c>
      <c r="F109" s="766">
        <f t="shared" si="12"/>
        <v>1</v>
      </c>
      <c r="G109" s="766">
        <f t="shared" si="12"/>
        <v>0.35589693687759716</v>
      </c>
      <c r="H109" s="766">
        <f t="shared" si="12"/>
        <v>1</v>
      </c>
      <c r="I109" s="766">
        <f t="shared" si="12"/>
        <v>1</v>
      </c>
      <c r="J109" s="766">
        <f t="shared" si="12"/>
        <v>1</v>
      </c>
      <c r="K109" s="766">
        <f t="shared" si="12"/>
        <v>10.766812207030167</v>
      </c>
      <c r="L109" s="766">
        <f t="shared" si="12"/>
        <v>5.6840500816451298</v>
      </c>
      <c r="M109" s="766">
        <f t="shared" si="12"/>
        <v>0.5102118502950389</v>
      </c>
      <c r="N109" s="766">
        <f t="shared" si="12"/>
        <v>1</v>
      </c>
      <c r="O109" s="766">
        <f t="shared" si="12"/>
        <v>1</v>
      </c>
      <c r="P109" s="766">
        <f t="shared" si="12"/>
        <v>3.9877082248259879E-2</v>
      </c>
      <c r="Q109" s="766">
        <f t="shared" si="12"/>
        <v>1.29201746484362</v>
      </c>
      <c r="R109" s="766">
        <f t="shared" si="12"/>
        <v>1</v>
      </c>
      <c r="S109" s="766">
        <f t="shared" si="12"/>
        <v>0.37479451584853257</v>
      </c>
      <c r="T109" s="767">
        <f t="shared" si="12"/>
        <v>1.0000000000000002</v>
      </c>
      <c r="U109" s="766">
        <f t="shared" si="12"/>
        <v>1.0000000000000002</v>
      </c>
    </row>
    <row r="110" spans="2:21" hidden="1">
      <c r="B110" s="613" t="s">
        <v>880</v>
      </c>
      <c r="C110" s="766">
        <f t="shared" si="12"/>
        <v>1</v>
      </c>
      <c r="D110" s="766">
        <f t="shared" si="12"/>
        <v>16.277226221335638</v>
      </c>
      <c r="E110" s="766">
        <f t="shared" si="12"/>
        <v>0.92697985732475197</v>
      </c>
      <c r="F110" s="766">
        <f t="shared" si="12"/>
        <v>1</v>
      </c>
      <c r="G110" s="766">
        <f t="shared" si="12"/>
        <v>1</v>
      </c>
      <c r="H110" s="766">
        <f t="shared" si="12"/>
        <v>1</v>
      </c>
      <c r="I110" s="766">
        <f t="shared" si="12"/>
        <v>1</v>
      </c>
      <c r="J110" s="766">
        <f t="shared" si="12"/>
        <v>1</v>
      </c>
      <c r="K110" s="766">
        <f t="shared" si="12"/>
        <v>1</v>
      </c>
      <c r="L110" s="766">
        <f t="shared" si="12"/>
        <v>1.7164226434420793</v>
      </c>
      <c r="M110" s="766">
        <f t="shared" si="12"/>
        <v>0.53816511581326854</v>
      </c>
      <c r="N110" s="766">
        <f t="shared" si="12"/>
        <v>1</v>
      </c>
      <c r="O110" s="766">
        <f t="shared" si="12"/>
        <v>1</v>
      </c>
      <c r="P110" s="766">
        <f t="shared" si="12"/>
        <v>1</v>
      </c>
      <c r="Q110" s="766">
        <f t="shared" si="12"/>
        <v>0.24217430211597082</v>
      </c>
      <c r="R110" s="766">
        <f t="shared" si="12"/>
        <v>1</v>
      </c>
      <c r="S110" s="766">
        <f t="shared" si="12"/>
        <v>0.10927449255807313</v>
      </c>
      <c r="T110" s="766">
        <f t="shared" si="12"/>
        <v>1</v>
      </c>
      <c r="U110" s="766">
        <f t="shared" si="12"/>
        <v>1.0000000000000002</v>
      </c>
    </row>
    <row r="111" spans="2:21" hidden="1">
      <c r="B111" s="613" t="s">
        <v>787</v>
      </c>
      <c r="C111" s="766">
        <f t="shared" si="12"/>
        <v>1</v>
      </c>
      <c r="D111" s="766">
        <f t="shared" si="12"/>
        <v>1.2387932517631761</v>
      </c>
      <c r="E111" s="766">
        <f t="shared" si="12"/>
        <v>0.18130968831783478</v>
      </c>
      <c r="F111" s="766">
        <f t="shared" si="12"/>
        <v>1</v>
      </c>
      <c r="G111" s="766">
        <f t="shared" si="12"/>
        <v>1</v>
      </c>
      <c r="H111" s="766">
        <f t="shared" si="12"/>
        <v>1</v>
      </c>
      <c r="I111" s="766">
        <f t="shared" si="12"/>
        <v>1</v>
      </c>
      <c r="J111" s="766">
        <f t="shared" si="12"/>
        <v>1</v>
      </c>
      <c r="K111" s="766">
        <f t="shared" si="12"/>
        <v>1</v>
      </c>
      <c r="L111" s="766">
        <f t="shared" si="12"/>
        <v>1.6832955875340707</v>
      </c>
      <c r="M111" s="766">
        <f t="shared" si="12"/>
        <v>9.6129813619804967</v>
      </c>
      <c r="N111" s="766">
        <f t="shared" si="12"/>
        <v>1</v>
      </c>
      <c r="O111" s="766">
        <f t="shared" si="12"/>
        <v>1</v>
      </c>
      <c r="P111" s="766">
        <f t="shared" si="12"/>
        <v>1</v>
      </c>
      <c r="Q111" s="766">
        <f t="shared" si="12"/>
        <v>0.90994156420844585</v>
      </c>
      <c r="R111" s="766">
        <f t="shared" si="12"/>
        <v>1</v>
      </c>
      <c r="S111" s="766">
        <f t="shared" si="12"/>
        <v>0.33633485336219932</v>
      </c>
      <c r="T111" s="766">
        <f t="shared" si="12"/>
        <v>1.0000000000000002</v>
      </c>
      <c r="U111" s="766">
        <f t="shared" si="12"/>
        <v>1</v>
      </c>
    </row>
    <row r="112" spans="2:21" hidden="1">
      <c r="B112" s="613" t="s">
        <v>978</v>
      </c>
      <c r="C112" s="766">
        <f t="shared" si="12"/>
        <v>1</v>
      </c>
      <c r="D112" s="766">
        <f t="shared" si="12"/>
        <v>2.579581659574842</v>
      </c>
      <c r="E112" s="766">
        <f t="shared" si="12"/>
        <v>2.7931214833922433</v>
      </c>
      <c r="F112" s="766">
        <f t="shared" si="12"/>
        <v>1</v>
      </c>
      <c r="G112" s="766">
        <f t="shared" si="12"/>
        <v>8.2285439804732743</v>
      </c>
      <c r="H112" s="766">
        <f t="shared" si="12"/>
        <v>1</v>
      </c>
      <c r="I112" s="766">
        <f t="shared" si="12"/>
        <v>1</v>
      </c>
      <c r="J112" s="766">
        <f t="shared" si="12"/>
        <v>1</v>
      </c>
      <c r="K112" s="766">
        <f t="shared" si="12"/>
        <v>0.18466876790580211</v>
      </c>
      <c r="L112" s="766">
        <f t="shared" si="12"/>
        <v>6.5142047992745393</v>
      </c>
      <c r="M112" s="766">
        <f t="shared" si="12"/>
        <v>1</v>
      </c>
      <c r="N112" s="766">
        <f t="shared" si="12"/>
        <v>1</v>
      </c>
      <c r="O112" s="766">
        <f t="shared" si="12"/>
        <v>1</v>
      </c>
      <c r="P112" s="766">
        <f t="shared" si="12"/>
        <v>1</v>
      </c>
      <c r="Q112" s="766">
        <f t="shared" si="12"/>
        <v>0.21034252199756667</v>
      </c>
      <c r="R112" s="766">
        <f t="shared" si="12"/>
        <v>1</v>
      </c>
      <c r="S112" s="766">
        <f t="shared" si="12"/>
        <v>0.65958023824058909</v>
      </c>
      <c r="T112" s="766">
        <f t="shared" si="12"/>
        <v>0.98920299028765746</v>
      </c>
      <c r="U112" s="766">
        <f t="shared" si="12"/>
        <v>0.98433131295108278</v>
      </c>
    </row>
    <row r="113" spans="1:20" hidden="1"/>
    <row r="114" spans="1:20" hidden="1">
      <c r="T114" s="750"/>
    </row>
    <row r="115" spans="1:20" ht="18" hidden="1">
      <c r="B115" s="728" t="s">
        <v>380</v>
      </c>
      <c r="C115" s="729"/>
      <c r="D115" s="708"/>
      <c r="E115" s="729"/>
      <c r="F115" s="708"/>
      <c r="G115" s="708"/>
    </row>
    <row r="116" spans="1:20" hidden="1">
      <c r="B116" s="613" t="s">
        <v>255</v>
      </c>
    </row>
    <row r="117" spans="1:20" hidden="1"/>
    <row r="118" spans="1:20" hidden="1">
      <c r="A118" s="613">
        <f t="shared" ref="A118:A144" si="13">MATCH(LEFT(B118,3),B$108:B$112,0)</f>
        <v>1</v>
      </c>
      <c r="B118" s="613" t="s">
        <v>961</v>
      </c>
      <c r="C118" s="766">
        <f t="shared" ref="C118:C152" si="14">MAX(0,IF(INDEX(C$49:C$53,$A118)&gt;0,C9*INDEX(C$99:C$103,$A118)/INDEX(C$49:C$53,$A118),0))</f>
        <v>0</v>
      </c>
      <c r="D118" s="766">
        <f t="shared" ref="D118:S118" si="15">IF(INDEX(D$49:D$53,$A118)&gt;0,D9*INDEX(D$99:D$103,$A118)/INDEX(D$49:D$53,$A118),0)</f>
        <v>0.32729146646476281</v>
      </c>
      <c r="E118" s="766">
        <f t="shared" si="15"/>
        <v>0</v>
      </c>
      <c r="F118" s="766">
        <f t="shared" si="15"/>
        <v>0</v>
      </c>
      <c r="G118" s="766">
        <f t="shared" si="15"/>
        <v>0</v>
      </c>
      <c r="H118" s="766">
        <f t="shared" si="15"/>
        <v>0</v>
      </c>
      <c r="I118" s="766">
        <f t="shared" si="15"/>
        <v>0</v>
      </c>
      <c r="J118" s="766">
        <f t="shared" si="15"/>
        <v>0</v>
      </c>
      <c r="K118" s="766">
        <f t="shared" si="15"/>
        <v>0</v>
      </c>
      <c r="L118" s="766">
        <f t="shared" si="15"/>
        <v>0.17623386655794926</v>
      </c>
      <c r="M118" s="766">
        <f t="shared" si="15"/>
        <v>0</v>
      </c>
      <c r="N118" s="766">
        <f t="shared" si="15"/>
        <v>0</v>
      </c>
      <c r="O118" s="766">
        <f t="shared" si="15"/>
        <v>0</v>
      </c>
      <c r="P118" s="766">
        <f t="shared" si="15"/>
        <v>0</v>
      </c>
      <c r="Q118" s="766">
        <f t="shared" si="15"/>
        <v>0</v>
      </c>
      <c r="R118" s="766">
        <f t="shared" si="15"/>
        <v>0</v>
      </c>
      <c r="S118" s="766">
        <f t="shared" si="15"/>
        <v>0</v>
      </c>
      <c r="T118" s="766">
        <f>MAX(0.001,SUM(C118:S118))</f>
        <v>0.50352533302271207</v>
      </c>
    </row>
    <row r="119" spans="1:20" hidden="1">
      <c r="A119" s="613">
        <f t="shared" si="13"/>
        <v>1</v>
      </c>
      <c r="B119" s="613" t="s">
        <v>368</v>
      </c>
      <c r="C119" s="766">
        <f t="shared" si="14"/>
        <v>0.1</v>
      </c>
      <c r="D119" s="766">
        <f t="shared" ref="D119:S119" si="16">IF(INDEX(D$49:D$53,$A119)&gt;0,D10*INDEX(D$99:D$103,$A119)/INDEX(D$49:D$53,$A119),0)</f>
        <v>2.7001545983342932</v>
      </c>
      <c r="E119" s="766">
        <f t="shared" si="16"/>
        <v>0</v>
      </c>
      <c r="F119" s="766">
        <f t="shared" si="16"/>
        <v>0</v>
      </c>
      <c r="G119" s="766">
        <f t="shared" si="16"/>
        <v>0</v>
      </c>
      <c r="H119" s="766">
        <f t="shared" si="16"/>
        <v>0</v>
      </c>
      <c r="I119" s="766">
        <f t="shared" si="16"/>
        <v>0</v>
      </c>
      <c r="J119" s="766">
        <f t="shared" si="16"/>
        <v>0</v>
      </c>
      <c r="K119" s="766">
        <f t="shared" si="16"/>
        <v>0</v>
      </c>
      <c r="L119" s="766">
        <f t="shared" si="16"/>
        <v>0</v>
      </c>
      <c r="M119" s="766">
        <f t="shared" si="16"/>
        <v>5.9798975872813508E-3</v>
      </c>
      <c r="N119" s="766">
        <f t="shared" si="16"/>
        <v>0</v>
      </c>
      <c r="O119" s="766">
        <f t="shared" si="16"/>
        <v>0</v>
      </c>
      <c r="P119" s="766">
        <f t="shared" si="16"/>
        <v>0</v>
      </c>
      <c r="Q119" s="766">
        <f t="shared" si="16"/>
        <v>0</v>
      </c>
      <c r="R119" s="766">
        <f t="shared" si="16"/>
        <v>0</v>
      </c>
      <c r="S119" s="766">
        <f t="shared" si="16"/>
        <v>0</v>
      </c>
      <c r="T119" s="766">
        <f t="shared" ref="T119:T152" si="17">MAX(0.001,SUM(C119:S119))</f>
        <v>2.8061344959215746</v>
      </c>
    </row>
    <row r="120" spans="1:20" hidden="1">
      <c r="A120" s="613">
        <f t="shared" si="13"/>
        <v>1</v>
      </c>
      <c r="B120" s="613" t="s">
        <v>366</v>
      </c>
      <c r="C120" s="766">
        <f t="shared" si="14"/>
        <v>0.5</v>
      </c>
      <c r="D120" s="766">
        <f t="shared" ref="D120:S120" si="18">IF(INDEX(D$49:D$53,$A120)&gt;0,D11*INDEX(D$99:D$103,$A120)/INDEX(D$49:D$53,$A120),0)</f>
        <v>0.98187439939428844</v>
      </c>
      <c r="E120" s="766">
        <f t="shared" si="18"/>
        <v>0</v>
      </c>
      <c r="F120" s="766">
        <f t="shared" si="18"/>
        <v>0</v>
      </c>
      <c r="G120" s="766">
        <f t="shared" si="18"/>
        <v>0</v>
      </c>
      <c r="H120" s="766">
        <f t="shared" si="18"/>
        <v>0</v>
      </c>
      <c r="I120" s="766">
        <f t="shared" si="18"/>
        <v>0</v>
      </c>
      <c r="J120" s="766">
        <f t="shared" si="18"/>
        <v>0</v>
      </c>
      <c r="K120" s="766">
        <f t="shared" si="18"/>
        <v>0</v>
      </c>
      <c r="L120" s="766">
        <f t="shared" si="18"/>
        <v>0</v>
      </c>
      <c r="M120" s="766">
        <f t="shared" si="18"/>
        <v>1.1959795174562702E-2</v>
      </c>
      <c r="N120" s="766">
        <f t="shared" si="18"/>
        <v>0</v>
      </c>
      <c r="O120" s="766">
        <f t="shared" si="18"/>
        <v>0</v>
      </c>
      <c r="P120" s="766">
        <f t="shared" si="18"/>
        <v>0</v>
      </c>
      <c r="Q120" s="766">
        <f t="shared" si="18"/>
        <v>0</v>
      </c>
      <c r="R120" s="766">
        <f t="shared" si="18"/>
        <v>0</v>
      </c>
      <c r="S120" s="766">
        <f t="shared" si="18"/>
        <v>0</v>
      </c>
      <c r="T120" s="766">
        <f t="shared" si="17"/>
        <v>1.4938341945688511</v>
      </c>
    </row>
    <row r="121" spans="1:20" hidden="1">
      <c r="A121" s="613">
        <f t="shared" si="13"/>
        <v>1</v>
      </c>
      <c r="B121" s="613" t="s">
        <v>410</v>
      </c>
      <c r="C121" s="766">
        <f t="shared" si="14"/>
        <v>0.4</v>
      </c>
      <c r="D121" s="766">
        <f t="shared" ref="D121:S122" si="19">IF(INDEX(D$49:D$53,$A121)&gt;0,D12*INDEX(D$99:D$103,$A121)/INDEX(D$49:D$53,$A121),0)</f>
        <v>0</v>
      </c>
      <c r="E121" s="766">
        <f t="shared" si="19"/>
        <v>0</v>
      </c>
      <c r="F121" s="766">
        <f t="shared" si="19"/>
        <v>0</v>
      </c>
      <c r="G121" s="766">
        <f t="shared" si="19"/>
        <v>0</v>
      </c>
      <c r="H121" s="766">
        <f t="shared" si="19"/>
        <v>0</v>
      </c>
      <c r="I121" s="766">
        <f t="shared" si="19"/>
        <v>0</v>
      </c>
      <c r="J121" s="766">
        <f t="shared" si="19"/>
        <v>0</v>
      </c>
      <c r="K121" s="766">
        <f t="shared" si="19"/>
        <v>0</v>
      </c>
      <c r="L121" s="766">
        <f t="shared" si="19"/>
        <v>0</v>
      </c>
      <c r="M121" s="766">
        <f t="shared" si="19"/>
        <v>0</v>
      </c>
      <c r="N121" s="766">
        <f t="shared" si="19"/>
        <v>0</v>
      </c>
      <c r="O121" s="766">
        <f t="shared" si="19"/>
        <v>0</v>
      </c>
      <c r="P121" s="766">
        <f t="shared" si="19"/>
        <v>0</v>
      </c>
      <c r="Q121" s="766">
        <f t="shared" si="19"/>
        <v>0</v>
      </c>
      <c r="R121" s="766">
        <f t="shared" si="19"/>
        <v>0</v>
      </c>
      <c r="S121" s="766">
        <f t="shared" si="19"/>
        <v>0</v>
      </c>
      <c r="T121" s="766">
        <f t="shared" si="17"/>
        <v>0.4</v>
      </c>
    </row>
    <row r="122" spans="1:20" hidden="1">
      <c r="A122" s="613">
        <v>1</v>
      </c>
      <c r="B122" s="613" t="s">
        <v>1286</v>
      </c>
      <c r="C122" s="766">
        <f t="shared" si="14"/>
        <v>0.5</v>
      </c>
      <c r="D122" s="766">
        <f t="shared" si="19"/>
        <v>0</v>
      </c>
      <c r="E122" s="766">
        <f t="shared" si="19"/>
        <v>0.37537772885259213</v>
      </c>
      <c r="F122" s="766">
        <f t="shared" si="19"/>
        <v>0</v>
      </c>
      <c r="G122" s="766">
        <f t="shared" si="19"/>
        <v>0</v>
      </c>
      <c r="H122" s="766">
        <f t="shared" si="19"/>
        <v>0</v>
      </c>
      <c r="I122" s="766">
        <f t="shared" si="19"/>
        <v>0</v>
      </c>
      <c r="J122" s="766">
        <f t="shared" si="19"/>
        <v>0</v>
      </c>
      <c r="K122" s="766">
        <f t="shared" si="19"/>
        <v>0</v>
      </c>
      <c r="L122" s="766">
        <f t="shared" si="19"/>
        <v>0</v>
      </c>
      <c r="M122" s="766">
        <f t="shared" si="19"/>
        <v>0</v>
      </c>
      <c r="N122" s="766">
        <f t="shared" si="19"/>
        <v>0</v>
      </c>
      <c r="O122" s="766">
        <f t="shared" si="19"/>
        <v>0</v>
      </c>
      <c r="P122" s="766">
        <f t="shared" si="19"/>
        <v>0</v>
      </c>
      <c r="Q122" s="766">
        <f t="shared" si="19"/>
        <v>0</v>
      </c>
      <c r="R122" s="766">
        <f t="shared" si="19"/>
        <v>0</v>
      </c>
      <c r="S122" s="766">
        <f t="shared" si="19"/>
        <v>0</v>
      </c>
      <c r="T122" s="766">
        <f>MAX(0.001,SUM(C122:S122))</f>
        <v>0.87537772885259213</v>
      </c>
    </row>
    <row r="123" spans="1:20" hidden="1">
      <c r="A123" s="613">
        <f t="shared" si="13"/>
        <v>1</v>
      </c>
      <c r="B123" s="613" t="s">
        <v>962</v>
      </c>
      <c r="C123" s="766">
        <f t="shared" si="14"/>
        <v>0.90000000000000013</v>
      </c>
      <c r="D123" s="766">
        <f t="shared" ref="D123:S123" si="20">IF(INDEX(D$49:D$53,$A123)&gt;0,D14*INDEX(D$99:D$103,$A123)/INDEX(D$49:D$53,$A123),0)</f>
        <v>0</v>
      </c>
      <c r="E123" s="766">
        <f t="shared" si="20"/>
        <v>9.3844432213148032E-2</v>
      </c>
      <c r="F123" s="766">
        <f t="shared" si="20"/>
        <v>0</v>
      </c>
      <c r="G123" s="766">
        <f t="shared" si="20"/>
        <v>0</v>
      </c>
      <c r="H123" s="766">
        <f t="shared" si="20"/>
        <v>0</v>
      </c>
      <c r="I123" s="766">
        <f t="shared" si="20"/>
        <v>0</v>
      </c>
      <c r="J123" s="766">
        <f t="shared" si="20"/>
        <v>0</v>
      </c>
      <c r="K123" s="766">
        <f t="shared" si="20"/>
        <v>0</v>
      </c>
      <c r="L123" s="766">
        <f t="shared" si="20"/>
        <v>0</v>
      </c>
      <c r="M123" s="766">
        <f t="shared" si="20"/>
        <v>1.1959795174562702E-2</v>
      </c>
      <c r="N123" s="766">
        <f t="shared" si="20"/>
        <v>0</v>
      </c>
      <c r="O123" s="766">
        <f t="shared" si="20"/>
        <v>0</v>
      </c>
      <c r="P123" s="766">
        <f t="shared" si="20"/>
        <v>0</v>
      </c>
      <c r="Q123" s="766">
        <f t="shared" si="20"/>
        <v>0</v>
      </c>
      <c r="R123" s="766">
        <f t="shared" si="20"/>
        <v>0</v>
      </c>
      <c r="S123" s="766">
        <f t="shared" si="20"/>
        <v>0</v>
      </c>
      <c r="T123" s="766">
        <f t="shared" si="17"/>
        <v>1.0058042273877108</v>
      </c>
    </row>
    <row r="124" spans="1:20" hidden="1">
      <c r="A124" s="613">
        <f t="shared" si="13"/>
        <v>1</v>
      </c>
      <c r="B124" s="613" t="s">
        <v>963</v>
      </c>
      <c r="C124" s="766">
        <f t="shared" si="14"/>
        <v>0</v>
      </c>
      <c r="D124" s="766">
        <f t="shared" ref="D124:S124" si="21">IF(INDEX(D$49:D$53,$A124)&gt;0,D15*INDEX(D$99:D$103,$A124)/INDEX(D$49:D$53,$A124),0)</f>
        <v>0.32729146646476281</v>
      </c>
      <c r="E124" s="766">
        <f t="shared" si="21"/>
        <v>0.18768886442629606</v>
      </c>
      <c r="F124" s="766">
        <f t="shared" si="21"/>
        <v>0</v>
      </c>
      <c r="G124" s="766">
        <f t="shared" si="21"/>
        <v>0</v>
      </c>
      <c r="H124" s="766">
        <f t="shared" si="21"/>
        <v>0</v>
      </c>
      <c r="I124" s="766">
        <f t="shared" si="21"/>
        <v>0</v>
      </c>
      <c r="J124" s="766">
        <f t="shared" si="21"/>
        <v>0</v>
      </c>
      <c r="K124" s="766">
        <f t="shared" si="21"/>
        <v>0</v>
      </c>
      <c r="L124" s="766">
        <f t="shared" si="21"/>
        <v>0.35246773311589852</v>
      </c>
      <c r="M124" s="766">
        <f t="shared" si="21"/>
        <v>9.5678361396501609E-3</v>
      </c>
      <c r="N124" s="766">
        <f t="shared" si="21"/>
        <v>0</v>
      </c>
      <c r="O124" s="766">
        <f t="shared" si="21"/>
        <v>0</v>
      </c>
      <c r="P124" s="766">
        <f t="shared" si="21"/>
        <v>0</v>
      </c>
      <c r="Q124" s="766">
        <f t="shared" si="21"/>
        <v>0</v>
      </c>
      <c r="R124" s="766">
        <f t="shared" si="21"/>
        <v>0</v>
      </c>
      <c r="S124" s="766">
        <f t="shared" si="21"/>
        <v>0.27990358593113368</v>
      </c>
      <c r="T124" s="766">
        <f t="shared" si="17"/>
        <v>1.1569194860777412</v>
      </c>
    </row>
    <row r="125" spans="1:20" hidden="1">
      <c r="A125" s="613">
        <f t="shared" si="13"/>
        <v>2</v>
      </c>
      <c r="B125" s="613" t="s">
        <v>964</v>
      </c>
      <c r="C125" s="766">
        <f t="shared" si="14"/>
        <v>0</v>
      </c>
      <c r="D125" s="766">
        <f t="shared" ref="D125:S125" si="22">IF(INDEX(D$49:D$53,$A125)&gt;0,D16*INDEX(D$99:D$103,$A125)/INDEX(D$49:D$53,$A125),0)</f>
        <v>0.12451694281450668</v>
      </c>
      <c r="E125" s="766">
        <f t="shared" si="22"/>
        <v>0</v>
      </c>
      <c r="F125" s="766">
        <f t="shared" si="22"/>
        <v>0</v>
      </c>
      <c r="G125" s="766">
        <f t="shared" si="22"/>
        <v>0.70245055266092937</v>
      </c>
      <c r="H125" s="766">
        <f t="shared" si="22"/>
        <v>0</v>
      </c>
      <c r="I125" s="766">
        <f t="shared" si="22"/>
        <v>0</v>
      </c>
      <c r="J125" s="766">
        <f t="shared" si="22"/>
        <v>0</v>
      </c>
      <c r="K125" s="766">
        <f t="shared" si="22"/>
        <v>0</v>
      </c>
      <c r="L125" s="766">
        <f t="shared" si="22"/>
        <v>3.5186178363529511E-2</v>
      </c>
      <c r="M125" s="766">
        <f t="shared" si="22"/>
        <v>0</v>
      </c>
      <c r="N125" s="766">
        <f t="shared" si="22"/>
        <v>0</v>
      </c>
      <c r="O125" s="766">
        <f t="shared" si="22"/>
        <v>0</v>
      </c>
      <c r="P125" s="766">
        <f t="shared" si="22"/>
        <v>7.5231181191319765</v>
      </c>
      <c r="Q125" s="766">
        <f t="shared" si="22"/>
        <v>0</v>
      </c>
      <c r="R125" s="766">
        <f t="shared" si="22"/>
        <v>0</v>
      </c>
      <c r="S125" s="766">
        <f t="shared" si="22"/>
        <v>0</v>
      </c>
      <c r="T125" s="766">
        <f t="shared" si="17"/>
        <v>8.3852717929709417</v>
      </c>
    </row>
    <row r="126" spans="1:20" hidden="1">
      <c r="A126" s="613">
        <f t="shared" si="13"/>
        <v>2</v>
      </c>
      <c r="B126" s="613" t="s">
        <v>965</v>
      </c>
      <c r="C126" s="766">
        <f t="shared" si="14"/>
        <v>0</v>
      </c>
      <c r="D126" s="766">
        <f t="shared" ref="D126:S126" si="23">IF(INDEX(D$49:D$53,$A126)&gt;0,D17*INDEX(D$99:D$103,$A126)/INDEX(D$49:D$53,$A126),0)</f>
        <v>0.12451694281450668</v>
      </c>
      <c r="E126" s="766">
        <f t="shared" si="23"/>
        <v>0</v>
      </c>
      <c r="F126" s="766">
        <f t="shared" si="23"/>
        <v>0</v>
      </c>
      <c r="G126" s="766">
        <f t="shared" si="23"/>
        <v>0.70245055266092937</v>
      </c>
      <c r="H126" s="766">
        <f t="shared" si="23"/>
        <v>0</v>
      </c>
      <c r="I126" s="766">
        <f t="shared" si="23"/>
        <v>0</v>
      </c>
      <c r="J126" s="766">
        <f t="shared" si="23"/>
        <v>0</v>
      </c>
      <c r="K126" s="766">
        <f t="shared" si="23"/>
        <v>0</v>
      </c>
      <c r="L126" s="766">
        <f t="shared" si="23"/>
        <v>2.6389633772647126E-2</v>
      </c>
      <c r="M126" s="766">
        <f t="shared" si="23"/>
        <v>0</v>
      </c>
      <c r="N126" s="766">
        <f t="shared" si="23"/>
        <v>0</v>
      </c>
      <c r="O126" s="766">
        <f t="shared" si="23"/>
        <v>0</v>
      </c>
      <c r="P126" s="766">
        <f t="shared" si="23"/>
        <v>6.2692650992766472</v>
      </c>
      <c r="Q126" s="766">
        <f t="shared" si="23"/>
        <v>7.7398334558970966E-2</v>
      </c>
      <c r="R126" s="766">
        <f t="shared" si="23"/>
        <v>0</v>
      </c>
      <c r="S126" s="766">
        <f t="shared" si="23"/>
        <v>0</v>
      </c>
      <c r="T126" s="766">
        <f t="shared" si="17"/>
        <v>7.2000205630837018</v>
      </c>
    </row>
    <row r="127" spans="1:20" hidden="1">
      <c r="A127" s="613">
        <f t="shared" si="13"/>
        <v>2</v>
      </c>
      <c r="B127" s="613" t="s">
        <v>412</v>
      </c>
      <c r="C127" s="766">
        <f t="shared" si="14"/>
        <v>0</v>
      </c>
      <c r="D127" s="766">
        <f t="shared" ref="D127:S127" si="24">IF(INDEX(D$49:D$53,$A127)&gt;0,D18*INDEX(D$99:D$103,$A127)/INDEX(D$49:D$53,$A127),0)</f>
        <v>0.22413049706611204</v>
      </c>
      <c r="E127" s="766">
        <f t="shared" si="24"/>
        <v>0</v>
      </c>
      <c r="F127" s="766">
        <f t="shared" si="24"/>
        <v>0</v>
      </c>
      <c r="G127" s="766">
        <f t="shared" si="24"/>
        <v>0.98343077372530097</v>
      </c>
      <c r="H127" s="766">
        <f t="shared" si="24"/>
        <v>0</v>
      </c>
      <c r="I127" s="766">
        <f t="shared" si="24"/>
        <v>0</v>
      </c>
      <c r="J127" s="766">
        <f t="shared" si="24"/>
        <v>0</v>
      </c>
      <c r="K127" s="766">
        <f t="shared" si="24"/>
        <v>0</v>
      </c>
      <c r="L127" s="766">
        <f t="shared" si="24"/>
        <v>3.5186178363529511E-2</v>
      </c>
      <c r="M127" s="766">
        <f t="shared" si="24"/>
        <v>0</v>
      </c>
      <c r="N127" s="766">
        <f t="shared" si="24"/>
        <v>0</v>
      </c>
      <c r="O127" s="766">
        <f t="shared" si="24"/>
        <v>0</v>
      </c>
      <c r="P127" s="766">
        <f t="shared" si="24"/>
        <v>0</v>
      </c>
      <c r="Q127" s="766">
        <f t="shared" si="24"/>
        <v>0</v>
      </c>
      <c r="R127" s="766">
        <f t="shared" si="24"/>
        <v>0</v>
      </c>
      <c r="S127" s="766">
        <f t="shared" si="24"/>
        <v>0</v>
      </c>
      <c r="T127" s="766">
        <f t="shared" si="17"/>
        <v>1.2427474491549424</v>
      </c>
    </row>
    <row r="128" spans="1:20" hidden="1">
      <c r="A128" s="613">
        <f t="shared" si="13"/>
        <v>2</v>
      </c>
      <c r="B128" s="613" t="s">
        <v>362</v>
      </c>
      <c r="C128" s="766">
        <f t="shared" si="14"/>
        <v>0.18</v>
      </c>
      <c r="D128" s="766">
        <f t="shared" ref="D128:S128" si="25">IF(INDEX(D$49:D$53,$A128)&gt;0,D19*INDEX(D$99:D$103,$A128)/INDEX(D$49:D$53,$A128),0)</f>
        <v>0.27393727419191471</v>
      </c>
      <c r="E128" s="766">
        <f t="shared" si="25"/>
        <v>0</v>
      </c>
      <c r="F128" s="766">
        <f t="shared" si="25"/>
        <v>0</v>
      </c>
      <c r="G128" s="766">
        <f t="shared" si="25"/>
        <v>0.28098022106437176</v>
      </c>
      <c r="H128" s="766">
        <f t="shared" si="25"/>
        <v>0</v>
      </c>
      <c r="I128" s="766">
        <f t="shared" si="25"/>
        <v>0</v>
      </c>
      <c r="J128" s="766">
        <f t="shared" si="25"/>
        <v>0</v>
      </c>
      <c r="K128" s="766">
        <f t="shared" si="25"/>
        <v>0</v>
      </c>
      <c r="L128" s="766">
        <f t="shared" si="25"/>
        <v>2.990825160900008E-2</v>
      </c>
      <c r="M128" s="766">
        <f t="shared" si="25"/>
        <v>0</v>
      </c>
      <c r="N128" s="766">
        <f t="shared" si="25"/>
        <v>0</v>
      </c>
      <c r="O128" s="766">
        <f t="shared" si="25"/>
        <v>0</v>
      </c>
      <c r="P128" s="766">
        <f t="shared" si="25"/>
        <v>0</v>
      </c>
      <c r="Q128" s="766">
        <f t="shared" si="25"/>
        <v>0</v>
      </c>
      <c r="R128" s="766">
        <f t="shared" si="25"/>
        <v>0</v>
      </c>
      <c r="S128" s="766">
        <f t="shared" si="25"/>
        <v>0</v>
      </c>
      <c r="T128" s="766">
        <f t="shared" si="17"/>
        <v>0.76482574686528659</v>
      </c>
    </row>
    <row r="129" spans="1:23" hidden="1">
      <c r="A129" s="613">
        <f t="shared" si="13"/>
        <v>2</v>
      </c>
      <c r="B129" s="613" t="s">
        <v>364</v>
      </c>
      <c r="C129" s="766">
        <f t="shared" si="14"/>
        <v>0.25</v>
      </c>
      <c r="D129" s="766">
        <f t="shared" ref="D129:S129" si="26">IF(INDEX(D$49:D$53,$A129)&gt;0,D20*INDEX(D$99:D$103,$A129)/INDEX(D$49:D$53,$A129),0)</f>
        <v>0.19922710850321068</v>
      </c>
      <c r="E129" s="766">
        <f t="shared" si="26"/>
        <v>0</v>
      </c>
      <c r="F129" s="766">
        <f t="shared" si="26"/>
        <v>0</v>
      </c>
      <c r="G129" s="766">
        <f t="shared" si="26"/>
        <v>0.28098022106437176</v>
      </c>
      <c r="H129" s="766">
        <f t="shared" si="26"/>
        <v>0</v>
      </c>
      <c r="I129" s="766">
        <f t="shared" si="26"/>
        <v>0</v>
      </c>
      <c r="J129" s="766">
        <f t="shared" si="26"/>
        <v>0</v>
      </c>
      <c r="K129" s="766">
        <f t="shared" si="26"/>
        <v>0</v>
      </c>
      <c r="L129" s="766">
        <f t="shared" si="26"/>
        <v>4.3982722954411885E-2</v>
      </c>
      <c r="M129" s="766">
        <f t="shared" si="26"/>
        <v>0</v>
      </c>
      <c r="N129" s="766">
        <f t="shared" si="26"/>
        <v>0</v>
      </c>
      <c r="O129" s="766">
        <f t="shared" si="26"/>
        <v>0</v>
      </c>
      <c r="P129" s="766">
        <f t="shared" si="26"/>
        <v>0</v>
      </c>
      <c r="Q129" s="766">
        <f t="shared" si="26"/>
        <v>0</v>
      </c>
      <c r="R129" s="766">
        <f t="shared" si="26"/>
        <v>0</v>
      </c>
      <c r="S129" s="766">
        <f t="shared" si="26"/>
        <v>0</v>
      </c>
      <c r="T129" s="766">
        <f t="shared" si="17"/>
        <v>0.77419005252199424</v>
      </c>
    </row>
    <row r="130" spans="1:23" hidden="1">
      <c r="A130" s="613">
        <f t="shared" si="13"/>
        <v>2</v>
      </c>
      <c r="B130" s="613" t="s">
        <v>966</v>
      </c>
      <c r="C130" s="766">
        <f t="shared" si="14"/>
        <v>0.96</v>
      </c>
      <c r="D130" s="766">
        <f t="shared" ref="D130:S130" si="27">IF(INDEX(D$49:D$53,$A130)&gt;0,D21*INDEX(D$99:D$103,$A130)/INDEX(D$49:D$53,$A130),0)</f>
        <v>0</v>
      </c>
      <c r="E130" s="766">
        <f t="shared" si="27"/>
        <v>7.0849779859620279E-2</v>
      </c>
      <c r="F130" s="766">
        <f t="shared" si="27"/>
        <v>0</v>
      </c>
      <c r="G130" s="766">
        <f t="shared" si="27"/>
        <v>0</v>
      </c>
      <c r="H130" s="766">
        <f t="shared" si="27"/>
        <v>0</v>
      </c>
      <c r="I130" s="766">
        <f t="shared" si="27"/>
        <v>0</v>
      </c>
      <c r="J130" s="766">
        <f t="shared" si="27"/>
        <v>0</v>
      </c>
      <c r="K130" s="766">
        <f t="shared" si="27"/>
        <v>0</v>
      </c>
      <c r="L130" s="766">
        <f t="shared" si="27"/>
        <v>0</v>
      </c>
      <c r="M130" s="766">
        <f t="shared" si="27"/>
        <v>1.9599701563609954E-2</v>
      </c>
      <c r="N130" s="766">
        <f t="shared" si="27"/>
        <v>0</v>
      </c>
      <c r="O130" s="766">
        <f t="shared" si="27"/>
        <v>0</v>
      </c>
      <c r="P130" s="766">
        <f t="shared" si="27"/>
        <v>0</v>
      </c>
      <c r="Q130" s="766">
        <f t="shared" si="27"/>
        <v>0</v>
      </c>
      <c r="R130" s="766">
        <f t="shared" si="27"/>
        <v>0</v>
      </c>
      <c r="S130" s="766">
        <f t="shared" si="27"/>
        <v>0</v>
      </c>
      <c r="T130" s="766">
        <f t="shared" si="17"/>
        <v>1.0504494814232304</v>
      </c>
      <c r="W130" s="730"/>
    </row>
    <row r="131" spans="1:23" hidden="1">
      <c r="A131" s="613">
        <f t="shared" si="13"/>
        <v>2</v>
      </c>
      <c r="B131" s="613" t="s">
        <v>967</v>
      </c>
      <c r="C131" s="766">
        <f t="shared" si="14"/>
        <v>0</v>
      </c>
      <c r="D131" s="766">
        <f t="shared" ref="D131:S131" si="28">IF(INDEX(D$49:D$53,$A131)&gt;0,D22*INDEX(D$99:D$103,$A131)/INDEX(D$49:D$53,$A131),0)</f>
        <v>7.4710165688704006E-2</v>
      </c>
      <c r="E131" s="766">
        <f t="shared" si="28"/>
        <v>0.17712444964905069</v>
      </c>
      <c r="F131" s="766">
        <f t="shared" si="28"/>
        <v>0</v>
      </c>
      <c r="G131" s="766">
        <f t="shared" si="28"/>
        <v>0.42147033159655756</v>
      </c>
      <c r="H131" s="766">
        <f t="shared" si="28"/>
        <v>0</v>
      </c>
      <c r="I131" s="766">
        <f t="shared" si="28"/>
        <v>0</v>
      </c>
      <c r="J131" s="766">
        <f t="shared" si="28"/>
        <v>0</v>
      </c>
      <c r="K131" s="766">
        <f t="shared" si="28"/>
        <v>4.6439000735382574E-3</v>
      </c>
      <c r="L131" s="766">
        <f t="shared" si="28"/>
        <v>2.6389633772647126E-2</v>
      </c>
      <c r="M131" s="766">
        <f t="shared" si="28"/>
        <v>9.7998507818049765E-2</v>
      </c>
      <c r="N131" s="766">
        <f t="shared" si="28"/>
        <v>0</v>
      </c>
      <c r="O131" s="766">
        <f t="shared" si="28"/>
        <v>0</v>
      </c>
      <c r="P131" s="766">
        <f t="shared" si="28"/>
        <v>0.25077060397106588</v>
      </c>
      <c r="Q131" s="766">
        <f t="shared" si="28"/>
        <v>4.6439000735382568E-2</v>
      </c>
      <c r="R131" s="766">
        <f t="shared" si="28"/>
        <v>0</v>
      </c>
      <c r="S131" s="766">
        <f t="shared" si="28"/>
        <v>0.2668128688425459</v>
      </c>
      <c r="T131" s="766">
        <f t="shared" si="17"/>
        <v>1.3663594621475417</v>
      </c>
      <c r="W131" s="730"/>
    </row>
    <row r="132" spans="1:23" hidden="1">
      <c r="A132" s="613">
        <f t="shared" si="13"/>
        <v>3</v>
      </c>
      <c r="B132" s="613" t="s">
        <v>259</v>
      </c>
      <c r="C132" s="766">
        <f t="shared" si="14"/>
        <v>0.8</v>
      </c>
      <c r="D132" s="766">
        <f t="shared" ref="D132:S132" si="29">IF(INDEX(D$49:D$53,$A132)&gt;0,D23*INDEX(D$99:D$103,$A132)/INDEX(D$49:D$53,$A132),0)</f>
        <v>3.6861317268758005E-3</v>
      </c>
      <c r="E132" s="766">
        <f t="shared" si="29"/>
        <v>0</v>
      </c>
      <c r="F132" s="766">
        <f t="shared" si="29"/>
        <v>0</v>
      </c>
      <c r="G132" s="766">
        <f t="shared" si="29"/>
        <v>0</v>
      </c>
      <c r="H132" s="766">
        <f t="shared" si="29"/>
        <v>0</v>
      </c>
      <c r="I132" s="766">
        <f t="shared" si="29"/>
        <v>0</v>
      </c>
      <c r="J132" s="766">
        <f t="shared" si="29"/>
        <v>0</v>
      </c>
      <c r="K132" s="766">
        <f t="shared" si="29"/>
        <v>0</v>
      </c>
      <c r="L132" s="766">
        <f t="shared" si="29"/>
        <v>2.3304283564906141E-2</v>
      </c>
      <c r="M132" s="766">
        <f t="shared" si="29"/>
        <v>0</v>
      </c>
      <c r="N132" s="766">
        <f t="shared" si="29"/>
        <v>0</v>
      </c>
      <c r="O132" s="766">
        <f t="shared" si="29"/>
        <v>0</v>
      </c>
      <c r="P132" s="766">
        <f t="shared" si="29"/>
        <v>0</v>
      </c>
      <c r="Q132" s="766">
        <f t="shared" si="29"/>
        <v>0</v>
      </c>
      <c r="R132" s="766">
        <f t="shared" si="29"/>
        <v>0</v>
      </c>
      <c r="S132" s="766">
        <f t="shared" si="29"/>
        <v>0</v>
      </c>
      <c r="T132" s="766">
        <f t="shared" si="17"/>
        <v>0.82699041529178197</v>
      </c>
      <c r="W132" s="730"/>
    </row>
    <row r="133" spans="1:23" hidden="1">
      <c r="A133" s="613">
        <f t="shared" si="13"/>
        <v>3</v>
      </c>
      <c r="B133" s="613" t="s">
        <v>370</v>
      </c>
      <c r="C133" s="766">
        <f t="shared" si="14"/>
        <v>0.55000000000000004</v>
      </c>
      <c r="D133" s="766">
        <f t="shared" ref="D133:S133" si="30">IF(INDEX(D$49:D$53,$A133)&gt;0,D24*INDEX(D$99:D$103,$A133)/INDEX(D$49:D$53,$A133),0)</f>
        <v>6.1435528781263338E-3</v>
      </c>
      <c r="E133" s="766">
        <f t="shared" si="30"/>
        <v>0</v>
      </c>
      <c r="F133" s="766">
        <f t="shared" si="30"/>
        <v>0</v>
      </c>
      <c r="G133" s="766">
        <f t="shared" si="30"/>
        <v>0</v>
      </c>
      <c r="H133" s="766">
        <f t="shared" si="30"/>
        <v>0</v>
      </c>
      <c r="I133" s="766">
        <f t="shared" si="30"/>
        <v>0</v>
      </c>
      <c r="J133" s="766">
        <f t="shared" si="30"/>
        <v>0</v>
      </c>
      <c r="K133" s="766">
        <f t="shared" si="30"/>
        <v>0</v>
      </c>
      <c r="L133" s="766">
        <f t="shared" si="30"/>
        <v>0.11652141782453071</v>
      </c>
      <c r="M133" s="766">
        <f t="shared" si="30"/>
        <v>0</v>
      </c>
      <c r="N133" s="766">
        <f t="shared" si="30"/>
        <v>0</v>
      </c>
      <c r="O133" s="766">
        <f t="shared" si="30"/>
        <v>0</v>
      </c>
      <c r="P133" s="766">
        <f t="shared" si="30"/>
        <v>0</v>
      </c>
      <c r="Q133" s="766">
        <f t="shared" si="30"/>
        <v>0</v>
      </c>
      <c r="R133" s="766">
        <f t="shared" si="30"/>
        <v>0</v>
      </c>
      <c r="S133" s="766">
        <f t="shared" si="30"/>
        <v>0</v>
      </c>
      <c r="T133" s="766">
        <f t="shared" si="17"/>
        <v>0.67266497070265707</v>
      </c>
      <c r="W133" s="730"/>
    </row>
    <row r="134" spans="1:23" hidden="1">
      <c r="A134" s="613">
        <f t="shared" si="13"/>
        <v>3</v>
      </c>
      <c r="B134" s="613" t="s">
        <v>417</v>
      </c>
      <c r="C134" s="766">
        <f t="shared" si="14"/>
        <v>0.90000000000000013</v>
      </c>
      <c r="D134" s="766">
        <f t="shared" ref="D134:S134" si="31">IF(INDEX(D$49:D$53,$A134)&gt;0,D25*INDEX(D$99:D$103,$A134)/INDEX(D$49:D$53,$A134),0)</f>
        <v>3.0717764390631669E-3</v>
      </c>
      <c r="E134" s="766">
        <f t="shared" si="31"/>
        <v>0</v>
      </c>
      <c r="F134" s="766">
        <f t="shared" si="31"/>
        <v>0</v>
      </c>
      <c r="G134" s="766">
        <f t="shared" si="31"/>
        <v>0</v>
      </c>
      <c r="H134" s="766">
        <f t="shared" si="31"/>
        <v>0</v>
      </c>
      <c r="I134" s="766">
        <f t="shared" si="31"/>
        <v>0</v>
      </c>
      <c r="J134" s="766">
        <f t="shared" si="31"/>
        <v>0</v>
      </c>
      <c r="K134" s="766">
        <f t="shared" si="31"/>
        <v>0</v>
      </c>
      <c r="L134" s="766">
        <f t="shared" si="31"/>
        <v>2.9130354456132677E-2</v>
      </c>
      <c r="M134" s="766">
        <f t="shared" si="31"/>
        <v>0</v>
      </c>
      <c r="N134" s="766">
        <f t="shared" si="31"/>
        <v>0</v>
      </c>
      <c r="O134" s="766">
        <f t="shared" si="31"/>
        <v>0</v>
      </c>
      <c r="P134" s="766">
        <f t="shared" si="31"/>
        <v>0</v>
      </c>
      <c r="Q134" s="766">
        <f t="shared" si="31"/>
        <v>0</v>
      </c>
      <c r="R134" s="766">
        <f t="shared" si="31"/>
        <v>0</v>
      </c>
      <c r="S134" s="766">
        <f t="shared" si="31"/>
        <v>0</v>
      </c>
      <c r="T134" s="766">
        <f t="shared" si="17"/>
        <v>0.93220213089519599</v>
      </c>
      <c r="W134" s="730"/>
    </row>
    <row r="135" spans="1:23" hidden="1">
      <c r="A135" s="613">
        <f t="shared" si="13"/>
        <v>3</v>
      </c>
      <c r="B135" s="613" t="s">
        <v>418</v>
      </c>
      <c r="C135" s="766">
        <f t="shared" si="14"/>
        <v>0.3</v>
      </c>
      <c r="D135" s="766">
        <f t="shared" ref="D135:S135" si="32">IF(INDEX(D$49:D$53,$A135)&gt;0,D26*INDEX(D$99:D$103,$A135)/INDEX(D$49:D$53,$A135),0)</f>
        <v>2.1502435073442169E-2</v>
      </c>
      <c r="E135" s="766">
        <f t="shared" si="32"/>
        <v>5.3938604603879038E-2</v>
      </c>
      <c r="F135" s="766">
        <f t="shared" si="32"/>
        <v>0</v>
      </c>
      <c r="G135" s="766">
        <f t="shared" si="32"/>
        <v>0</v>
      </c>
      <c r="H135" s="766">
        <f t="shared" si="32"/>
        <v>0</v>
      </c>
      <c r="I135" s="766">
        <f t="shared" si="32"/>
        <v>0</v>
      </c>
      <c r="J135" s="766">
        <f t="shared" si="32"/>
        <v>0</v>
      </c>
      <c r="K135" s="766">
        <f t="shared" si="32"/>
        <v>0</v>
      </c>
      <c r="L135" s="766">
        <f t="shared" si="32"/>
        <v>0.14565177228066339</v>
      </c>
      <c r="M135" s="766">
        <f t="shared" si="32"/>
        <v>0</v>
      </c>
      <c r="N135" s="766">
        <f t="shared" si="32"/>
        <v>0</v>
      </c>
      <c r="O135" s="766">
        <f t="shared" si="32"/>
        <v>0</v>
      </c>
      <c r="P135" s="766">
        <f t="shared" si="32"/>
        <v>0</v>
      </c>
      <c r="Q135" s="766">
        <f t="shared" si="32"/>
        <v>0</v>
      </c>
      <c r="R135" s="766">
        <f t="shared" si="32"/>
        <v>0</v>
      </c>
      <c r="S135" s="766">
        <f t="shared" si="32"/>
        <v>0</v>
      </c>
      <c r="T135" s="766">
        <f t="shared" si="17"/>
        <v>0.52109281195798463</v>
      </c>
      <c r="W135" s="730"/>
    </row>
    <row r="136" spans="1:23" hidden="1">
      <c r="A136" s="613">
        <f t="shared" si="13"/>
        <v>3</v>
      </c>
      <c r="B136" s="613" t="s">
        <v>968</v>
      </c>
      <c r="C136" s="766">
        <f t="shared" si="14"/>
        <v>0.97</v>
      </c>
      <c r="D136" s="766">
        <f t="shared" ref="D136:S136" si="33">IF(INDEX(D$49:D$53,$A136)&gt;0,D27*INDEX(D$99:D$103,$A136)/INDEX(D$49:D$53,$A136),0)</f>
        <v>0</v>
      </c>
      <c r="E136" s="766">
        <f t="shared" si="33"/>
        <v>3.2363162762327417E-2</v>
      </c>
      <c r="F136" s="766">
        <f t="shared" si="33"/>
        <v>0</v>
      </c>
      <c r="G136" s="766">
        <f t="shared" si="33"/>
        <v>0</v>
      </c>
      <c r="H136" s="766">
        <f t="shared" si="33"/>
        <v>0</v>
      </c>
      <c r="I136" s="766">
        <f t="shared" si="33"/>
        <v>0</v>
      </c>
      <c r="J136" s="766">
        <f t="shared" si="33"/>
        <v>0</v>
      </c>
      <c r="K136" s="766">
        <f t="shared" si="33"/>
        <v>0</v>
      </c>
      <c r="L136" s="766">
        <f t="shared" si="33"/>
        <v>0</v>
      </c>
      <c r="M136" s="766">
        <f t="shared" si="33"/>
        <v>0</v>
      </c>
      <c r="N136" s="766">
        <f t="shared" si="33"/>
        <v>0</v>
      </c>
      <c r="O136" s="766">
        <f t="shared" si="33"/>
        <v>0</v>
      </c>
      <c r="P136" s="766">
        <f t="shared" si="33"/>
        <v>0</v>
      </c>
      <c r="Q136" s="766">
        <f t="shared" si="33"/>
        <v>0</v>
      </c>
      <c r="R136" s="766">
        <f t="shared" si="33"/>
        <v>0</v>
      </c>
      <c r="S136" s="766">
        <f t="shared" si="33"/>
        <v>0</v>
      </c>
      <c r="T136" s="766">
        <f t="shared" si="17"/>
        <v>1.0023631627623273</v>
      </c>
      <c r="W136" s="730"/>
    </row>
    <row r="137" spans="1:23" hidden="1">
      <c r="A137" s="613">
        <f t="shared" si="13"/>
        <v>3</v>
      </c>
      <c r="B137" s="613" t="s">
        <v>969</v>
      </c>
      <c r="C137" s="766">
        <f t="shared" si="14"/>
        <v>0</v>
      </c>
      <c r="D137" s="766">
        <f t="shared" ref="D137:S137" si="34">IF(INDEX(D$49:D$53,$A137)&gt;0,D28*INDEX(D$99:D$103,$A137)/INDEX(D$49:D$53,$A137),0)</f>
        <v>1.8430658634379E-2</v>
      </c>
      <c r="E137" s="766">
        <f t="shared" si="34"/>
        <v>5.3938604603879038E-2</v>
      </c>
      <c r="F137" s="766">
        <f t="shared" si="34"/>
        <v>0</v>
      </c>
      <c r="G137" s="766">
        <f t="shared" si="34"/>
        <v>0</v>
      </c>
      <c r="H137" s="766">
        <f t="shared" si="34"/>
        <v>0</v>
      </c>
      <c r="I137" s="766">
        <f t="shared" si="34"/>
        <v>0</v>
      </c>
      <c r="J137" s="766">
        <f t="shared" si="34"/>
        <v>0</v>
      </c>
      <c r="K137" s="766">
        <f t="shared" si="34"/>
        <v>0</v>
      </c>
      <c r="L137" s="766">
        <f t="shared" si="34"/>
        <v>6.991285069471842E-2</v>
      </c>
      <c r="M137" s="766">
        <f t="shared" si="34"/>
        <v>9.2908288796163627E-2</v>
      </c>
      <c r="N137" s="766">
        <f t="shared" si="34"/>
        <v>0</v>
      </c>
      <c r="O137" s="766">
        <f t="shared" si="34"/>
        <v>0</v>
      </c>
      <c r="P137" s="766">
        <f t="shared" si="34"/>
        <v>0</v>
      </c>
      <c r="Q137" s="766">
        <f t="shared" si="34"/>
        <v>0.12387771839488484</v>
      </c>
      <c r="R137" s="766">
        <f t="shared" si="34"/>
        <v>0</v>
      </c>
      <c r="S137" s="766">
        <f t="shared" si="34"/>
        <v>0.91512664720777126</v>
      </c>
      <c r="T137" s="766">
        <f t="shared" si="17"/>
        <v>1.2741947683317962</v>
      </c>
    </row>
    <row r="138" spans="1:23" hidden="1">
      <c r="A138" s="613">
        <f t="shared" si="13"/>
        <v>4</v>
      </c>
      <c r="B138" s="613" t="s">
        <v>360</v>
      </c>
      <c r="C138" s="766">
        <f t="shared" si="14"/>
        <v>0.1</v>
      </c>
      <c r="D138" s="766">
        <f t="shared" ref="D138:S138" si="35">IF(INDEX(D$49:D$53,$A138)&gt;0,D29*INDEX(D$99:D$103,$A138)/INDEX(D$49:D$53,$A138),0)</f>
        <v>0.16144744065673569</v>
      </c>
      <c r="E138" s="766">
        <f t="shared" si="35"/>
        <v>0.27577125339463554</v>
      </c>
      <c r="F138" s="766">
        <f t="shared" si="35"/>
        <v>0</v>
      </c>
      <c r="G138" s="766">
        <f t="shared" si="35"/>
        <v>0</v>
      </c>
      <c r="H138" s="766">
        <f t="shared" si="35"/>
        <v>0</v>
      </c>
      <c r="I138" s="766">
        <f t="shared" si="35"/>
        <v>0</v>
      </c>
      <c r="J138" s="766">
        <f t="shared" si="35"/>
        <v>0</v>
      </c>
      <c r="K138" s="766">
        <f t="shared" si="35"/>
        <v>0</v>
      </c>
      <c r="L138" s="766">
        <f t="shared" si="35"/>
        <v>2.9703636349006933E-2</v>
      </c>
      <c r="M138" s="766">
        <f t="shared" si="35"/>
        <v>5.2013000043618978E-3</v>
      </c>
      <c r="N138" s="766">
        <f t="shared" si="35"/>
        <v>0</v>
      </c>
      <c r="O138" s="766">
        <f t="shared" si="35"/>
        <v>0</v>
      </c>
      <c r="P138" s="766">
        <f t="shared" si="35"/>
        <v>0</v>
      </c>
      <c r="Q138" s="766">
        <f t="shared" si="35"/>
        <v>0</v>
      </c>
      <c r="R138" s="766">
        <f t="shared" si="35"/>
        <v>0</v>
      </c>
      <c r="S138" s="766">
        <f t="shared" si="35"/>
        <v>0</v>
      </c>
      <c r="T138" s="766">
        <f t="shared" si="17"/>
        <v>0.57212363040474012</v>
      </c>
    </row>
    <row r="139" spans="1:23" hidden="1">
      <c r="A139" s="613">
        <f t="shared" si="13"/>
        <v>4</v>
      </c>
      <c r="B139" s="613" t="s">
        <v>972</v>
      </c>
      <c r="C139" s="766">
        <f t="shared" si="14"/>
        <v>0.1</v>
      </c>
      <c r="D139" s="766">
        <f t="shared" ref="D139:S139" si="36">IF(INDEX(D$49:D$53,$A139)&gt;0,D30*INDEX(D$99:D$103,$A139)/INDEX(D$49:D$53,$A139),0)</f>
        <v>0.12108558049255176</v>
      </c>
      <c r="E139" s="766">
        <f t="shared" si="36"/>
        <v>0.27577125339463554</v>
      </c>
      <c r="F139" s="766">
        <f t="shared" si="36"/>
        <v>0</v>
      </c>
      <c r="G139" s="766">
        <f t="shared" si="36"/>
        <v>0</v>
      </c>
      <c r="H139" s="766">
        <f t="shared" si="36"/>
        <v>0</v>
      </c>
      <c r="I139" s="766">
        <f t="shared" si="36"/>
        <v>0</v>
      </c>
      <c r="J139" s="766">
        <f t="shared" si="36"/>
        <v>0</v>
      </c>
      <c r="K139" s="766">
        <f t="shared" si="36"/>
        <v>0</v>
      </c>
      <c r="L139" s="766">
        <f t="shared" si="36"/>
        <v>2.9703636349006933E-2</v>
      </c>
      <c r="M139" s="766">
        <f t="shared" si="36"/>
        <v>5.2013000043618978E-3</v>
      </c>
      <c r="N139" s="766">
        <f t="shared" si="36"/>
        <v>0</v>
      </c>
      <c r="O139" s="766">
        <f t="shared" si="36"/>
        <v>0</v>
      </c>
      <c r="P139" s="766">
        <f t="shared" si="36"/>
        <v>0</v>
      </c>
      <c r="Q139" s="766">
        <f t="shared" si="36"/>
        <v>0</v>
      </c>
      <c r="R139" s="766">
        <f t="shared" si="36"/>
        <v>0</v>
      </c>
      <c r="S139" s="766">
        <f t="shared" si="36"/>
        <v>0</v>
      </c>
      <c r="T139" s="766">
        <f t="shared" si="17"/>
        <v>0.53176177024055615</v>
      </c>
    </row>
    <row r="140" spans="1:23" hidden="1">
      <c r="A140" s="613">
        <f t="shared" si="13"/>
        <v>4</v>
      </c>
      <c r="B140" s="613" t="s">
        <v>358</v>
      </c>
      <c r="C140" s="766">
        <f t="shared" si="14"/>
        <v>0.1</v>
      </c>
      <c r="D140" s="766">
        <f t="shared" ref="D140:S140" si="37">IF(INDEX(D$49:D$53,$A140)&gt;0,D31*INDEX(D$99:D$103,$A140)/INDEX(D$49:D$53,$A140),0)</f>
        <v>0.60542790246275879</v>
      </c>
      <c r="E140" s="766">
        <f t="shared" si="37"/>
        <v>0</v>
      </c>
      <c r="F140" s="766">
        <f t="shared" si="37"/>
        <v>0</v>
      </c>
      <c r="G140" s="766">
        <f t="shared" si="37"/>
        <v>0</v>
      </c>
      <c r="H140" s="766">
        <f t="shared" si="37"/>
        <v>0</v>
      </c>
      <c r="I140" s="766">
        <f t="shared" si="37"/>
        <v>0</v>
      </c>
      <c r="J140" s="766">
        <f t="shared" si="37"/>
        <v>0</v>
      </c>
      <c r="K140" s="766">
        <f t="shared" si="37"/>
        <v>0</v>
      </c>
      <c r="L140" s="766">
        <f t="shared" si="37"/>
        <v>0</v>
      </c>
      <c r="M140" s="766">
        <f t="shared" si="37"/>
        <v>0</v>
      </c>
      <c r="N140" s="766">
        <f t="shared" si="37"/>
        <v>0</v>
      </c>
      <c r="O140" s="766">
        <f t="shared" si="37"/>
        <v>0</v>
      </c>
      <c r="P140" s="766">
        <f t="shared" si="37"/>
        <v>0</v>
      </c>
      <c r="Q140" s="766">
        <f t="shared" si="37"/>
        <v>0</v>
      </c>
      <c r="R140" s="766">
        <f t="shared" si="37"/>
        <v>0</v>
      </c>
      <c r="S140" s="766">
        <f t="shared" si="37"/>
        <v>0</v>
      </c>
      <c r="T140" s="766">
        <f t="shared" si="17"/>
        <v>0.70542790246275877</v>
      </c>
    </row>
    <row r="141" spans="1:23" hidden="1">
      <c r="A141" s="613">
        <f t="shared" si="13"/>
        <v>4</v>
      </c>
      <c r="B141" s="613" t="s">
        <v>540</v>
      </c>
      <c r="C141" s="766">
        <f t="shared" si="14"/>
        <v>1</v>
      </c>
      <c r="D141" s="766">
        <f t="shared" ref="D141:S141" si="38">IF(INDEX(D$49:D$53,$A141)&gt;0,D32*INDEX(D$99:D$103,$A141)/INDEX(D$49:D$53,$A141),0)</f>
        <v>0</v>
      </c>
      <c r="E141" s="766">
        <f t="shared" si="38"/>
        <v>0</v>
      </c>
      <c r="F141" s="766">
        <f t="shared" si="38"/>
        <v>0</v>
      </c>
      <c r="G141" s="766">
        <f t="shared" si="38"/>
        <v>0</v>
      </c>
      <c r="H141" s="766">
        <f t="shared" si="38"/>
        <v>0</v>
      </c>
      <c r="I141" s="766">
        <f t="shared" si="38"/>
        <v>0</v>
      </c>
      <c r="J141" s="766">
        <f t="shared" si="38"/>
        <v>0</v>
      </c>
      <c r="K141" s="766">
        <f t="shared" si="38"/>
        <v>0</v>
      </c>
      <c r="L141" s="766">
        <f t="shared" si="38"/>
        <v>0</v>
      </c>
      <c r="M141" s="766">
        <f t="shared" si="38"/>
        <v>0</v>
      </c>
      <c r="N141" s="766">
        <f t="shared" si="38"/>
        <v>0</v>
      </c>
      <c r="O141" s="766">
        <f t="shared" si="38"/>
        <v>0</v>
      </c>
      <c r="P141" s="766">
        <f t="shared" si="38"/>
        <v>0</v>
      </c>
      <c r="Q141" s="766">
        <f t="shared" si="38"/>
        <v>0</v>
      </c>
      <c r="R141" s="766">
        <f t="shared" si="38"/>
        <v>0</v>
      </c>
      <c r="S141" s="766">
        <f t="shared" si="38"/>
        <v>0</v>
      </c>
      <c r="T141" s="766">
        <f t="shared" si="17"/>
        <v>1</v>
      </c>
    </row>
    <row r="142" spans="1:23" hidden="1">
      <c r="A142" s="613">
        <f t="shared" si="13"/>
        <v>4</v>
      </c>
      <c r="B142" s="613" t="s">
        <v>354</v>
      </c>
      <c r="C142" s="766">
        <f t="shared" si="14"/>
        <v>0.1</v>
      </c>
      <c r="D142" s="766">
        <f t="shared" ref="D142:S142" si="39">IF(INDEX(D$49:D$53,$A142)&gt;0,D33*INDEX(D$99:D$103,$A142)/INDEX(D$49:D$53,$A142),0)</f>
        <v>0.68615162279112663</v>
      </c>
      <c r="E142" s="766">
        <f t="shared" si="39"/>
        <v>0</v>
      </c>
      <c r="F142" s="766">
        <f t="shared" si="39"/>
        <v>0</v>
      </c>
      <c r="G142" s="766">
        <f t="shared" si="39"/>
        <v>0</v>
      </c>
      <c r="H142" s="766">
        <f t="shared" si="39"/>
        <v>0</v>
      </c>
      <c r="I142" s="766">
        <f t="shared" si="39"/>
        <v>0</v>
      </c>
      <c r="J142" s="766">
        <f t="shared" si="39"/>
        <v>0</v>
      </c>
      <c r="K142" s="766">
        <f t="shared" si="39"/>
        <v>0</v>
      </c>
      <c r="L142" s="766">
        <f t="shared" si="39"/>
        <v>0</v>
      </c>
      <c r="M142" s="766">
        <f t="shared" si="39"/>
        <v>0</v>
      </c>
      <c r="N142" s="766">
        <f t="shared" si="39"/>
        <v>0</v>
      </c>
      <c r="O142" s="766">
        <f t="shared" si="39"/>
        <v>0</v>
      </c>
      <c r="P142" s="766">
        <f t="shared" si="39"/>
        <v>0</v>
      </c>
      <c r="Q142" s="766">
        <f t="shared" si="39"/>
        <v>0</v>
      </c>
      <c r="R142" s="766">
        <f t="shared" si="39"/>
        <v>0</v>
      </c>
      <c r="S142" s="766">
        <f t="shared" si="39"/>
        <v>0</v>
      </c>
      <c r="T142" s="766">
        <f t="shared" si="17"/>
        <v>0.7861516227911266</v>
      </c>
    </row>
    <row r="143" spans="1:23" hidden="1">
      <c r="A143" s="613">
        <f t="shared" si="13"/>
        <v>4</v>
      </c>
      <c r="B143" s="613" t="s">
        <v>535</v>
      </c>
      <c r="C143" s="766">
        <f t="shared" si="14"/>
        <v>0.4</v>
      </c>
      <c r="D143" s="766">
        <f t="shared" ref="D143:S143" si="40">IF(INDEX(D$49:D$53,$A143)&gt;0,D34*INDEX(D$99:D$103,$A143)/INDEX(D$49:D$53,$A143),0)</f>
        <v>0.20180930082091961</v>
      </c>
      <c r="E143" s="766">
        <f t="shared" si="40"/>
        <v>0.27577125339463554</v>
      </c>
      <c r="F143" s="766">
        <f t="shared" si="40"/>
        <v>0</v>
      </c>
      <c r="G143" s="766">
        <f t="shared" si="40"/>
        <v>0</v>
      </c>
      <c r="H143" s="766">
        <f t="shared" si="40"/>
        <v>0</v>
      </c>
      <c r="I143" s="766">
        <f t="shared" si="40"/>
        <v>0</v>
      </c>
      <c r="J143" s="766">
        <f t="shared" si="40"/>
        <v>0</v>
      </c>
      <c r="K143" s="766">
        <f t="shared" si="40"/>
        <v>0</v>
      </c>
      <c r="L143" s="766">
        <f t="shared" si="40"/>
        <v>8.3170181777219424E-2</v>
      </c>
      <c r="M143" s="766">
        <f t="shared" si="40"/>
        <v>5.2013000043618978E-3</v>
      </c>
      <c r="N143" s="766">
        <f t="shared" si="40"/>
        <v>0</v>
      </c>
      <c r="O143" s="766">
        <f t="shared" si="40"/>
        <v>0</v>
      </c>
      <c r="P143" s="766">
        <f t="shared" si="40"/>
        <v>0</v>
      </c>
      <c r="Q143" s="766">
        <f t="shared" si="40"/>
        <v>0</v>
      </c>
      <c r="R143" s="766">
        <f t="shared" si="40"/>
        <v>0</v>
      </c>
      <c r="S143" s="766">
        <f t="shared" si="40"/>
        <v>0</v>
      </c>
      <c r="T143" s="766">
        <f t="shared" si="17"/>
        <v>0.96595203599713664</v>
      </c>
    </row>
    <row r="144" spans="1:23" hidden="1">
      <c r="A144" s="613">
        <f t="shared" si="13"/>
        <v>4</v>
      </c>
      <c r="B144" s="613" t="s">
        <v>973</v>
      </c>
      <c r="C144" s="766">
        <f t="shared" si="14"/>
        <v>0.96</v>
      </c>
      <c r="D144" s="766">
        <f t="shared" ref="D144:S144" si="41">IF(INDEX(D$49:D$53,$A144)&gt;0,D35*INDEX(D$99:D$103,$A144)/INDEX(D$49:D$53,$A144),0)</f>
        <v>0</v>
      </c>
      <c r="E144" s="766">
        <f t="shared" si="41"/>
        <v>0.11030850135785419</v>
      </c>
      <c r="F144" s="766">
        <f t="shared" si="41"/>
        <v>0</v>
      </c>
      <c r="G144" s="766">
        <f t="shared" si="41"/>
        <v>0</v>
      </c>
      <c r="H144" s="766">
        <f t="shared" si="41"/>
        <v>0</v>
      </c>
      <c r="I144" s="766">
        <f t="shared" si="41"/>
        <v>0</v>
      </c>
      <c r="J144" s="766">
        <f t="shared" si="41"/>
        <v>0</v>
      </c>
      <c r="K144" s="766">
        <f t="shared" si="41"/>
        <v>0</v>
      </c>
      <c r="L144" s="766">
        <f t="shared" si="41"/>
        <v>0</v>
      </c>
      <c r="M144" s="766">
        <f t="shared" si="41"/>
        <v>1.0402600008723795E-3</v>
      </c>
      <c r="N144" s="766">
        <f t="shared" si="41"/>
        <v>0</v>
      </c>
      <c r="O144" s="766">
        <f t="shared" si="41"/>
        <v>0</v>
      </c>
      <c r="P144" s="766">
        <f t="shared" si="41"/>
        <v>0</v>
      </c>
      <c r="Q144" s="766">
        <f t="shared" si="41"/>
        <v>0</v>
      </c>
      <c r="R144" s="766">
        <f t="shared" si="41"/>
        <v>0</v>
      </c>
      <c r="S144" s="766">
        <f t="shared" si="41"/>
        <v>0</v>
      </c>
      <c r="T144" s="766">
        <f t="shared" si="17"/>
        <v>1.0713487613587265</v>
      </c>
    </row>
    <row r="145" spans="1:20" hidden="1">
      <c r="A145" s="613">
        <f t="shared" ref="A145:A152" si="42">MATCH(LEFT(B145,3),B$108:B$112,0)</f>
        <v>4</v>
      </c>
      <c r="B145" s="613" t="s">
        <v>974</v>
      </c>
      <c r="C145" s="766">
        <f t="shared" si="14"/>
        <v>0</v>
      </c>
      <c r="D145" s="766">
        <f t="shared" ref="D145:S145" si="43">IF(INDEX(D$49:D$53,$A145)&gt;0,D36*INDEX(D$99:D$103,$A145)/INDEX(D$49:D$53,$A145),0)</f>
        <v>0.32289488131347138</v>
      </c>
      <c r="E145" s="766">
        <f t="shared" si="43"/>
        <v>0</v>
      </c>
      <c r="F145" s="766">
        <f t="shared" si="43"/>
        <v>0</v>
      </c>
      <c r="G145" s="766">
        <f t="shared" si="43"/>
        <v>0</v>
      </c>
      <c r="H145" s="766">
        <f t="shared" si="43"/>
        <v>0</v>
      </c>
      <c r="I145" s="766">
        <f t="shared" si="43"/>
        <v>0</v>
      </c>
      <c r="J145" s="766">
        <f t="shared" si="43"/>
        <v>0</v>
      </c>
      <c r="K145" s="766">
        <f t="shared" si="43"/>
        <v>0</v>
      </c>
      <c r="L145" s="766">
        <f t="shared" si="43"/>
        <v>5.9407272698013866E-2</v>
      </c>
      <c r="M145" s="766">
        <f t="shared" si="43"/>
        <v>3.1207800026171388E-3</v>
      </c>
      <c r="N145" s="766">
        <f t="shared" si="43"/>
        <v>0</v>
      </c>
      <c r="O145" s="766">
        <f t="shared" si="43"/>
        <v>0</v>
      </c>
      <c r="P145" s="766">
        <f t="shared" si="43"/>
        <v>0</v>
      </c>
      <c r="Q145" s="766">
        <f t="shared" si="43"/>
        <v>1.0989716695378078E-2</v>
      </c>
      <c r="R145" s="766">
        <f t="shared" si="43"/>
        <v>0</v>
      </c>
      <c r="S145" s="766">
        <f t="shared" si="43"/>
        <v>0.59464547905363774</v>
      </c>
      <c r="T145" s="766">
        <f t="shared" si="17"/>
        <v>0.99105812976311825</v>
      </c>
    </row>
    <row r="146" spans="1:20" hidden="1">
      <c r="A146" s="613">
        <f t="shared" si="42"/>
        <v>5</v>
      </c>
      <c r="B146" s="613" t="s">
        <v>341</v>
      </c>
      <c r="C146" s="766">
        <f t="shared" si="14"/>
        <v>0</v>
      </c>
      <c r="D146" s="766">
        <f t="shared" ref="D146:S146" si="44">IF(INDEX(D$49:D$53,$A146)&gt;0,D37*INDEX(D$99:D$103,$A146)/INDEX(D$49:D$53,$A146),0)</f>
        <v>0.15506390290661576</v>
      </c>
      <c r="E146" s="766">
        <f t="shared" si="44"/>
        <v>8.9505594900360461E-2</v>
      </c>
      <c r="F146" s="766">
        <f t="shared" si="44"/>
        <v>0</v>
      </c>
      <c r="G146" s="766">
        <f t="shared" si="44"/>
        <v>0</v>
      </c>
      <c r="H146" s="766">
        <f t="shared" si="44"/>
        <v>0</v>
      </c>
      <c r="I146" s="766">
        <f t="shared" si="44"/>
        <v>0</v>
      </c>
      <c r="J146" s="766">
        <f t="shared" si="44"/>
        <v>0</v>
      </c>
      <c r="K146" s="766">
        <f t="shared" si="44"/>
        <v>0</v>
      </c>
      <c r="L146" s="766">
        <f t="shared" si="44"/>
        <v>0</v>
      </c>
      <c r="M146" s="766">
        <f t="shared" si="44"/>
        <v>0</v>
      </c>
      <c r="N146" s="766">
        <f t="shared" si="44"/>
        <v>0</v>
      </c>
      <c r="O146" s="766">
        <f t="shared" si="44"/>
        <v>0</v>
      </c>
      <c r="P146" s="766">
        <f t="shared" si="44"/>
        <v>0</v>
      </c>
      <c r="Q146" s="766">
        <f t="shared" si="44"/>
        <v>0</v>
      </c>
      <c r="R146" s="766">
        <f t="shared" si="44"/>
        <v>0</v>
      </c>
      <c r="S146" s="766">
        <f t="shared" si="44"/>
        <v>0</v>
      </c>
      <c r="T146" s="766">
        <f t="shared" si="17"/>
        <v>0.24456949780697623</v>
      </c>
    </row>
    <row r="147" spans="1:20" hidden="1">
      <c r="A147" s="613">
        <f t="shared" si="42"/>
        <v>5</v>
      </c>
      <c r="B147" s="613" t="s">
        <v>342</v>
      </c>
      <c r="C147" s="766">
        <f t="shared" si="14"/>
        <v>1</v>
      </c>
      <c r="D147" s="766">
        <f t="shared" ref="D147:S147" si="45">IF(INDEX(D$49:D$53,$A147)&gt;0,D38*INDEX(D$99:D$103,$A147)/INDEX(D$49:D$53,$A147),0)</f>
        <v>0</v>
      </c>
      <c r="E147" s="766">
        <f t="shared" si="45"/>
        <v>0</v>
      </c>
      <c r="F147" s="766">
        <f t="shared" si="45"/>
        <v>0</v>
      </c>
      <c r="G147" s="766">
        <f t="shared" si="45"/>
        <v>0</v>
      </c>
      <c r="H147" s="766">
        <f t="shared" si="45"/>
        <v>0</v>
      </c>
      <c r="I147" s="766">
        <f t="shared" si="45"/>
        <v>0</v>
      </c>
      <c r="J147" s="766">
        <f t="shared" si="45"/>
        <v>0</v>
      </c>
      <c r="K147" s="766">
        <f t="shared" si="45"/>
        <v>0</v>
      </c>
      <c r="L147" s="766">
        <f t="shared" si="45"/>
        <v>0</v>
      </c>
      <c r="M147" s="766">
        <f t="shared" si="45"/>
        <v>0</v>
      </c>
      <c r="N147" s="766">
        <f t="shared" si="45"/>
        <v>0</v>
      </c>
      <c r="O147" s="766">
        <f t="shared" si="45"/>
        <v>0</v>
      </c>
      <c r="P147" s="766">
        <f t="shared" si="45"/>
        <v>0</v>
      </c>
      <c r="Q147" s="766">
        <f t="shared" si="45"/>
        <v>0</v>
      </c>
      <c r="R147" s="766">
        <f t="shared" si="45"/>
        <v>0</v>
      </c>
      <c r="S147" s="766">
        <f t="shared" si="45"/>
        <v>0</v>
      </c>
      <c r="T147" s="766">
        <f t="shared" si="17"/>
        <v>1</v>
      </c>
    </row>
    <row r="148" spans="1:20" hidden="1">
      <c r="A148" s="613">
        <f t="shared" si="42"/>
        <v>5</v>
      </c>
      <c r="B148" s="613" t="s">
        <v>343</v>
      </c>
      <c r="C148" s="766">
        <f t="shared" si="14"/>
        <v>0</v>
      </c>
      <c r="D148" s="766">
        <f t="shared" ref="D148:S148" si="46">IF(INDEX(D$49:D$53,$A148)&gt;0,D39*INDEX(D$99:D$103,$A148)/INDEX(D$49:D$53,$A148),0)</f>
        <v>0.15506390290661576</v>
      </c>
      <c r="E148" s="766">
        <f t="shared" si="46"/>
        <v>0</v>
      </c>
      <c r="F148" s="766">
        <f t="shared" si="46"/>
        <v>0</v>
      </c>
      <c r="G148" s="766">
        <f t="shared" si="46"/>
        <v>6.0764091580056412E-3</v>
      </c>
      <c r="H148" s="766">
        <f t="shared" si="46"/>
        <v>0</v>
      </c>
      <c r="I148" s="766">
        <f t="shared" si="46"/>
        <v>0</v>
      </c>
      <c r="J148" s="766">
        <f t="shared" si="46"/>
        <v>0</v>
      </c>
      <c r="K148" s="766">
        <f t="shared" si="46"/>
        <v>0</v>
      </c>
      <c r="L148" s="766">
        <f t="shared" si="46"/>
        <v>7.6755339355569996E-2</v>
      </c>
      <c r="M148" s="766">
        <f t="shared" si="46"/>
        <v>0</v>
      </c>
      <c r="N148" s="766">
        <f t="shared" si="46"/>
        <v>0</v>
      </c>
      <c r="O148" s="766">
        <f t="shared" si="46"/>
        <v>0</v>
      </c>
      <c r="P148" s="766">
        <f t="shared" si="46"/>
        <v>0</v>
      </c>
      <c r="Q148" s="766">
        <f t="shared" si="46"/>
        <v>0.23770752354380548</v>
      </c>
      <c r="R148" s="766">
        <f t="shared" si="46"/>
        <v>0</v>
      </c>
      <c r="S148" s="766">
        <f t="shared" si="46"/>
        <v>0</v>
      </c>
      <c r="T148" s="766">
        <f t="shared" si="17"/>
        <v>0.47560317496399684</v>
      </c>
    </row>
    <row r="149" spans="1:20" hidden="1">
      <c r="A149" s="613">
        <f t="shared" si="42"/>
        <v>5</v>
      </c>
      <c r="B149" s="613" t="s">
        <v>344</v>
      </c>
      <c r="C149" s="766">
        <f t="shared" si="14"/>
        <v>0</v>
      </c>
      <c r="D149" s="766">
        <f t="shared" ref="D149:S149" si="47">IF(INDEX(D$49:D$53,$A149)&gt;0,D40*INDEX(D$99:D$103,$A149)/INDEX(D$49:D$53,$A149),0)</f>
        <v>0.19382987863326967</v>
      </c>
      <c r="E149" s="766">
        <f t="shared" si="47"/>
        <v>7.1604475920288374E-2</v>
      </c>
      <c r="F149" s="766">
        <f t="shared" si="47"/>
        <v>0</v>
      </c>
      <c r="G149" s="766">
        <f t="shared" si="47"/>
        <v>0</v>
      </c>
      <c r="H149" s="766">
        <f t="shared" si="47"/>
        <v>0</v>
      </c>
      <c r="I149" s="766">
        <f t="shared" si="47"/>
        <v>0</v>
      </c>
      <c r="J149" s="766">
        <f t="shared" si="47"/>
        <v>0</v>
      </c>
      <c r="K149" s="766">
        <f t="shared" si="47"/>
        <v>0</v>
      </c>
      <c r="L149" s="766">
        <f t="shared" si="47"/>
        <v>0</v>
      </c>
      <c r="M149" s="766">
        <f t="shared" si="47"/>
        <v>0</v>
      </c>
      <c r="N149" s="766">
        <f t="shared" si="47"/>
        <v>0</v>
      </c>
      <c r="O149" s="766">
        <f t="shared" si="47"/>
        <v>0</v>
      </c>
      <c r="P149" s="766">
        <f t="shared" si="47"/>
        <v>0</v>
      </c>
      <c r="Q149" s="766">
        <f t="shared" si="47"/>
        <v>0</v>
      </c>
      <c r="R149" s="766">
        <f t="shared" si="47"/>
        <v>0</v>
      </c>
      <c r="S149" s="766">
        <f t="shared" si="47"/>
        <v>0</v>
      </c>
      <c r="T149" s="766">
        <f t="shared" si="17"/>
        <v>0.26543435455355802</v>
      </c>
    </row>
    <row r="150" spans="1:20" hidden="1">
      <c r="A150" s="613">
        <f t="shared" si="42"/>
        <v>5</v>
      </c>
      <c r="B150" s="613" t="s">
        <v>345</v>
      </c>
      <c r="C150" s="766">
        <f t="shared" si="14"/>
        <v>0.12000000000000001</v>
      </c>
      <c r="D150" s="766">
        <f t="shared" ref="D150:S150" si="48">IF(INDEX(D$49:D$53,$A150)&gt;0,D41*INDEX(D$99:D$103,$A150)/INDEX(D$49:D$53,$A150),0)</f>
        <v>0.13180431747062338</v>
      </c>
      <c r="E150" s="766">
        <f t="shared" si="48"/>
        <v>1.7901118980072094E-2</v>
      </c>
      <c r="F150" s="766">
        <f t="shared" si="48"/>
        <v>0</v>
      </c>
      <c r="G150" s="766">
        <f t="shared" si="48"/>
        <v>3.6458454948033849E-3</v>
      </c>
      <c r="H150" s="766">
        <f t="shared" si="48"/>
        <v>0</v>
      </c>
      <c r="I150" s="766">
        <f t="shared" si="48"/>
        <v>0</v>
      </c>
      <c r="J150" s="766">
        <f t="shared" si="48"/>
        <v>0</v>
      </c>
      <c r="K150" s="766">
        <f t="shared" si="48"/>
        <v>0</v>
      </c>
      <c r="L150" s="766">
        <f t="shared" si="48"/>
        <v>3.3772349316450796E-2</v>
      </c>
      <c r="M150" s="766">
        <f t="shared" si="48"/>
        <v>0</v>
      </c>
      <c r="N150" s="766">
        <f t="shared" si="48"/>
        <v>0</v>
      </c>
      <c r="O150" s="766">
        <f t="shared" si="48"/>
        <v>0</v>
      </c>
      <c r="P150" s="766">
        <f t="shared" si="48"/>
        <v>0</v>
      </c>
      <c r="Q150" s="766">
        <f t="shared" si="48"/>
        <v>4.7541504708761097E-2</v>
      </c>
      <c r="R150" s="766">
        <f t="shared" si="48"/>
        <v>0</v>
      </c>
      <c r="S150" s="766">
        <f t="shared" si="48"/>
        <v>0</v>
      </c>
      <c r="T150" s="766">
        <f t="shared" si="17"/>
        <v>0.35466513597071075</v>
      </c>
    </row>
    <row r="151" spans="1:20" hidden="1">
      <c r="A151" s="613">
        <f t="shared" si="42"/>
        <v>5</v>
      </c>
      <c r="B151" s="613" t="s">
        <v>970</v>
      </c>
      <c r="C151" s="766">
        <f t="shared" si="14"/>
        <v>1</v>
      </c>
      <c r="D151" s="766">
        <f t="shared" ref="D151:S151" si="49">IF(INDEX(D$49:D$53,$A151)&gt;0,D42*INDEX(D$99:D$103,$A151)/INDEX(D$49:D$53,$A151),0)</f>
        <v>0</v>
      </c>
      <c r="E151" s="766">
        <f t="shared" si="49"/>
        <v>0</v>
      </c>
      <c r="F151" s="766">
        <f t="shared" si="49"/>
        <v>0</v>
      </c>
      <c r="G151" s="766">
        <f t="shared" si="49"/>
        <v>0</v>
      </c>
      <c r="H151" s="766">
        <f t="shared" si="49"/>
        <v>0</v>
      </c>
      <c r="I151" s="766">
        <f t="shared" si="49"/>
        <v>0</v>
      </c>
      <c r="J151" s="766">
        <f t="shared" si="49"/>
        <v>0</v>
      </c>
      <c r="K151" s="766">
        <f t="shared" si="49"/>
        <v>0</v>
      </c>
      <c r="L151" s="766">
        <f t="shared" si="49"/>
        <v>0</v>
      </c>
      <c r="M151" s="766">
        <f t="shared" si="49"/>
        <v>0</v>
      </c>
      <c r="N151" s="766">
        <f t="shared" si="49"/>
        <v>0</v>
      </c>
      <c r="O151" s="766">
        <f t="shared" si="49"/>
        <v>0</v>
      </c>
      <c r="P151" s="766">
        <f t="shared" si="49"/>
        <v>0</v>
      </c>
      <c r="Q151" s="766">
        <f t="shared" si="49"/>
        <v>0</v>
      </c>
      <c r="R151" s="766">
        <f t="shared" si="49"/>
        <v>0</v>
      </c>
      <c r="S151" s="766">
        <f t="shared" si="49"/>
        <v>0</v>
      </c>
      <c r="T151" s="766">
        <f t="shared" si="17"/>
        <v>1</v>
      </c>
    </row>
    <row r="152" spans="1:20" hidden="1">
      <c r="A152" s="613">
        <f t="shared" si="42"/>
        <v>5</v>
      </c>
      <c r="B152" s="613" t="s">
        <v>971</v>
      </c>
      <c r="C152" s="766">
        <f t="shared" si="14"/>
        <v>0</v>
      </c>
      <c r="D152" s="766">
        <f t="shared" ref="D152:S152" si="50">IF(INDEX(D$49:D$53,$A152)&gt;0,D43*INDEX(D$99:D$103,$A152)/INDEX(D$49:D$53,$A152),0)</f>
        <v>7.3655353880642482E-2</v>
      </c>
      <c r="E152" s="766">
        <f t="shared" si="50"/>
        <v>3.5802237960144184E-3</v>
      </c>
      <c r="F152" s="766">
        <f t="shared" si="50"/>
        <v>0</v>
      </c>
      <c r="G152" s="766">
        <f t="shared" si="50"/>
        <v>7.0486346232865446E-3</v>
      </c>
      <c r="H152" s="766">
        <f t="shared" si="50"/>
        <v>0</v>
      </c>
      <c r="I152" s="766">
        <f t="shared" si="50"/>
        <v>0</v>
      </c>
      <c r="J152" s="766">
        <f t="shared" si="50"/>
        <v>0</v>
      </c>
      <c r="K152" s="766">
        <f t="shared" si="50"/>
        <v>0.16245302516613272</v>
      </c>
      <c r="L152" s="766">
        <f t="shared" si="50"/>
        <v>1.22808542968912E-2</v>
      </c>
      <c r="M152" s="766">
        <f t="shared" si="50"/>
        <v>0</v>
      </c>
      <c r="N152" s="766">
        <f t="shared" si="50"/>
        <v>0</v>
      </c>
      <c r="O152" s="766">
        <f t="shared" si="50"/>
        <v>0</v>
      </c>
      <c r="P152" s="766">
        <f t="shared" si="50"/>
        <v>0</v>
      </c>
      <c r="Q152" s="766">
        <f t="shared" si="50"/>
        <v>2.1869092166030102</v>
      </c>
      <c r="R152" s="766">
        <f t="shared" si="50"/>
        <v>0</v>
      </c>
      <c r="S152" s="766">
        <f t="shared" si="50"/>
        <v>0.18193389225865297</v>
      </c>
      <c r="T152" s="766">
        <f t="shared" si="17"/>
        <v>2.6278612006246305</v>
      </c>
    </row>
    <row r="153" spans="1:20" hidden="1"/>
    <row r="154" spans="1:20" hidden="1"/>
    <row r="155" spans="1:20" hidden="1">
      <c r="B155" s="612" t="s">
        <v>256</v>
      </c>
    </row>
    <row r="156" spans="1:20" hidden="1">
      <c r="C156" s="613" t="s">
        <v>905</v>
      </c>
      <c r="D156" s="613" t="s">
        <v>906</v>
      </c>
      <c r="E156" s="613" t="s">
        <v>907</v>
      </c>
      <c r="F156" s="613" t="s">
        <v>908</v>
      </c>
      <c r="G156" s="613" t="s">
        <v>909</v>
      </c>
      <c r="H156" s="613" t="s">
        <v>910</v>
      </c>
      <c r="I156" s="613" t="s">
        <v>911</v>
      </c>
      <c r="J156" s="613" t="s">
        <v>912</v>
      </c>
      <c r="K156" s="613" t="s">
        <v>1150</v>
      </c>
      <c r="L156" s="613" t="s">
        <v>913</v>
      </c>
      <c r="M156" s="613" t="s">
        <v>826</v>
      </c>
      <c r="N156" s="613" t="s">
        <v>914</v>
      </c>
      <c r="O156" s="613" t="s">
        <v>915</v>
      </c>
      <c r="P156" s="613" t="s">
        <v>916</v>
      </c>
      <c r="Q156" s="613" t="s">
        <v>917</v>
      </c>
      <c r="R156" s="613" t="s">
        <v>950</v>
      </c>
      <c r="S156" s="613" t="s">
        <v>946</v>
      </c>
      <c r="T156" s="613" t="s">
        <v>888</v>
      </c>
    </row>
    <row r="157" spans="1:20" hidden="1">
      <c r="A157" s="613">
        <v>1</v>
      </c>
      <c r="B157" s="613" t="s">
        <v>568</v>
      </c>
      <c r="C157" s="634">
        <f t="array" aca="1" ref="C157" ca="1">SUM(IF($A$118:$A$152=$A157,C$118:C$152/$T$118:$T$152*Drivers2!$R$58:$R$92))</f>
        <v>7.6330530387653694E-2</v>
      </c>
      <c r="D157" s="634">
        <f t="array" aca="1" ref="D157" ca="1">SUM(IF($A$118:$A$152=$A157,D$118:D$152/$T$118:$T$152*Drivers2!$R$58:$R$85))</f>
        <v>1.1236737004122376E-2</v>
      </c>
      <c r="E157" s="634">
        <f t="array" aca="1" ref="E157" ca="1">SUM(IF($A$118:$A$152=$A157,E$118:E$152/$T$118:$T$152*Drivers2!$R$58:$R$85))</f>
        <v>3.3762537617821997E-2</v>
      </c>
      <c r="F157" s="634">
        <f t="array" aca="1" ref="F157" ca="1">SUM(IF($A$118:$A$152=$A157,F$118:F$152/$T$118:$T$152*Drivers2!$R$58:$R$85))</f>
        <v>0</v>
      </c>
      <c r="G157" s="634">
        <f t="array" aca="1" ref="G157" ca="1">SUM(IF($A$118:$A$152=$A157,G$118:G$152/$T$118:$T$152*Drivers2!$R$58:$R$85))</f>
        <v>0</v>
      </c>
      <c r="H157" s="634">
        <f t="array" aca="1" ref="H157" ca="1">SUM(IF($A$118:$A$152=$A157,H$118:H$152/$T$118:$T$152*Drivers2!$R$58:$R$85))</f>
        <v>0</v>
      </c>
      <c r="I157" s="634">
        <f t="array" aca="1" ref="I157" ca="1">SUM(IF($A$118:$A$152=$A157,I$118:I$152/$T$118:$T$152*Drivers2!$R$58:$R$85))</f>
        <v>0</v>
      </c>
      <c r="J157" s="634">
        <f t="array" aca="1" ref="J157" ca="1">SUM(IF($A$118:$A$152=$A157,J$118:J$152/$T$118:$T$152*Drivers2!$R$58:$R$85))</f>
        <v>0</v>
      </c>
      <c r="K157" s="634">
        <f t="array" aca="1" ref="K157" ca="1">SUM(IF($A$118:$A$152=$A157,K$118:K$152/$T$118:$T$152*Drivers2!$R$58:$R$85))</f>
        <v>0</v>
      </c>
      <c r="L157" s="634">
        <f t="array" aca="1" ref="L157" ca="1">SUM(IF($A$118:$A$152=$A157,L$118:L$152/$T$118:$T$152*Drivers2!$R$58:$R$85))</f>
        <v>1.2101101389054871E-2</v>
      </c>
      <c r="M157" s="634">
        <f t="array" aca="1" ref="M157" ca="1">SUM(IF($A$118:$A$152=$A157,M$118:M$152/$T$118:$T$152*Drivers2!$R$58:$R$85))</f>
        <v>9.4487620265896544E-4</v>
      </c>
      <c r="N157" s="634">
        <f t="array" aca="1" ref="N157" ca="1">SUM(IF($A$118:$A$152=$A157,N$118:N$152/$T$118:$T$152*Drivers2!$R$58:$R$85))</f>
        <v>0</v>
      </c>
      <c r="O157" s="634">
        <f t="array" aca="1" ref="O157" ca="1">SUM(IF($A$118:$A$152=$A157,O$118:O$152/$T$118:$T$152*Drivers2!$R$58:$R$85))</f>
        <v>0</v>
      </c>
      <c r="P157" s="634">
        <f t="array" aca="1" ref="P157" ca="1">SUM(IF($A$118:$A$152=$A157,P$118:P$152/$T$118:$T$152*Drivers2!$R$58:$R$85))</f>
        <v>0</v>
      </c>
      <c r="Q157" s="634">
        <f t="array" aca="1" ref="Q157" ca="1">SUM(IF($A$118:$A$152=$A157,Q$118:Q$152/$T$118:$T$152*Drivers2!$R$58:$R$85))</f>
        <v>0</v>
      </c>
      <c r="R157" s="634">
        <f t="array" aca="1" ref="R157" ca="1">SUM(IF($A$118:$A$152=$A157,R$118:R$152/$T$118:$T$152*Drivers2!$R$58:$R$85))</f>
        <v>0</v>
      </c>
      <c r="S157" s="634">
        <f t="array" aca="1" ref="S157" ca="1">SUM(IF($A$118:$A$152=$A157,S$118:S$152/$T$118:$T$152*Drivers2!$R$58:$R$85))</f>
        <v>9.6097922001811172E-3</v>
      </c>
      <c r="T157" s="634">
        <f>SUM(C157:S157)</f>
        <v>0.14398557480149302</v>
      </c>
    </row>
    <row r="158" spans="1:20" hidden="1">
      <c r="A158" s="613">
        <v>2</v>
      </c>
      <c r="B158" s="613" t="s">
        <v>879</v>
      </c>
      <c r="C158" s="630">
        <f t="array" aca="1" ref="C158" ca="1">SUM(IF($A$118:$A$152=$A158,C$118:C$152/$T$118:$T$152*Drivers2!$R$58:$R$85))</f>
        <v>0.20827140274373318</v>
      </c>
      <c r="D158" s="630">
        <f t="array" aca="1" ref="D158" ca="1">SUM(IF($A$118:$A$152=$A158,D$118:D$152/$T$118:$T$152*Drivers2!$R$58:$R$85))</f>
        <v>0.10724456009566263</v>
      </c>
      <c r="E158" s="630">
        <f t="array" aca="1" ref="E158" ca="1">SUM(IF($A$118:$A$152=$A158,E$118:E$152/$T$118:$T$152*Drivers2!$R$58:$R$85))</f>
        <v>3.4443840198246145E-2</v>
      </c>
      <c r="F158" s="630">
        <f t="array" aca="1" ref="F158" ca="1">SUM(IF($A$118:$A$152=$A158,F$118:F$152/$T$118:$T$152*Drivers2!$R$58:$R$85))</f>
        <v>0</v>
      </c>
      <c r="G158" s="630">
        <f t="array" aca="1" ref="G158" ca="1">SUM(IF($A$118:$A$152=$A158,G$118:G$152/$T$118:$T$152*Drivers2!$R$58:$R$85))</f>
        <v>0.20106983877222845</v>
      </c>
      <c r="H158" s="630">
        <f t="array" aca="1" ref="H158" ca="1">SUM(IF($A$118:$A$152=$A158,H$118:H$152/$T$118:$T$152*Drivers2!$R$58:$R$85))</f>
        <v>0</v>
      </c>
      <c r="I158" s="630">
        <f t="array" aca="1" ref="I158" ca="1">SUM(IF($A$118:$A$152=$A158,I$118:I$152/$T$118:$T$152*Drivers2!$R$58:$R$85))</f>
        <v>0</v>
      </c>
      <c r="J158" s="630">
        <f t="array" aca="1" ref="J158" ca="1">SUM(IF($A$118:$A$152=$A158,J$118:J$152/$T$118:$T$152*Drivers2!$R$58:$R$85))</f>
        <v>0</v>
      </c>
      <c r="K158" s="630">
        <f t="array" aca="1" ref="K158" ca="1">SUM(IF($A$118:$A$152=$A158,K$118:K$152/$T$118:$T$152*Drivers2!$R$58:$R$85))</f>
        <v>7.3187183000019242E-4</v>
      </c>
      <c r="L158" s="630">
        <f t="array" aca="1" ref="L158" ca="1">SUM(IF($A$118:$A$152=$A158,L$118:L$152/$T$118:$T$152*Drivers2!$R$58:$R$85))</f>
        <v>2.5235646720890792E-2</v>
      </c>
      <c r="M158" s="630">
        <f t="array" aca="1" ref="M158" ca="1">SUM(IF($A$118:$A$152=$A158,M$118:M$152/$T$118:$T$152*Drivers2!$R$58:$R$85))</f>
        <v>1.7250666137107504E-2</v>
      </c>
      <c r="N158" s="630">
        <f t="array" aca="1" ref="N158" ca="1">SUM(IF($A$118:$A$152=$A158,N$118:N$152/$T$118:$T$152*Drivers2!$R$58:$R$85))</f>
        <v>0</v>
      </c>
      <c r="O158" s="630">
        <f t="array" aca="1" ref="O158" ca="1">SUM(IF($A$118:$A$152=$A158,O$118:O$152/$T$118:$T$152*Drivers2!$R$58:$R$85))</f>
        <v>0</v>
      </c>
      <c r="P158" s="630">
        <f t="array" aca="1" ref="P158" ca="1">SUM(IF($A$118:$A$152=$A158,P$118:P$152/$T$118:$T$152*Drivers2!$R$58:$R$85))</f>
        <v>3.9521078820010387E-2</v>
      </c>
      <c r="Q158" s="630">
        <f t="array" aca="1" ref="Q158" ca="1">SUM(IF($A$118:$A$152=$A158,Q$118:Q$152/$T$118:$T$152*Drivers2!$R$58:$R$85))</f>
        <v>7.3187183000019236E-3</v>
      </c>
      <c r="R158" s="630">
        <f t="array" aca="1" ref="R158" ca="1">SUM(IF($A$118:$A$152=$A158,R$118:R$152/$T$118:$T$152*Drivers2!$R$58:$R$85))</f>
        <v>0</v>
      </c>
      <c r="S158" s="630">
        <f t="array" aca="1" ref="S158" ca="1">SUM(IF($A$118:$A$152=$A158,S$118:S$152/$T$118:$T$152*Drivers2!$R$58:$R$85))</f>
        <v>4.2049316198704098E-2</v>
      </c>
      <c r="T158" s="630">
        <f>SUM(C158:S158)</f>
        <v>0.6831369398165853</v>
      </c>
    </row>
    <row r="159" spans="1:20" hidden="1">
      <c r="A159" s="613">
        <v>3</v>
      </c>
      <c r="B159" s="613" t="s">
        <v>880</v>
      </c>
      <c r="C159" s="630">
        <f t="array" aca="1" ref="C159" ca="1">SUM(IF($A$118:$A$152=$A159,C$118:C$152/$T$118:$T$152*Drivers2!$R$58:$R$85))</f>
        <v>7.790082944791607E-2</v>
      </c>
      <c r="D159" s="630">
        <f t="array" aca="1" ref="D159" ca="1">SUM(IF($A$118:$A$152=$A159,D$118:D$152/$T$118:$T$152*Drivers2!$R$58:$R$85))</f>
        <v>1.2440334403678818E-3</v>
      </c>
      <c r="E159" s="630">
        <f t="array" aca="1" ref="E159" ca="1">SUM(IF($A$118:$A$152=$A159,E$118:E$152/$T$118:$T$152*Drivers2!$R$58:$R$85))</f>
        <v>5.5533259744615857E-3</v>
      </c>
      <c r="F159" s="630">
        <f t="array" aca="1" ref="F159" ca="1">SUM(IF($A$118:$A$152=$A159,F$118:F$152/$T$118:$T$152*Drivers2!$R$58:$R$85))</f>
        <v>0</v>
      </c>
      <c r="G159" s="630">
        <f t="array" aca="1" ref="G159" ca="1">SUM(IF($A$118:$A$152=$A159,G$118:G$152/$T$118:$T$152*Drivers2!$R$58:$R$85))</f>
        <v>0</v>
      </c>
      <c r="H159" s="630">
        <f t="array" aca="1" ref="H159" ca="1">SUM(IF($A$118:$A$152=$A159,H$118:H$152/$T$118:$T$152*Drivers2!$R$58:$R$85))</f>
        <v>0</v>
      </c>
      <c r="I159" s="630">
        <f t="array" aca="1" ref="I159" ca="1">SUM(IF($A$118:$A$152=$A159,I$118:I$152/$T$118:$T$152*Drivers2!$R$58:$R$85))</f>
        <v>0</v>
      </c>
      <c r="J159" s="630">
        <f t="array" aca="1" ref="J159" ca="1">SUM(IF($A$118:$A$152=$A159,J$118:J$152/$T$118:$T$152*Drivers2!$R$58:$R$85))</f>
        <v>0</v>
      </c>
      <c r="K159" s="630">
        <f t="array" aca="1" ref="K159" ca="1">SUM(IF($A$118:$A$152=$A159,K$118:K$152/$T$118:$T$152*Drivers2!$R$58:$R$85))</f>
        <v>0</v>
      </c>
      <c r="L159" s="630">
        <f t="array" aca="1" ref="L159" ca="1">SUM(IF($A$118:$A$152=$A159,L$118:L$152/$T$118:$T$152*Drivers2!$R$58:$R$85))</f>
        <v>7.0347084702662068E-3</v>
      </c>
      <c r="M159" s="630">
        <f t="array" aca="1" ref="M159" ca="1">SUM(IF($A$118:$A$152=$A159,M$118:M$152/$T$118:$T$152*Drivers2!$R$58:$R$85))</f>
        <v>2.3544281255585956E-3</v>
      </c>
      <c r="N159" s="630">
        <f t="array" aca="1" ref="N159" ca="1">SUM(IF($A$118:$A$152=$A159,N$118:N$152/$T$118:$T$152*Drivers2!$R$58:$R$85))</f>
        <v>0</v>
      </c>
      <c r="O159" s="630">
        <f t="array" aca="1" ref="O159" ca="1">SUM(IF($A$118:$A$152=$A159,O$118:O$152/$T$118:$T$152*Drivers2!$R$58:$R$85))</f>
        <v>0</v>
      </c>
      <c r="P159" s="630">
        <f t="array" aca="1" ref="P159" ca="1">SUM(IF($A$118:$A$152=$A159,P$118:P$152/$T$118:$T$152*Drivers2!$R$58:$R$85))</f>
        <v>0</v>
      </c>
      <c r="Q159" s="630">
        <f t="array" aca="1" ref="Q159" ca="1">SUM(IF($A$118:$A$152=$A159,Q$118:Q$152/$T$118:$T$152*Drivers2!$R$58:$R$85))</f>
        <v>3.1392375007447942E-3</v>
      </c>
      <c r="R159" s="630">
        <f t="array" aca="1" ref="R159" ca="1">SUM(IF($A$118:$A$152=$A159,R$118:R$152/$T$118:$T$152*Drivers2!$R$58:$R$85))</f>
        <v>0</v>
      </c>
      <c r="S159" s="630">
        <f t="array" aca="1" ref="S159" ca="1">SUM(IF($A$118:$A$152=$A159,S$118:S$152/$T$118:$T$152*Drivers2!$R$58:$R$85))</f>
        <v>2.3190610273333145E-2</v>
      </c>
      <c r="T159" s="630">
        <f>SUM(C159:S159)</f>
        <v>0.12041717323264829</v>
      </c>
    </row>
    <row r="160" spans="1:20" hidden="1">
      <c r="A160" s="613">
        <v>4</v>
      </c>
      <c r="B160" s="613" t="s">
        <v>787</v>
      </c>
      <c r="C160" s="630">
        <f t="array" aca="1" ref="C160" ca="1">SUM(IF($A$118:$A$152=$A160,C$118:C$152/$T$118:$T$152*Drivers2!$R$58:$R$85))</f>
        <v>0.35651830908292326</v>
      </c>
      <c r="D160" s="630">
        <f t="array" aca="1" ref="D160" ca="1">SUM(IF($A$118:$A$152=$A160,D$118:D$152/$T$118:$T$152*Drivers2!$R$58:$R$85))</f>
        <v>0.27826414775608754</v>
      </c>
      <c r="E160" s="630">
        <f t="array" aca="1" ref="E160" ca="1">SUM(IF($A$118:$A$152=$A160,E$118:E$152/$T$118:$T$152*Drivers2!$R$58:$R$85))</f>
        <v>0.12151777671177932</v>
      </c>
      <c r="F160" s="630">
        <f t="array" aca="1" ref="F160" ca="1">SUM(IF($A$118:$A$152=$A160,F$118:F$152/$T$118:$T$152*Drivers2!$R$58:$R$85))</f>
        <v>0</v>
      </c>
      <c r="G160" s="630">
        <f t="array" aca="1" ref="G160" ca="1">SUM(IF($A$118:$A$152=$A160,G$118:G$152/$T$118:$T$152*Drivers2!$R$58:$R$85))</f>
        <v>0</v>
      </c>
      <c r="H160" s="630">
        <f t="array" aca="1" ref="H160" ca="1">SUM(IF($A$118:$A$152=$A160,H$118:H$152/$T$118:$T$152*Drivers2!$R$58:$R$85))</f>
        <v>0</v>
      </c>
      <c r="I160" s="630">
        <f t="array" aca="1" ref="I160" ca="1">SUM(IF($A$118:$A$152=$A160,I$118:I$152/$T$118:$T$152*Drivers2!$R$58:$R$85))</f>
        <v>0</v>
      </c>
      <c r="J160" s="630">
        <f t="array" aca="1" ref="J160" ca="1">SUM(IF($A$118:$A$152=$A160,J$118:J$152/$T$118:$T$152*Drivers2!$R$58:$R$85))</f>
        <v>0</v>
      </c>
      <c r="K160" s="630">
        <f t="array" aca="1" ref="K160" ca="1">SUM(IF($A$118:$A$152=$A160,K$118:K$152/$T$118:$T$152*Drivers2!$R$58:$R$85))</f>
        <v>0</v>
      </c>
      <c r="L160" s="630">
        <f t="array" aca="1" ref="L160" ca="1">SUM(IF($A$118:$A$152=$A160,L$118:L$152/$T$118:$T$152*Drivers2!$R$58:$R$85))</f>
        <v>6.733399937887749E-2</v>
      </c>
      <c r="M160" s="630">
        <f t="array" aca="1" ref="M160" ca="1">SUM(IF($A$118:$A$152=$A160,M$118:M$152/$T$118:$T$152*Drivers2!$R$58:$R$85))</f>
        <v>4.0632856332831584E-3</v>
      </c>
      <c r="N160" s="630">
        <f t="array" aca="1" ref="N160" ca="1">SUM(IF($A$118:$A$152=$A160,N$118:N$152/$T$118:$T$152*Drivers2!$R$58:$R$85))</f>
        <v>0</v>
      </c>
      <c r="O160" s="630">
        <f t="array" aca="1" ref="O160" ca="1">SUM(IF($A$118:$A$152=$A160,O$118:O$152/$T$118:$T$152*Drivers2!$R$58:$R$85))</f>
        <v>0</v>
      </c>
      <c r="P160" s="630">
        <f t="array" aca="1" ref="P160" ca="1">SUM(IF($A$118:$A$152=$A160,P$118:P$152/$T$118:$T$152*Drivers2!$R$58:$R$85))</f>
        <v>0</v>
      </c>
      <c r="Q160" s="630">
        <f t="array" aca="1" ref="Q160" ca="1">SUM(IF($A$118:$A$152=$A160,Q$118:Q$152/$T$118:$T$152*Drivers2!$R$58:$R$85))</f>
        <v>7.0631578408757254E-3</v>
      </c>
      <c r="R160" s="630">
        <f t="array" aca="1" ref="R160" ca="1">SUM(IF($A$118:$A$152=$A160,R$118:R$152/$T$118:$T$152*Drivers2!$R$58:$R$85))</f>
        <v>0</v>
      </c>
      <c r="S160" s="630">
        <f t="array" aca="1" ref="S160" ca="1">SUM(IF($A$118:$A$152=$A160,S$118:S$152/$T$118:$T$152*Drivers2!$R$58:$R$85))</f>
        <v>0.38218227042062147</v>
      </c>
      <c r="T160" s="630">
        <f>SUM(C160:S160)</f>
        <v>1.2169429468244481</v>
      </c>
    </row>
    <row r="161" spans="1:24" hidden="1">
      <c r="A161" s="613">
        <v>5</v>
      </c>
      <c r="B161" s="613" t="s">
        <v>978</v>
      </c>
      <c r="C161" s="646">
        <f t="array" aca="1" ref="C161" ca="1">SUM(IF($A$118:$A$152=$A161,C$118:C$152/$T$118:$T$152*Drivers2!$R$58:$R$92))</f>
        <v>0.12333279437145168</v>
      </c>
      <c r="D161" s="646">
        <f t="array" aca="1" ref="D161" ca="1">SUM(IF($A$118:$A$152=$A161,D$118:D$152/$T$118:$T$152*Drivers2!$R$58:$R$92))</f>
        <v>5.943062102977914E-2</v>
      </c>
      <c r="E161" s="646">
        <f t="array" aca="1" ref="E161" ca="1">SUM(IF($A$118:$A$152=$A161,E$118:E$152/$T$118:$T$152*Drivers2!$R$58:$R$92))</f>
        <v>7.9211585220310687E-3</v>
      </c>
      <c r="F161" s="646">
        <f t="array" aca="1" ref="F161" ca="1">SUM(IF($A$118:$A$152=$A161,F$118:F$152/$T$118:$T$152*Drivers2!$R$58:$R$92))</f>
        <v>0</v>
      </c>
      <c r="G161" s="646">
        <f t="array" aca="1" ref="G161" ca="1">SUM(IF($A$118:$A$152=$A161,G$118:G$152/$T$118:$T$152*Drivers2!$R$58:$R$92))</f>
        <v>1.7612991194215417E-3</v>
      </c>
      <c r="H161" s="646">
        <f t="array" aca="1" ref="H161" ca="1">SUM(IF($A$118:$A$152=$A161,H$118:H$152/$T$118:$T$152*Drivers2!$R$58:$R$92))</f>
        <v>0</v>
      </c>
      <c r="I161" s="646">
        <f t="array" aca="1" ref="I161" ca="1">SUM(IF($A$118:$A$152=$A161,I$118:I$152/$T$118:$T$152*Drivers2!$R$58:$R$92))</f>
        <v>0</v>
      </c>
      <c r="J161" s="646">
        <f t="array" aca="1" ref="J161" ca="1">SUM(IF($A$118:$A$152=$A161,J$118:J$152/$T$118:$T$152*Drivers2!$R$58:$R$92))</f>
        <v>0</v>
      </c>
      <c r="K161" s="646">
        <f t="array" aca="1" ref="K161" ca="1">SUM(IF($A$118:$A$152=$A161,K$118:K$152/$T$118:$T$152*Drivers2!$R$58:$R$92))</f>
        <v>3.8053760212385054E-3</v>
      </c>
      <c r="L161" s="646">
        <f t="array" aca="1" ref="L161" ca="1">SUM(IF($A$118:$A$152=$A161,L$118:L$152/$T$118:$T$152*Drivers2!$R$58:$R$92))</f>
        <v>1.5073553768820112E-2</v>
      </c>
      <c r="M161" s="646">
        <f t="array" aca="1" ref="M161" ca="1">SUM(IF($A$118:$A$152=$A161,M$118:M$152/$T$118:$T$152*Drivers2!$R$58:$R$92))</f>
        <v>0</v>
      </c>
      <c r="N161" s="646">
        <f t="array" aca="1" ref="N161" ca="1">SUM(IF($A$118:$A$152=$A161,N$118:N$152/$T$118:$T$152*Drivers2!$R$58:$R$92))</f>
        <v>0</v>
      </c>
      <c r="O161" s="646">
        <f t="array" aca="1" ref="O161" ca="1">SUM(IF($A$118:$A$152=$A161,O$118:O$152/$T$118:$T$152*Drivers2!$R$58:$R$92))</f>
        <v>0</v>
      </c>
      <c r="P161" s="646">
        <f t="array" aca="1" ref="P161" ca="1">SUM(IF($A$118:$A$152=$A161,P$118:P$152/$T$118:$T$152*Drivers2!$R$58:$R$92))</f>
        <v>0</v>
      </c>
      <c r="Q161" s="646">
        <f t="array" aca="1" ref="Q161" ca="1">SUM(IF($A$118:$A$152=$A161,Q$118:Q$152/$T$118:$T$152*Drivers2!$R$58:$R$92))</f>
        <v>7.2041348290316151E-2</v>
      </c>
      <c r="R161" s="646">
        <f t="array" aca="1" ref="R161" ca="1">SUM(IF($A$118:$A$152=$A161,R$118:R$152/$T$118:$T$152*Drivers2!$R$58:$R$92))</f>
        <v>0</v>
      </c>
      <c r="S161" s="646">
        <f t="array" aca="1" ref="S161" ca="1">SUM(IF($A$118:$A$152=$A161,S$118:S$152/$T$118:$T$152*Drivers2!$R$58:$R$92))</f>
        <v>4.2617050088396887E-3</v>
      </c>
      <c r="T161" s="646">
        <f>SUM(C161:S161)</f>
        <v>0.2876278561318979</v>
      </c>
    </row>
    <row r="162" spans="1:24" hidden="1">
      <c r="B162" s="612" t="s">
        <v>415</v>
      </c>
      <c r="C162" s="630"/>
      <c r="D162" s="630"/>
      <c r="E162" s="630"/>
      <c r="F162" s="630"/>
      <c r="G162" s="630"/>
      <c r="H162" s="630"/>
      <c r="I162" s="630"/>
      <c r="J162" s="630"/>
      <c r="K162" s="630"/>
      <c r="L162" s="630"/>
      <c r="M162" s="630"/>
      <c r="N162" s="630"/>
      <c r="O162" s="630"/>
      <c r="P162" s="630"/>
      <c r="Q162" s="630"/>
      <c r="R162" s="630"/>
      <c r="S162" s="630"/>
      <c r="T162" s="630"/>
    </row>
    <row r="163" spans="1:24" hidden="1">
      <c r="B163" s="613" t="s">
        <v>568</v>
      </c>
      <c r="C163" s="634">
        <f t="array" ref="C163:S167">IF(C157:S161&gt;0,C99:S103/C157:S161,0)</f>
        <v>0.95463530225556759</v>
      </c>
      <c r="D163" s="634">
        <v>1.1569194860777414</v>
      </c>
      <c r="E163" s="634">
        <v>0.94779605615628792</v>
      </c>
      <c r="F163" s="634">
        <v>0</v>
      </c>
      <c r="G163" s="634">
        <v>0</v>
      </c>
      <c r="H163" s="634">
        <v>0</v>
      </c>
      <c r="I163" s="634">
        <v>0</v>
      </c>
      <c r="J163" s="634">
        <v>0</v>
      </c>
      <c r="K163" s="634">
        <v>0</v>
      </c>
      <c r="L163" s="634">
        <v>1.156919486077741</v>
      </c>
      <c r="M163" s="634">
        <v>1.058339703324003</v>
      </c>
      <c r="N163" s="634">
        <v>0</v>
      </c>
      <c r="O163" s="634">
        <v>0</v>
      </c>
      <c r="P163" s="634">
        <v>0</v>
      </c>
      <c r="Q163" s="634">
        <v>0</v>
      </c>
      <c r="R163" s="634">
        <v>0</v>
      </c>
      <c r="S163" s="634">
        <v>1.1569194860777412</v>
      </c>
      <c r="T163" s="630"/>
    </row>
    <row r="164" spans="1:24" hidden="1">
      <c r="B164" s="613" t="s">
        <v>879</v>
      </c>
      <c r="C164" s="630">
        <v>0.89154082752361485</v>
      </c>
      <c r="D164" s="630">
        <v>0.83920340499993273</v>
      </c>
      <c r="E164" s="630">
        <v>1.3064745319045861</v>
      </c>
      <c r="F164" s="630">
        <v>0</v>
      </c>
      <c r="G164" s="630">
        <v>0.96981228607287862</v>
      </c>
      <c r="H164" s="630">
        <v>0</v>
      </c>
      <c r="I164" s="630">
        <v>0</v>
      </c>
      <c r="J164" s="630">
        <v>0</v>
      </c>
      <c r="K164" s="630">
        <v>1.3663594621475417</v>
      </c>
      <c r="L164" s="630">
        <v>0.87178269070424763</v>
      </c>
      <c r="M164" s="630">
        <v>1.3332818464630325</v>
      </c>
      <c r="N164" s="630">
        <v>0</v>
      </c>
      <c r="O164" s="630">
        <v>0</v>
      </c>
      <c r="P164" s="630">
        <v>1.3663594621475419</v>
      </c>
      <c r="Q164" s="630">
        <v>1.3663594621475419</v>
      </c>
      <c r="R164" s="630">
        <v>0</v>
      </c>
      <c r="S164" s="630">
        <v>1.3663594621475417</v>
      </c>
      <c r="T164" s="630"/>
    </row>
    <row r="165" spans="1:24" hidden="1">
      <c r="B165" s="613" t="s">
        <v>880</v>
      </c>
      <c r="C165" s="630">
        <v>0.93539208073085367</v>
      </c>
      <c r="D165" s="630">
        <v>0.80383691269929458</v>
      </c>
      <c r="E165" s="630">
        <v>0.90036133715070954</v>
      </c>
      <c r="F165" s="630">
        <v>0</v>
      </c>
      <c r="G165" s="630">
        <v>0</v>
      </c>
      <c r="H165" s="630">
        <v>0</v>
      </c>
      <c r="I165" s="630">
        <v>0</v>
      </c>
      <c r="J165" s="630">
        <v>0</v>
      </c>
      <c r="K165" s="630">
        <v>0</v>
      </c>
      <c r="L165" s="630">
        <v>0.71076150790521542</v>
      </c>
      <c r="M165" s="630">
        <v>1.2741947683317962</v>
      </c>
      <c r="N165" s="630">
        <v>0</v>
      </c>
      <c r="O165" s="630">
        <v>0</v>
      </c>
      <c r="P165" s="630">
        <v>0</v>
      </c>
      <c r="Q165" s="630">
        <v>1.2741947683317962</v>
      </c>
      <c r="R165" s="630">
        <v>0</v>
      </c>
      <c r="S165" s="630">
        <v>1.2741947683317962</v>
      </c>
      <c r="T165" s="630"/>
    </row>
    <row r="166" spans="1:24" hidden="1">
      <c r="B166" s="613" t="s">
        <v>787</v>
      </c>
      <c r="C166" s="630">
        <v>1.0298997030959272</v>
      </c>
      <c r="D166" s="630">
        <v>0.98467589953476409</v>
      </c>
      <c r="E166" s="630">
        <v>0.98750983804304404</v>
      </c>
      <c r="F166" s="630">
        <v>0</v>
      </c>
      <c r="G166" s="630">
        <v>0</v>
      </c>
      <c r="H166" s="630">
        <v>0</v>
      </c>
      <c r="I166" s="630">
        <v>0</v>
      </c>
      <c r="J166" s="630">
        <v>0</v>
      </c>
      <c r="K166" s="630">
        <v>0</v>
      </c>
      <c r="L166" s="630">
        <v>0.98018832400892619</v>
      </c>
      <c r="M166" s="630">
        <v>0.98442500995628424</v>
      </c>
      <c r="N166" s="630">
        <v>0</v>
      </c>
      <c r="O166" s="630">
        <v>0</v>
      </c>
      <c r="P166" s="630">
        <v>0</v>
      </c>
      <c r="Q166" s="630">
        <v>0.99105812976311813</v>
      </c>
      <c r="R166" s="630">
        <v>0</v>
      </c>
      <c r="S166" s="630">
        <v>0.99105812976311813</v>
      </c>
      <c r="T166" s="630"/>
    </row>
    <row r="167" spans="1:24" hidden="1">
      <c r="B167" s="613" t="s">
        <v>978</v>
      </c>
      <c r="C167" s="646">
        <v>0.72510062993724622</v>
      </c>
      <c r="D167" s="646">
        <v>0.42065856904764887</v>
      </c>
      <c r="E167" s="646">
        <v>0.37873247854541969</v>
      </c>
      <c r="F167" s="646">
        <v>0</v>
      </c>
      <c r="G167" s="646">
        <v>0.56776273204998084</v>
      </c>
      <c r="H167" s="646">
        <v>0</v>
      </c>
      <c r="I167" s="646">
        <v>0</v>
      </c>
      <c r="J167" s="646">
        <v>0</v>
      </c>
      <c r="K167" s="646">
        <v>2.6278612006246309</v>
      </c>
      <c r="L167" s="646">
        <v>0.39804813728870603</v>
      </c>
      <c r="M167" s="646">
        <v>0</v>
      </c>
      <c r="N167" s="646">
        <v>0</v>
      </c>
      <c r="O167" s="646">
        <v>0</v>
      </c>
      <c r="P167" s="646">
        <v>0</v>
      </c>
      <c r="Q167" s="646">
        <v>1.9710902609396019</v>
      </c>
      <c r="R167" s="646">
        <v>0</v>
      </c>
      <c r="S167" s="646">
        <v>2.6278612006246305</v>
      </c>
      <c r="T167" s="630"/>
    </row>
    <row r="168" spans="1:24" hidden="1"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30"/>
      <c r="T168" s="630"/>
    </row>
    <row r="169" spans="1:24" hidden="1"/>
    <row r="170" spans="1:24" hidden="1">
      <c r="B170" s="612" t="s">
        <v>80</v>
      </c>
    </row>
    <row r="171" spans="1:24" hidden="1">
      <c r="C171" s="613" t="s">
        <v>905</v>
      </c>
      <c r="D171" s="613" t="s">
        <v>906</v>
      </c>
      <c r="E171" s="613" t="s">
        <v>907</v>
      </c>
      <c r="F171" s="613" t="s">
        <v>908</v>
      </c>
      <c r="G171" s="613" t="s">
        <v>909</v>
      </c>
      <c r="H171" s="613" t="s">
        <v>910</v>
      </c>
      <c r="I171" s="613" t="s">
        <v>911</v>
      </c>
      <c r="J171" s="613" t="s">
        <v>912</v>
      </c>
      <c r="K171" s="613" t="s">
        <v>1150</v>
      </c>
      <c r="L171" s="613" t="s">
        <v>913</v>
      </c>
      <c r="M171" s="613" t="s">
        <v>826</v>
      </c>
      <c r="N171" s="613" t="s">
        <v>914</v>
      </c>
      <c r="O171" s="613" t="s">
        <v>915</v>
      </c>
      <c r="P171" s="613" t="s">
        <v>916</v>
      </c>
      <c r="Q171" s="613" t="s">
        <v>917</v>
      </c>
      <c r="R171" s="613" t="s">
        <v>950</v>
      </c>
      <c r="S171" s="613" t="s">
        <v>946</v>
      </c>
      <c r="T171" s="613" t="s">
        <v>888</v>
      </c>
      <c r="V171" s="613" t="s">
        <v>257</v>
      </c>
      <c r="X171" s="613" t="s">
        <v>258</v>
      </c>
    </row>
    <row r="172" spans="1:24" hidden="1">
      <c r="A172" s="613" t="str">
        <f t="shared" ref="A172:A198" si="51">MID(B172,1,3)</f>
        <v>IIS</v>
      </c>
      <c r="B172" s="613" t="s">
        <v>961</v>
      </c>
      <c r="C172" s="738">
        <f ca="1">Drivers2!$R58*C118/$T118*INDEX($B$163:$S$167,$A118,C$4)</f>
        <v>0</v>
      </c>
      <c r="D172" s="738">
        <f ca="1">Drivers2!$R58*D118/$T118*INDEX($B$163:$S$167,$A118,D$4)</f>
        <v>0</v>
      </c>
      <c r="E172" s="738">
        <f ca="1">Drivers2!$R58*E118/$T118*INDEX($B$163:$S$167,$A118,E$4)</f>
        <v>0</v>
      </c>
      <c r="F172" s="738">
        <f ca="1">Drivers2!$R58*F118/$T118*INDEX($B$163:$S$167,$A118,F$4)</f>
        <v>0</v>
      </c>
      <c r="G172" s="738">
        <f ca="1">Drivers2!$R58*G118/$T118*INDEX($B$163:$S$167,$A118,G$4)</f>
        <v>0</v>
      </c>
      <c r="H172" s="738">
        <f ca="1">Drivers2!$R58*H118/$T118*INDEX($B$163:$S$167,$A118,H$4)</f>
        <v>0</v>
      </c>
      <c r="I172" s="738">
        <f ca="1">Drivers2!$R58*I118/$T118*INDEX($B$163:$S$167,$A118,I$4)</f>
        <v>0</v>
      </c>
      <c r="J172" s="738">
        <f ca="1">Drivers2!$R58*J118/$T118*INDEX($B$163:$S$167,$A118,J$4)</f>
        <v>0</v>
      </c>
      <c r="K172" s="738">
        <f ca="1">Drivers2!$R58*K118/$T118*INDEX($B$163:$S$167,$A118,K$4)</f>
        <v>0</v>
      </c>
      <c r="L172" s="738">
        <f ca="1">Drivers2!$R58*L118/$T118*INDEX($B$163:$S$167,$A118,L$4)</f>
        <v>0</v>
      </c>
      <c r="M172" s="738">
        <f ca="1">Drivers2!$R58*M118/$T118*INDEX($B$163:$S$167,$A118,M$4)</f>
        <v>0</v>
      </c>
      <c r="N172" s="738">
        <f ca="1">Drivers2!$R58*N118/$T118*INDEX($B$163:$S$167,$A118,N$4)</f>
        <v>0</v>
      </c>
      <c r="O172" s="738">
        <f ca="1">Drivers2!$R58*O118/$T118*INDEX($B$163:$S$167,$A118,O$4)</f>
        <v>0</v>
      </c>
      <c r="P172" s="738">
        <f ca="1">Drivers2!$R58*P118/$T118*INDEX($B$163:$S$167,$A118,P$4)</f>
        <v>0</v>
      </c>
      <c r="Q172" s="738">
        <f ca="1">Drivers2!$R58*Q118/$T118*INDEX($B$163:$S$167,$A118,Q$4)</f>
        <v>0</v>
      </c>
      <c r="R172" s="738">
        <f ca="1">Drivers2!$R58*R118/$T118*INDEX($B$163:$S$167,$A118,R$4)</f>
        <v>0</v>
      </c>
      <c r="S172" s="738">
        <f ca="1">Drivers2!$R58*S118/$T118*INDEX($B$163:$S$167,$A118,S$4)</f>
        <v>0</v>
      </c>
      <c r="T172" s="738">
        <f t="shared" ref="T172:T198" si="52">SUM(C172:S172)</f>
        <v>0</v>
      </c>
      <c r="V172" s="613">
        <f ca="1">VLOOKUP($B172,Drivers2!$E$58:$M$93,9,FALSE)</f>
        <v>0</v>
      </c>
      <c r="W172" s="613" t="s">
        <v>213</v>
      </c>
      <c r="X172" s="613" t="b">
        <f>IF(T172&gt;0,V172/T172)</f>
        <v>0</v>
      </c>
    </row>
    <row r="173" spans="1:24" hidden="1">
      <c r="A173" s="613" t="str">
        <f t="shared" si="51"/>
        <v>IIS</v>
      </c>
      <c r="B173" s="613" t="s">
        <v>368</v>
      </c>
      <c r="C173" s="738">
        <f ca="1">Drivers2!$R59*C119/$T119*INDEX($B$163:$S$167,$A119,C$4)</f>
        <v>0</v>
      </c>
      <c r="D173" s="738">
        <f ca="1">Drivers2!$R59*D119/$T119*INDEX($B$163:$S$167,$A119,D$4)</f>
        <v>0</v>
      </c>
      <c r="E173" s="738">
        <f ca="1">Drivers2!$R59*E119/$T119*INDEX($B$163:$S$167,$A119,E$4)</f>
        <v>0</v>
      </c>
      <c r="F173" s="738">
        <f ca="1">Drivers2!$R59*F119/$T119*INDEX($B$163:$S$167,$A119,F$4)</f>
        <v>0</v>
      </c>
      <c r="G173" s="738">
        <f ca="1">Drivers2!$R59*G119/$T119*INDEX($B$163:$S$167,$A119,G$4)</f>
        <v>0</v>
      </c>
      <c r="H173" s="738">
        <f ca="1">Drivers2!$R59*H119/$T119*INDEX($B$163:$S$167,$A119,H$4)</f>
        <v>0</v>
      </c>
      <c r="I173" s="738">
        <f ca="1">Drivers2!$R59*I119/$T119*INDEX($B$163:$S$167,$A119,I$4)</f>
        <v>0</v>
      </c>
      <c r="J173" s="738">
        <f ca="1">Drivers2!$R59*J119/$T119*INDEX($B$163:$S$167,$A119,J$4)</f>
        <v>0</v>
      </c>
      <c r="K173" s="738">
        <f ca="1">Drivers2!$R59*K119/$T119*INDEX($B$163:$S$167,$A119,K$4)</f>
        <v>0</v>
      </c>
      <c r="L173" s="738">
        <f ca="1">Drivers2!$R59*L119/$T119*INDEX($B$163:$S$167,$A119,L$4)</f>
        <v>0</v>
      </c>
      <c r="M173" s="738">
        <f ca="1">Drivers2!$R59*M119/$T119*INDEX($B$163:$S$167,$A119,M$4)</f>
        <v>0</v>
      </c>
      <c r="N173" s="738">
        <f ca="1">Drivers2!$R59*N119/$T119*INDEX($B$163:$S$167,$A119,N$4)</f>
        <v>0</v>
      </c>
      <c r="O173" s="738">
        <f ca="1">Drivers2!$R59*O119/$T119*INDEX($B$163:$S$167,$A119,O$4)</f>
        <v>0</v>
      </c>
      <c r="P173" s="738">
        <f ca="1">Drivers2!$R59*P119/$T119*INDEX($B$163:$S$167,$A119,P$4)</f>
        <v>0</v>
      </c>
      <c r="Q173" s="738">
        <f ca="1">Drivers2!$R59*Q119/$T119*INDEX($B$163:$S$167,$A119,Q$4)</f>
        <v>0</v>
      </c>
      <c r="R173" s="738">
        <f ca="1">Drivers2!$R59*R119/$T119*INDEX($B$163:$S$167,$A119,R$4)</f>
        <v>0</v>
      </c>
      <c r="S173" s="738">
        <f ca="1">Drivers2!$R59*S119/$T119*INDEX($B$163:$S$167,$A119,S$4)</f>
        <v>0</v>
      </c>
      <c r="T173" s="738">
        <f t="shared" si="52"/>
        <v>0</v>
      </c>
      <c r="V173" s="613">
        <f ca="1">VLOOKUP($B173,Drivers2!$E$58:$M$93,9,FALSE)</f>
        <v>0</v>
      </c>
      <c r="W173" s="613" t="s">
        <v>367</v>
      </c>
      <c r="X173" s="613" t="b">
        <f t="shared" ref="X173:X206" si="53">IF(T173&gt;0,V173/T173)</f>
        <v>0</v>
      </c>
    </row>
    <row r="174" spans="1:24" hidden="1">
      <c r="A174" s="613" t="str">
        <f t="shared" si="51"/>
        <v>IIS</v>
      </c>
      <c r="B174" s="613" t="s">
        <v>366</v>
      </c>
      <c r="C174" s="738">
        <f ca="1">Drivers2!$R60*C120/$T120*INDEX($B$163:$S$167,$A120,C$4)</f>
        <v>0</v>
      </c>
      <c r="D174" s="738">
        <f ca="1">Drivers2!$R60*D120/$T120*INDEX($B$163:$S$167,$A120,D$4)</f>
        <v>0</v>
      </c>
      <c r="E174" s="738">
        <f ca="1">Drivers2!$R60*E120/$T120*INDEX($B$163:$S$167,$A120,E$4)</f>
        <v>0</v>
      </c>
      <c r="F174" s="738">
        <f ca="1">Drivers2!$R60*F120/$T120*INDEX($B$163:$S$167,$A120,F$4)</f>
        <v>0</v>
      </c>
      <c r="G174" s="738">
        <f ca="1">Drivers2!$R60*G120/$T120*INDEX($B$163:$S$167,$A120,G$4)</f>
        <v>0</v>
      </c>
      <c r="H174" s="738">
        <f ca="1">Drivers2!$R60*H120/$T120*INDEX($B$163:$S$167,$A120,H$4)</f>
        <v>0</v>
      </c>
      <c r="I174" s="738">
        <f ca="1">Drivers2!$R60*I120/$T120*INDEX($B$163:$S$167,$A120,I$4)</f>
        <v>0</v>
      </c>
      <c r="J174" s="738">
        <f ca="1">Drivers2!$R60*J120/$T120*INDEX($B$163:$S$167,$A120,J$4)</f>
        <v>0</v>
      </c>
      <c r="K174" s="738">
        <f ca="1">Drivers2!$R60*K120/$T120*INDEX($B$163:$S$167,$A120,K$4)</f>
        <v>0</v>
      </c>
      <c r="L174" s="738">
        <f ca="1">Drivers2!$R60*L120/$T120*INDEX($B$163:$S$167,$A120,L$4)</f>
        <v>0</v>
      </c>
      <c r="M174" s="738">
        <f ca="1">Drivers2!$R60*M120/$T120*INDEX($B$163:$S$167,$A120,M$4)</f>
        <v>0</v>
      </c>
      <c r="N174" s="738">
        <f ca="1">Drivers2!$R60*N120/$T120*INDEX($B$163:$S$167,$A120,N$4)</f>
        <v>0</v>
      </c>
      <c r="O174" s="738">
        <f ca="1">Drivers2!$R60*O120/$T120*INDEX($B$163:$S$167,$A120,O$4)</f>
        <v>0</v>
      </c>
      <c r="P174" s="738">
        <f ca="1">Drivers2!$R60*P120/$T120*INDEX($B$163:$S$167,$A120,P$4)</f>
        <v>0</v>
      </c>
      <c r="Q174" s="738">
        <f ca="1">Drivers2!$R60*Q120/$T120*INDEX($B$163:$S$167,$A120,Q$4)</f>
        <v>0</v>
      </c>
      <c r="R174" s="738">
        <f ca="1">Drivers2!$R60*R120/$T120*INDEX($B$163:$S$167,$A120,R$4)</f>
        <v>0</v>
      </c>
      <c r="S174" s="738">
        <f ca="1">Drivers2!$R60*S120/$T120*INDEX($B$163:$S$167,$A120,S$4)</f>
        <v>0</v>
      </c>
      <c r="T174" s="738">
        <f t="shared" si="52"/>
        <v>0</v>
      </c>
      <c r="V174" s="613">
        <f ca="1">VLOOKUP($B174,Drivers2!$E$58:$M$93,9,FALSE)</f>
        <v>0</v>
      </c>
      <c r="W174" s="613" t="s">
        <v>365</v>
      </c>
      <c r="X174" s="613" t="b">
        <f t="shared" si="53"/>
        <v>0</v>
      </c>
    </row>
    <row r="175" spans="1:24" hidden="1">
      <c r="A175" s="613" t="str">
        <f t="shared" si="51"/>
        <v>IIS</v>
      </c>
      <c r="B175" s="613" t="s">
        <v>410</v>
      </c>
      <c r="C175" s="738">
        <f ca="1">Drivers2!$R61*C121/$T121*INDEX($B$163:$S$167,$A121,C$4)</f>
        <v>0</v>
      </c>
      <c r="D175" s="738">
        <f ca="1">Drivers2!$R61*D121/$T121*INDEX($B$163:$S$167,$A121,D$4)</f>
        <v>0</v>
      </c>
      <c r="E175" s="738">
        <f ca="1">Drivers2!$R61*E121/$T121*INDEX($B$163:$S$167,$A121,E$4)</f>
        <v>0</v>
      </c>
      <c r="F175" s="738">
        <f ca="1">Drivers2!$R61*F121/$T121*INDEX($B$163:$S$167,$A121,F$4)</f>
        <v>0</v>
      </c>
      <c r="G175" s="738">
        <f ca="1">Drivers2!$R61*G121/$T121*INDEX($B$163:$S$167,$A121,G$4)</f>
        <v>0</v>
      </c>
      <c r="H175" s="738">
        <f ca="1">Drivers2!$R61*H121/$T121*INDEX($B$163:$S$167,$A121,H$4)</f>
        <v>0</v>
      </c>
      <c r="I175" s="738">
        <f ca="1">Drivers2!$R61*I121/$T121*INDEX($B$163:$S$167,$A121,I$4)</f>
        <v>0</v>
      </c>
      <c r="J175" s="738">
        <f ca="1">Drivers2!$R61*J121/$T121*INDEX($B$163:$S$167,$A121,J$4)</f>
        <v>0</v>
      </c>
      <c r="K175" s="738">
        <f ca="1">Drivers2!$R61*K121/$T121*INDEX($B$163:$S$167,$A121,K$4)</f>
        <v>0</v>
      </c>
      <c r="L175" s="738">
        <f ca="1">Drivers2!$R61*L121/$T121*INDEX($B$163:$S$167,$A121,L$4)</f>
        <v>0</v>
      </c>
      <c r="M175" s="738">
        <f ca="1">Drivers2!$R61*M121/$T121*INDEX($B$163:$S$167,$A121,M$4)</f>
        <v>0</v>
      </c>
      <c r="N175" s="738">
        <f ca="1">Drivers2!$R61*N121/$T121*INDEX($B$163:$S$167,$A121,N$4)</f>
        <v>0</v>
      </c>
      <c r="O175" s="738">
        <f ca="1">Drivers2!$R61*O121/$T121*INDEX($B$163:$S$167,$A121,O$4)</f>
        <v>0</v>
      </c>
      <c r="P175" s="738">
        <f ca="1">Drivers2!$R61*P121/$T121*INDEX($B$163:$S$167,$A121,P$4)</f>
        <v>0</v>
      </c>
      <c r="Q175" s="738">
        <f ca="1">Drivers2!$R61*Q121/$T121*INDEX($B$163:$S$167,$A121,Q$4)</f>
        <v>0</v>
      </c>
      <c r="R175" s="738">
        <f ca="1">Drivers2!$R61*R121/$T121*INDEX($B$163:$S$167,$A121,R$4)</f>
        <v>0</v>
      </c>
      <c r="S175" s="738">
        <f ca="1">Drivers2!$R61*S121/$T121*INDEX($B$163:$S$167,$A121,S$4)</f>
        <v>0</v>
      </c>
      <c r="T175" s="738">
        <f ca="1">SUM(C175:S175)</f>
        <v>0</v>
      </c>
      <c r="V175" s="613">
        <f ca="1">VLOOKUP($B175,Drivers2!$E$58:$M$93,9,FALSE)</f>
        <v>0</v>
      </c>
      <c r="W175" s="613" t="s">
        <v>409</v>
      </c>
      <c r="X175" s="613" t="b">
        <f t="shared" si="53"/>
        <v>0</v>
      </c>
    </row>
    <row r="176" spans="1:24" hidden="1">
      <c r="A176" s="613" t="str">
        <f t="shared" si="51"/>
        <v>IIS</v>
      </c>
      <c r="B176" s="613" t="s">
        <v>1286</v>
      </c>
      <c r="C176" s="738">
        <f ca="1">Drivers2!$R62*C122/$T122*INDEX($B$163:$S$167,$A122,C$4)</f>
        <v>2.8587503415082722E-2</v>
      </c>
      <c r="D176" s="738">
        <f ca="1">Drivers2!$R62*D122/$T122*INDEX($B$163:$S$167,$A122,D$4)</f>
        <v>0</v>
      </c>
      <c r="E176" s="738">
        <f ca="1">Drivers2!$R62*E122/$T122*INDEX($B$163:$S$167,$A122,E$4)</f>
        <v>2.1308463468197786E-2</v>
      </c>
      <c r="F176" s="738">
        <f ca="1">Drivers2!$R62*F122/$T122*INDEX($B$163:$S$167,$A122,F$4)</f>
        <v>0</v>
      </c>
      <c r="G176" s="738">
        <f ca="1">Drivers2!$R62*G122/$T122*INDEX($B$163:$S$167,$A122,G$4)</f>
        <v>0</v>
      </c>
      <c r="H176" s="738">
        <f ca="1">Drivers2!$R62*H122/$T122*INDEX($B$163:$S$167,$A122,H$4)</f>
        <v>0</v>
      </c>
      <c r="I176" s="738">
        <f ca="1">Drivers2!$R62*I122/$T122*INDEX($B$163:$S$167,$A122,I$4)</f>
        <v>0</v>
      </c>
      <c r="J176" s="738">
        <f ca="1">Drivers2!$R62*J122/$T122*INDEX($B$163:$S$167,$A122,J$4)</f>
        <v>0</v>
      </c>
      <c r="K176" s="738">
        <f ca="1">Drivers2!$R62*K122/$T122*INDEX($B$163:$S$167,$A122,K$4)</f>
        <v>0</v>
      </c>
      <c r="L176" s="738">
        <f ca="1">Drivers2!$R62*L122/$T122*INDEX($B$163:$S$167,$A122,L$4)</f>
        <v>0</v>
      </c>
      <c r="M176" s="738">
        <f ca="1">Drivers2!$R62*M122/$T122*INDEX($B$163:$S$167,$A122,M$4)</f>
        <v>0</v>
      </c>
      <c r="N176" s="738">
        <f ca="1">Drivers2!$R62*N122/$T122*INDEX($B$163:$S$167,$A122,N$4)</f>
        <v>0</v>
      </c>
      <c r="O176" s="738">
        <f ca="1">Drivers2!$R62*O122/$T122*INDEX($B$163:$S$167,$A122,O$4)</f>
        <v>0</v>
      </c>
      <c r="P176" s="738">
        <f ca="1">Drivers2!$R62*P122/$T122*INDEX($B$163:$S$167,$A122,P$4)</f>
        <v>0</v>
      </c>
      <c r="Q176" s="738">
        <f ca="1">Drivers2!$R62*Q122/$T122*INDEX($B$163:$S$167,$A122,Q$4)</f>
        <v>0</v>
      </c>
      <c r="R176" s="738">
        <f ca="1">Drivers2!$R62*R122/$T122*INDEX($B$163:$S$167,$A122,R$4)</f>
        <v>0</v>
      </c>
      <c r="S176" s="738">
        <f ca="1">Drivers2!$R62*S122/$T122*INDEX($B$163:$S$167,$A122,S$4)</f>
        <v>0</v>
      </c>
      <c r="T176" s="738">
        <f ca="1">SUM(C176:S176)</f>
        <v>4.9895966883280504E-2</v>
      </c>
      <c r="V176" s="613">
        <f ca="1">VLOOKUP($B176,Drivers2!$E$58:$M$93,9,FALSE)</f>
        <v>5.242811313164987E-2</v>
      </c>
      <c r="W176" s="613" t="s">
        <v>1285</v>
      </c>
      <c r="X176" s="613">
        <f>IF(T176&gt;0,V176/T176)</f>
        <v>1.0507485154920979</v>
      </c>
    </row>
    <row r="177" spans="1:24" hidden="1">
      <c r="A177" s="613" t="str">
        <f t="shared" si="51"/>
        <v>IIS</v>
      </c>
      <c r="B177" s="613" t="s">
        <v>962</v>
      </c>
      <c r="C177" s="738">
        <f ca="1">Drivers2!$R63*C123/$T123*INDEX($B$163:$S$167,$A123,C$4)</f>
        <v>4.4280315532862852E-2</v>
      </c>
      <c r="D177" s="738">
        <f ca="1">Drivers2!$R63*D123/$T123*INDEX($B$163:$S$167,$A123,D$4)</f>
        <v>0</v>
      </c>
      <c r="E177" s="738">
        <f ca="1">Drivers2!$R63*E123/$T123*INDEX($B$163:$S$167,$A123,E$4)</f>
        <v>4.5841003409400442E-3</v>
      </c>
      <c r="F177" s="738">
        <f ca="1">Drivers2!$R63*F123/$T123*INDEX($B$163:$S$167,$A123,F$4)</f>
        <v>0</v>
      </c>
      <c r="G177" s="738">
        <f ca="1">Drivers2!$R63*G123/$T123*INDEX($B$163:$S$167,$A123,G$4)</f>
        <v>0</v>
      </c>
      <c r="H177" s="738">
        <f ca="1">Drivers2!$R63*H123/$T123*INDEX($B$163:$S$167,$A123,H$4)</f>
        <v>0</v>
      </c>
      <c r="I177" s="738">
        <f ca="1">Drivers2!$R63*I123/$T123*INDEX($B$163:$S$167,$A123,I$4)</f>
        <v>0</v>
      </c>
      <c r="J177" s="738">
        <f ca="1">Drivers2!$R63*J123/$T123*INDEX($B$163:$S$167,$A123,J$4)</f>
        <v>0</v>
      </c>
      <c r="K177" s="738">
        <f ca="1">Drivers2!$R63*K123/$T123*INDEX($B$163:$S$167,$A123,K$4)</f>
        <v>0</v>
      </c>
      <c r="L177" s="738">
        <f ca="1">Drivers2!$R63*L123/$T123*INDEX($B$163:$S$167,$A123,L$4)</f>
        <v>0</v>
      </c>
      <c r="M177" s="738">
        <f ca="1">Drivers2!$R63*M123/$T123*INDEX($B$163:$S$167,$A123,M$4)</f>
        <v>6.5234830425659623E-4</v>
      </c>
      <c r="N177" s="738">
        <f ca="1">Drivers2!$R63*N123/$T123*INDEX($B$163:$S$167,$A123,N$4)</f>
        <v>0</v>
      </c>
      <c r="O177" s="738">
        <f ca="1">Drivers2!$R63*O123/$T123*INDEX($B$163:$S$167,$A123,O$4)</f>
        <v>0</v>
      </c>
      <c r="P177" s="738">
        <f ca="1">Drivers2!$R63*P123/$T123*INDEX($B$163:$S$167,$A123,P$4)</f>
        <v>0</v>
      </c>
      <c r="Q177" s="738">
        <f ca="1">Drivers2!$R63*Q123/$T123*INDEX($B$163:$S$167,$A123,Q$4)</f>
        <v>0</v>
      </c>
      <c r="R177" s="738">
        <f ca="1">Drivers2!$R63*R123/$T123*INDEX($B$163:$S$167,$A123,R$4)</f>
        <v>0</v>
      </c>
      <c r="S177" s="738">
        <f ca="1">Drivers2!$R63*S123/$T123*INDEX($B$163:$S$167,$A123,S$4)</f>
        <v>0</v>
      </c>
      <c r="T177" s="738">
        <f t="shared" si="52"/>
        <v>4.9516764178059496E-2</v>
      </c>
      <c r="V177" s="613">
        <f ca="1">VLOOKUP($B177,Drivers2!$E$58:$M$93,9,FALSE)</f>
        <v>5.1837513757911818E-2</v>
      </c>
      <c r="W177" s="613" t="s">
        <v>224</v>
      </c>
      <c r="X177" s="613">
        <f t="shared" si="53"/>
        <v>1.0468679571126061</v>
      </c>
    </row>
    <row r="178" spans="1:24" hidden="1">
      <c r="A178" s="613" t="str">
        <f t="shared" si="51"/>
        <v>IIS</v>
      </c>
      <c r="B178" s="613" t="s">
        <v>963</v>
      </c>
      <c r="C178" s="738">
        <f ca="1">Drivers2!$R64*C124/$T124*INDEX($B$163:$S$167,$A124,C$4)</f>
        <v>0</v>
      </c>
      <c r="D178" s="738">
        <f ca="1">Drivers2!$R64*D124/$T124*INDEX($B$163:$S$167,$A124,D$4)</f>
        <v>1.2999999999999999E-2</v>
      </c>
      <c r="E178" s="738">
        <f ca="1">Drivers2!$R64*E124/$T124*INDEX($B$163:$S$167,$A124,E$4)</f>
        <v>6.1074361908621715E-3</v>
      </c>
      <c r="F178" s="738">
        <f ca="1">Drivers2!$R64*F124/$T124*INDEX($B$163:$S$167,$A124,F$4)</f>
        <v>0</v>
      </c>
      <c r="G178" s="738">
        <f ca="1">Drivers2!$R64*G124/$T124*INDEX($B$163:$S$167,$A124,G$4)</f>
        <v>0</v>
      </c>
      <c r="H178" s="738">
        <f ca="1">Drivers2!$R64*H124/$T124*INDEX($B$163:$S$167,$A124,H$4)</f>
        <v>0</v>
      </c>
      <c r="I178" s="738">
        <f ca="1">Drivers2!$R64*I124/$T124*INDEX($B$163:$S$167,$A124,I$4)</f>
        <v>0</v>
      </c>
      <c r="J178" s="738">
        <f ca="1">Drivers2!$R64*J124/$T124*INDEX($B$163:$S$167,$A124,J$4)</f>
        <v>0</v>
      </c>
      <c r="K178" s="738">
        <f ca="1">Drivers2!$R64*K124/$T124*INDEX($B$163:$S$167,$A124,K$4)</f>
        <v>0</v>
      </c>
      <c r="L178" s="738">
        <f ca="1">Drivers2!$R64*L124/$T124*INDEX($B$163:$S$167,$A124,L$4)</f>
        <v>1.3999999999999999E-2</v>
      </c>
      <c r="M178" s="738">
        <f ca="1">Drivers2!$R64*M124/$T124*INDEX($B$163:$S$167,$A124,M$4)</f>
        <v>3.4765169574340357E-4</v>
      </c>
      <c r="N178" s="738">
        <f ca="1">Drivers2!$R64*N124/$T124*INDEX($B$163:$S$167,$A124,N$4)</f>
        <v>0</v>
      </c>
      <c r="O178" s="738">
        <f ca="1">Drivers2!$R64*O124/$T124*INDEX($B$163:$S$167,$A124,O$4)</f>
        <v>0</v>
      </c>
      <c r="P178" s="738">
        <f ca="1">Drivers2!$R64*P124/$T124*INDEX($B$163:$S$167,$A124,P$4)</f>
        <v>0</v>
      </c>
      <c r="Q178" s="738">
        <f ca="1">Drivers2!$R64*Q124/$T124*INDEX($B$163:$S$167,$A124,Q$4)</f>
        <v>0</v>
      </c>
      <c r="R178" s="738">
        <f ca="1">Drivers2!$R64*R124/$T124*INDEX($B$163:$S$167,$A124,R$4)</f>
        <v>0</v>
      </c>
      <c r="S178" s="738">
        <f ca="1">Drivers2!$R64*S124/$T124*INDEX($B$163:$S$167,$A124,S$4)</f>
        <v>1.1117755853547424E-2</v>
      </c>
      <c r="T178" s="738">
        <f t="shared" si="52"/>
        <v>4.4572843740152995E-2</v>
      </c>
      <c r="V178" s="613">
        <f ca="1">VLOOKUP($B178,Drivers2!$E$58:$M$93,9,FALSE)</f>
        <v>3.9719947911931328E-2</v>
      </c>
      <c r="W178" s="613" t="s">
        <v>223</v>
      </c>
      <c r="X178" s="613">
        <f t="shared" si="53"/>
        <v>0.8911243837949252</v>
      </c>
    </row>
    <row r="179" spans="1:24" hidden="1">
      <c r="A179" s="613" t="str">
        <f t="shared" si="51"/>
        <v>INM</v>
      </c>
      <c r="B179" s="613" t="s">
        <v>964</v>
      </c>
      <c r="C179" s="738">
        <f ca="1">Drivers2!$R65*C125/$T125*INDEX($B$163:$S$167,$A125,C$4)</f>
        <v>0</v>
      </c>
      <c r="D179" s="738">
        <f ca="1">Drivers2!$R65*D125/$T125*INDEX($B$163:$S$167,$A125,D$4)</f>
        <v>0</v>
      </c>
      <c r="E179" s="738">
        <f ca="1">Drivers2!$R65*E125/$T125*INDEX($B$163:$S$167,$A125,E$4)</f>
        <v>0</v>
      </c>
      <c r="F179" s="738">
        <f ca="1">Drivers2!$R65*F125/$T125*INDEX($B$163:$S$167,$A125,F$4)</f>
        <v>0</v>
      </c>
      <c r="G179" s="738">
        <f ca="1">Drivers2!$R65*G125/$T125*INDEX($B$163:$S$167,$A125,G$4)</f>
        <v>0</v>
      </c>
      <c r="H179" s="738">
        <f ca="1">Drivers2!$R65*H125/$T125*INDEX($B$163:$S$167,$A125,H$4)</f>
        <v>0</v>
      </c>
      <c r="I179" s="738">
        <f ca="1">Drivers2!$R65*I125/$T125*INDEX($B$163:$S$167,$A125,I$4)</f>
        <v>0</v>
      </c>
      <c r="J179" s="738">
        <f ca="1">Drivers2!$R65*J125/$T125*INDEX($B$163:$S$167,$A125,J$4)</f>
        <v>0</v>
      </c>
      <c r="K179" s="738">
        <f ca="1">Drivers2!$R65*K125/$T125*INDEX($B$163:$S$167,$A125,K$4)</f>
        <v>0</v>
      </c>
      <c r="L179" s="738">
        <f ca="1">Drivers2!$R65*L125/$T125*INDEX($B$163:$S$167,$A125,L$4)</f>
        <v>0</v>
      </c>
      <c r="M179" s="738">
        <f ca="1">Drivers2!$R65*M125/$T125*INDEX($B$163:$S$167,$A125,M$4)</f>
        <v>0</v>
      </c>
      <c r="N179" s="738">
        <f ca="1">Drivers2!$R65*N125/$T125*INDEX($B$163:$S$167,$A125,N$4)</f>
        <v>0</v>
      </c>
      <c r="O179" s="738">
        <f ca="1">Drivers2!$R65*O125/$T125*INDEX($B$163:$S$167,$A125,O$4)</f>
        <v>0</v>
      </c>
      <c r="P179" s="738">
        <f ca="1">Drivers2!$R65*P125/$T125*INDEX($B$163:$S$167,$A125,P$4)</f>
        <v>0</v>
      </c>
      <c r="Q179" s="738">
        <f ca="1">Drivers2!$R65*Q125/$T125*INDEX($B$163:$S$167,$A125,Q$4)</f>
        <v>0</v>
      </c>
      <c r="R179" s="738">
        <f ca="1">Drivers2!$R65*R125/$T125*INDEX($B$163:$S$167,$A125,R$4)</f>
        <v>0</v>
      </c>
      <c r="S179" s="738">
        <f ca="1">Drivers2!$R65*S125/$T125*INDEX($B$163:$S$167,$A125,S$4)</f>
        <v>0</v>
      </c>
      <c r="T179" s="738">
        <f t="shared" si="52"/>
        <v>0</v>
      </c>
      <c r="V179" s="613">
        <f ca="1">VLOOKUP($B179,Drivers2!$E$58:$M$93,9,FALSE)</f>
        <v>0</v>
      </c>
      <c r="W179" s="613" t="s">
        <v>215</v>
      </c>
      <c r="X179" s="613" t="b">
        <f t="shared" si="53"/>
        <v>0</v>
      </c>
    </row>
    <row r="180" spans="1:24" hidden="1">
      <c r="A180" s="613" t="str">
        <f t="shared" si="51"/>
        <v>INM</v>
      </c>
      <c r="B180" s="613" t="s">
        <v>965</v>
      </c>
      <c r="C180" s="738">
        <f ca="1">Drivers2!$R66*C126/$T126*INDEX($B$163:$S$167,$A126,C$4)</f>
        <v>0</v>
      </c>
      <c r="D180" s="738">
        <f ca="1">Drivers2!$R66*D126/$T126*INDEX($B$163:$S$167,$A126,D$4)</f>
        <v>0</v>
      </c>
      <c r="E180" s="738">
        <f ca="1">Drivers2!$R66*E126/$T126*INDEX($B$163:$S$167,$A126,E$4)</f>
        <v>0</v>
      </c>
      <c r="F180" s="738">
        <f ca="1">Drivers2!$R66*F126/$T126*INDEX($B$163:$S$167,$A126,F$4)</f>
        <v>0</v>
      </c>
      <c r="G180" s="738">
        <f ca="1">Drivers2!$R66*G126/$T126*INDEX($B$163:$S$167,$A126,G$4)</f>
        <v>0</v>
      </c>
      <c r="H180" s="738">
        <f ca="1">Drivers2!$R66*H126/$T126*INDEX($B$163:$S$167,$A126,H$4)</f>
        <v>0</v>
      </c>
      <c r="I180" s="738">
        <f ca="1">Drivers2!$R66*I126/$T126*INDEX($B$163:$S$167,$A126,I$4)</f>
        <v>0</v>
      </c>
      <c r="J180" s="738">
        <f ca="1">Drivers2!$R66*J126/$T126*INDEX($B$163:$S$167,$A126,J$4)</f>
        <v>0</v>
      </c>
      <c r="K180" s="738">
        <f ca="1">Drivers2!$R66*K126/$T126*INDEX($B$163:$S$167,$A126,K$4)</f>
        <v>0</v>
      </c>
      <c r="L180" s="738">
        <f ca="1">Drivers2!$R66*L126/$T126*INDEX($B$163:$S$167,$A126,L$4)</f>
        <v>0</v>
      </c>
      <c r="M180" s="738">
        <f ca="1">Drivers2!$R66*M126/$T126*INDEX($B$163:$S$167,$A126,M$4)</f>
        <v>0</v>
      </c>
      <c r="N180" s="738">
        <f ca="1">Drivers2!$R66*N126/$T126*INDEX($B$163:$S$167,$A126,N$4)</f>
        <v>0</v>
      </c>
      <c r="O180" s="738">
        <f ca="1">Drivers2!$R66*O126/$T126*INDEX($B$163:$S$167,$A126,O$4)</f>
        <v>0</v>
      </c>
      <c r="P180" s="738">
        <f ca="1">Drivers2!$R66*P126/$T126*INDEX($B$163:$S$167,$A126,P$4)</f>
        <v>0</v>
      </c>
      <c r="Q180" s="738">
        <f ca="1">Drivers2!$R66*Q126/$T126*INDEX($B$163:$S$167,$A126,Q$4)</f>
        <v>0</v>
      </c>
      <c r="R180" s="738">
        <f ca="1">Drivers2!$R66*R126/$T126*INDEX($B$163:$S$167,$A126,R$4)</f>
        <v>0</v>
      </c>
      <c r="S180" s="738">
        <f ca="1">Drivers2!$R66*S126/$T126*INDEX($B$163:$S$167,$A126,S$4)</f>
        <v>0</v>
      </c>
      <c r="T180" s="738">
        <f t="shared" si="52"/>
        <v>0</v>
      </c>
      <c r="V180" s="613">
        <f ca="1">VLOOKUP($B180,Drivers2!$E$58:$M$93,9,FALSE)</f>
        <v>0</v>
      </c>
      <c r="W180" s="613" t="s">
        <v>217</v>
      </c>
      <c r="X180" s="613" t="b">
        <f t="shared" si="53"/>
        <v>0</v>
      </c>
    </row>
    <row r="181" spans="1:24" hidden="1">
      <c r="A181" s="613" t="str">
        <f t="shared" si="51"/>
        <v>INM</v>
      </c>
      <c r="B181" s="613" t="s">
        <v>412</v>
      </c>
      <c r="C181" s="738">
        <f ca="1">Drivers2!$R67*C127/$T127*INDEX($B$163:$S$167,$A127,C$4)</f>
        <v>0</v>
      </c>
      <c r="D181" s="738">
        <f ca="1">Drivers2!$R67*D127/$T127*INDEX($B$163:$S$167,$A127,D$4)</f>
        <v>0</v>
      </c>
      <c r="E181" s="738">
        <f ca="1">Drivers2!$R67*E127/$T127*INDEX($B$163:$S$167,$A127,E$4)</f>
        <v>0</v>
      </c>
      <c r="F181" s="738">
        <f ca="1">Drivers2!$R67*F127/$T127*INDEX($B$163:$S$167,$A127,F$4)</f>
        <v>0</v>
      </c>
      <c r="G181" s="738">
        <f ca="1">Drivers2!$R67*G127/$T127*INDEX($B$163:$S$167,$A127,G$4)</f>
        <v>0</v>
      </c>
      <c r="H181" s="738">
        <f ca="1">Drivers2!$R67*H127/$T127*INDEX($B$163:$S$167,$A127,H$4)</f>
        <v>0</v>
      </c>
      <c r="I181" s="738">
        <f ca="1">Drivers2!$R67*I127/$T127*INDEX($B$163:$S$167,$A127,I$4)</f>
        <v>0</v>
      </c>
      <c r="J181" s="738">
        <f ca="1">Drivers2!$R67*J127/$T127*INDEX($B$163:$S$167,$A127,J$4)</f>
        <v>0</v>
      </c>
      <c r="K181" s="738">
        <f ca="1">Drivers2!$R67*K127/$T127*INDEX($B$163:$S$167,$A127,K$4)</f>
        <v>0</v>
      </c>
      <c r="L181" s="738">
        <f ca="1">Drivers2!$R67*L127/$T127*INDEX($B$163:$S$167,$A127,L$4)</f>
        <v>0</v>
      </c>
      <c r="M181" s="738">
        <f ca="1">Drivers2!$R67*M127/$T127*INDEX($B$163:$S$167,$A127,M$4)</f>
        <v>0</v>
      </c>
      <c r="N181" s="738">
        <f ca="1">Drivers2!$R67*N127/$T127*INDEX($B$163:$S$167,$A127,N$4)</f>
        <v>0</v>
      </c>
      <c r="O181" s="738">
        <f ca="1">Drivers2!$R67*O127/$T127*INDEX($B$163:$S$167,$A127,O$4)</f>
        <v>0</v>
      </c>
      <c r="P181" s="738">
        <f ca="1">Drivers2!$R67*P127/$T127*INDEX($B$163:$S$167,$A127,P$4)</f>
        <v>0</v>
      </c>
      <c r="Q181" s="738">
        <f ca="1">Drivers2!$R67*Q127/$T127*INDEX($B$163:$S$167,$A127,Q$4)</f>
        <v>0</v>
      </c>
      <c r="R181" s="738">
        <f ca="1">Drivers2!$R67*R127/$T127*INDEX($B$163:$S$167,$A127,R$4)</f>
        <v>0</v>
      </c>
      <c r="S181" s="738">
        <f ca="1">Drivers2!$R67*S127/$T127*INDEX($B$163:$S$167,$A127,S$4)</f>
        <v>0</v>
      </c>
      <c r="T181" s="738">
        <f ca="1">SUM(C181:S181)</f>
        <v>0</v>
      </c>
      <c r="V181" s="613">
        <f ca="1">VLOOKUP($B181,Drivers2!$E$58:$M$93,9,FALSE)</f>
        <v>0</v>
      </c>
      <c r="W181" s="613" t="s">
        <v>411</v>
      </c>
      <c r="X181" s="613" t="b">
        <f t="shared" si="53"/>
        <v>0</v>
      </c>
    </row>
    <row r="182" spans="1:24" hidden="1">
      <c r="A182" s="613" t="str">
        <f t="shared" si="51"/>
        <v>INM</v>
      </c>
      <c r="B182" s="613" t="s">
        <v>362</v>
      </c>
      <c r="C182" s="738">
        <f ca="1">Drivers2!$R68*C128/$T128*INDEX($B$163:$S$167,$A128,C$4)</f>
        <v>0</v>
      </c>
      <c r="D182" s="738">
        <f ca="1">Drivers2!$R68*D128/$T128*INDEX($B$163:$S$167,$A128,D$4)</f>
        <v>0</v>
      </c>
      <c r="E182" s="738">
        <f ca="1">Drivers2!$R68*E128/$T128*INDEX($B$163:$S$167,$A128,E$4)</f>
        <v>0</v>
      </c>
      <c r="F182" s="738">
        <f ca="1">Drivers2!$R68*F128/$T128*INDEX($B$163:$S$167,$A128,F$4)</f>
        <v>0</v>
      </c>
      <c r="G182" s="738">
        <f ca="1">Drivers2!$R68*G128/$T128*INDEX($B$163:$S$167,$A128,G$4)</f>
        <v>0</v>
      </c>
      <c r="H182" s="738">
        <f ca="1">Drivers2!$R68*H128/$T128*INDEX($B$163:$S$167,$A128,H$4)</f>
        <v>0</v>
      </c>
      <c r="I182" s="738">
        <f ca="1">Drivers2!$R68*I128/$T128*INDEX($B$163:$S$167,$A128,I$4)</f>
        <v>0</v>
      </c>
      <c r="J182" s="738">
        <f ca="1">Drivers2!$R68*J128/$T128*INDEX($B$163:$S$167,$A128,J$4)</f>
        <v>0</v>
      </c>
      <c r="K182" s="738">
        <f ca="1">Drivers2!$R68*K128/$T128*INDEX($B$163:$S$167,$A128,K$4)</f>
        <v>0</v>
      </c>
      <c r="L182" s="738">
        <f ca="1">Drivers2!$R68*L128/$T128*INDEX($B$163:$S$167,$A128,L$4)</f>
        <v>0</v>
      </c>
      <c r="M182" s="738">
        <f ca="1">Drivers2!$R68*M128/$T128*INDEX($B$163:$S$167,$A128,M$4)</f>
        <v>0</v>
      </c>
      <c r="N182" s="738">
        <f ca="1">Drivers2!$R68*N128/$T128*INDEX($B$163:$S$167,$A128,N$4)</f>
        <v>0</v>
      </c>
      <c r="O182" s="738">
        <f ca="1">Drivers2!$R68*O128/$T128*INDEX($B$163:$S$167,$A128,O$4)</f>
        <v>0</v>
      </c>
      <c r="P182" s="738">
        <f ca="1">Drivers2!$R68*P128/$T128*INDEX($B$163:$S$167,$A128,P$4)</f>
        <v>0</v>
      </c>
      <c r="Q182" s="738">
        <f ca="1">Drivers2!$R68*Q128/$T128*INDEX($B$163:$S$167,$A128,Q$4)</f>
        <v>0</v>
      </c>
      <c r="R182" s="738">
        <f ca="1">Drivers2!$R68*R128/$T128*INDEX($B$163:$S$167,$A128,R$4)</f>
        <v>0</v>
      </c>
      <c r="S182" s="738">
        <f ca="1">Drivers2!$R68*S128/$T128*INDEX($B$163:$S$167,$A128,S$4)</f>
        <v>0</v>
      </c>
      <c r="T182" s="738">
        <f t="shared" si="52"/>
        <v>0</v>
      </c>
      <c r="V182" s="613">
        <f ca="1">VLOOKUP($B182,Drivers2!$E$58:$M$93,9,FALSE)</f>
        <v>0</v>
      </c>
      <c r="W182" s="613" t="s">
        <v>361</v>
      </c>
      <c r="X182" s="613" t="b">
        <f t="shared" si="53"/>
        <v>0</v>
      </c>
    </row>
    <row r="183" spans="1:24" hidden="1">
      <c r="A183" s="613" t="str">
        <f t="shared" si="51"/>
        <v>INM</v>
      </c>
      <c r="B183" s="613" t="s">
        <v>364</v>
      </c>
      <c r="C183" s="738">
        <f ca="1">Drivers2!$R69*C129/$T129*INDEX($B$163:$S$167,$A129,C$4)</f>
        <v>0.10680739365295873</v>
      </c>
      <c r="D183" s="738">
        <f ca="1">Drivers2!$R69*D129/$T129*INDEX($B$163:$S$167,$A129,D$4)</f>
        <v>8.0119040889473803E-2</v>
      </c>
      <c r="E183" s="738">
        <f ca="1">Drivers2!$R69*E129/$T129*INDEX($B$163:$S$167,$A129,E$4)</f>
        <v>0</v>
      </c>
      <c r="F183" s="738">
        <f ca="1">Drivers2!$R69*F129/$T129*INDEX($B$163:$S$167,$A129,F$4)</f>
        <v>0</v>
      </c>
      <c r="G183" s="738">
        <f ca="1">Drivers2!$R69*G129/$T129*INDEX($B$163:$S$167,$A129,G$4)</f>
        <v>0.13058205654941901</v>
      </c>
      <c r="H183" s="738">
        <f ca="1">Drivers2!$R69*H129/$T129*INDEX($B$163:$S$167,$A129,H$4)</f>
        <v>0</v>
      </c>
      <c r="I183" s="738">
        <f ca="1">Drivers2!$R69*I129/$T129*INDEX($B$163:$S$167,$A129,I$4)</f>
        <v>0</v>
      </c>
      <c r="J183" s="738">
        <f ca="1">Drivers2!$R69*J129/$T129*INDEX($B$163:$S$167,$A129,J$4)</f>
        <v>0</v>
      </c>
      <c r="K183" s="738">
        <f ca="1">Drivers2!$R69*K129/$T129*INDEX($B$163:$S$167,$A129,K$4)</f>
        <v>0</v>
      </c>
      <c r="L183" s="738">
        <f ca="1">Drivers2!$R69*L129/$T129*INDEX($B$163:$S$167,$A129,L$4)</f>
        <v>1.8374284106692985E-2</v>
      </c>
      <c r="M183" s="738">
        <f ca="1">Drivers2!$R69*M129/$T129*INDEX($B$163:$S$167,$A129,M$4)</f>
        <v>0</v>
      </c>
      <c r="N183" s="738">
        <f ca="1">Drivers2!$R69*N129/$T129*INDEX($B$163:$S$167,$A129,N$4)</f>
        <v>0</v>
      </c>
      <c r="O183" s="738">
        <f ca="1">Drivers2!$R69*O129/$T129*INDEX($B$163:$S$167,$A129,O$4)</f>
        <v>0</v>
      </c>
      <c r="P183" s="738">
        <f ca="1">Drivers2!$R69*P129/$T129*INDEX($B$163:$S$167,$A129,P$4)</f>
        <v>0</v>
      </c>
      <c r="Q183" s="738">
        <f ca="1">Drivers2!$R69*Q129/$T129*INDEX($B$163:$S$167,$A129,Q$4)</f>
        <v>0</v>
      </c>
      <c r="R183" s="738">
        <f ca="1">Drivers2!$R69*R129/$T129*INDEX($B$163:$S$167,$A129,R$4)</f>
        <v>0</v>
      </c>
      <c r="S183" s="738">
        <f ca="1">Drivers2!$R69*S129/$T129*INDEX($B$163:$S$167,$A129,S$4)</f>
        <v>0</v>
      </c>
      <c r="T183" s="738">
        <f t="shared" si="52"/>
        <v>0.33588277519854454</v>
      </c>
      <c r="V183" s="613">
        <f ca="1">VLOOKUP($B183,Drivers2!$E$58:$M$93,9,FALSE)</f>
        <v>0.37099466070040943</v>
      </c>
      <c r="W183" s="613" t="s">
        <v>363</v>
      </c>
      <c r="X183" s="613">
        <f t="shared" si="53"/>
        <v>1.1045361301457326</v>
      </c>
    </row>
    <row r="184" spans="1:24" hidden="1">
      <c r="A184" s="613" t="str">
        <f t="shared" si="51"/>
        <v>INM</v>
      </c>
      <c r="B184" s="613" t="s">
        <v>966</v>
      </c>
      <c r="C184" s="738">
        <f ca="1">Drivers2!$R70*C130/$T130*INDEX($B$163:$S$167,$A130,C$4)</f>
        <v>7.8875065098693228E-2</v>
      </c>
      <c r="D184" s="738">
        <f ca="1">Drivers2!$R70*D130/$T130*INDEX($B$163:$S$167,$A130,D$4)</f>
        <v>0</v>
      </c>
      <c r="E184" s="738">
        <f ca="1">Drivers2!$R70*E130/$T130*INDEX($B$163:$S$167,$A130,E$4)</f>
        <v>8.5303473310795169E-3</v>
      </c>
      <c r="F184" s="738">
        <f ca="1">Drivers2!$R70*F130/$T130*INDEX($B$163:$S$167,$A130,F$4)</f>
        <v>0</v>
      </c>
      <c r="G184" s="738">
        <f ca="1">Drivers2!$R70*G130/$T130*INDEX($B$163:$S$167,$A130,G$4)</f>
        <v>0</v>
      </c>
      <c r="H184" s="738">
        <f ca="1">Drivers2!$R70*H130/$T130*INDEX($B$163:$S$167,$A130,H$4)</f>
        <v>0</v>
      </c>
      <c r="I184" s="738">
        <f ca="1">Drivers2!$R70*I130/$T130*INDEX($B$163:$S$167,$A130,I$4)</f>
        <v>0</v>
      </c>
      <c r="J184" s="738">
        <f ca="1">Drivers2!$R70*J130/$T130*INDEX($B$163:$S$167,$A130,J$4)</f>
        <v>0</v>
      </c>
      <c r="K184" s="738">
        <f ca="1">Drivers2!$R70*K130/$T130*INDEX($B$163:$S$167,$A130,K$4)</f>
        <v>0</v>
      </c>
      <c r="L184" s="738">
        <f ca="1">Drivers2!$R70*L130/$T130*INDEX($B$163:$S$167,$A130,L$4)</f>
        <v>0</v>
      </c>
      <c r="M184" s="738">
        <f ca="1">Drivers2!$R70*M130/$T130*INDEX($B$163:$S$167,$A130,M$4)</f>
        <v>2.4082340133711609E-3</v>
      </c>
      <c r="N184" s="738">
        <f ca="1">Drivers2!$R70*N130/$T130*INDEX($B$163:$S$167,$A130,N$4)</f>
        <v>0</v>
      </c>
      <c r="O184" s="738">
        <f ca="1">Drivers2!$R70*O130/$T130*INDEX($B$163:$S$167,$A130,O$4)</f>
        <v>0</v>
      </c>
      <c r="P184" s="738">
        <f ca="1">Drivers2!$R70*P130/$T130*INDEX($B$163:$S$167,$A130,P$4)</f>
        <v>0</v>
      </c>
      <c r="Q184" s="738">
        <f ca="1">Drivers2!$R70*Q130/$T130*INDEX($B$163:$S$167,$A130,Q$4)</f>
        <v>0</v>
      </c>
      <c r="R184" s="738">
        <f ca="1">Drivers2!$R70*R130/$T130*INDEX($B$163:$S$167,$A130,R$4)</f>
        <v>0</v>
      </c>
      <c r="S184" s="738">
        <f ca="1">Drivers2!$R70*S130/$T130*INDEX($B$163:$S$167,$A130,S$4)</f>
        <v>0</v>
      </c>
      <c r="T184" s="738">
        <f t="shared" si="52"/>
        <v>8.9813646443143907E-2</v>
      </c>
      <c r="V184" s="613">
        <f ca="1">VLOOKUP($B184,Drivers2!$E$58:$M$93,9,FALSE)</f>
        <v>9.6806034975572511E-2</v>
      </c>
      <c r="W184" s="613" t="s">
        <v>239</v>
      </c>
      <c r="X184" s="613">
        <f t="shared" si="53"/>
        <v>1.0778544108756913</v>
      </c>
    </row>
    <row r="185" spans="1:24" hidden="1">
      <c r="A185" s="613" t="str">
        <f t="shared" si="51"/>
        <v>INM</v>
      </c>
      <c r="B185" s="613" t="s">
        <v>967</v>
      </c>
      <c r="C185" s="738">
        <f ca="1">Drivers2!$R71*C131/$T131*INDEX($B$163:$S$167,$A131,C$4)</f>
        <v>0</v>
      </c>
      <c r="D185" s="738">
        <f ca="1">Drivers2!$R71*D131/$T131*INDEX($B$163:$S$167,$A131,D$4)</f>
        <v>9.8809591105261906E-3</v>
      </c>
      <c r="E185" s="738">
        <f ca="1">Drivers2!$R71*E131/$T131*INDEX($B$163:$S$167,$A131,E$4)</f>
        <v>3.646965266892048E-2</v>
      </c>
      <c r="F185" s="738">
        <f ca="1">Drivers2!$R71*F131/$T131*INDEX($B$163:$S$167,$A131,F$4)</f>
        <v>0</v>
      </c>
      <c r="G185" s="738">
        <f ca="1">Drivers2!$R71*G131/$T131*INDEX($B$163:$S$167,$A131,G$4)</f>
        <v>6.4417943450581008E-2</v>
      </c>
      <c r="H185" s="738">
        <f ca="1">Drivers2!$R71*H131/$T131*INDEX($B$163:$S$167,$A131,H$4)</f>
        <v>0</v>
      </c>
      <c r="I185" s="738">
        <f ca="1">Drivers2!$R71*I131/$T131*INDEX($B$163:$S$167,$A131,I$4)</f>
        <v>0</v>
      </c>
      <c r="J185" s="738">
        <f ca="1">Drivers2!$R71*J131/$T131*INDEX($B$163:$S$167,$A131,J$4)</f>
        <v>0</v>
      </c>
      <c r="K185" s="738">
        <f ca="1">Drivers2!$R71*K131/$T131*INDEX($B$163:$S$167,$A131,K$4)</f>
        <v>1E-3</v>
      </c>
      <c r="L185" s="738">
        <f ca="1">Drivers2!$R71*L131/$T131*INDEX($B$163:$S$167,$A131,L$4)</f>
        <v>3.6257158933070107E-3</v>
      </c>
      <c r="M185" s="738">
        <f ca="1">Drivers2!$R71*M131/$T131*INDEX($B$163:$S$167,$A131,M$4)</f>
        <v>2.0591765986628839E-2</v>
      </c>
      <c r="N185" s="738">
        <f ca="1">Drivers2!$R71*N131/$T131*INDEX($B$163:$S$167,$A131,N$4)</f>
        <v>0</v>
      </c>
      <c r="O185" s="738">
        <f ca="1">Drivers2!$R71*O131/$T131*INDEX($B$163:$S$167,$A131,O$4)</f>
        <v>0</v>
      </c>
      <c r="P185" s="738">
        <f ca="1">Drivers2!$R71*P131/$T131*INDEX($B$163:$S$167,$A131,P$4)</f>
        <v>5.3999999999999999E-2</v>
      </c>
      <c r="Q185" s="738">
        <f ca="1">Drivers2!$R71*Q131/$T131*INDEX($B$163:$S$167,$A131,Q$4)</f>
        <v>0.01</v>
      </c>
      <c r="R185" s="738">
        <f ca="1">Drivers2!$R71*R131/$T131*INDEX($B$163:$S$167,$A131,R$4)</f>
        <v>0</v>
      </c>
      <c r="S185" s="738">
        <f ca="1">Drivers2!$R71*S131/$T131*INDEX($B$163:$S$167,$A131,S$4)</f>
        <v>5.7454481064933241E-2</v>
      </c>
      <c r="T185" s="738">
        <f t="shared" si="52"/>
        <v>0.25744051817489677</v>
      </c>
      <c r="V185" s="613">
        <f ca="1">VLOOKUP($B185,Drivers2!$E$58:$M$93,9,FALSE)</f>
        <v>0.21533624414060334</v>
      </c>
      <c r="W185" s="613" t="s">
        <v>240</v>
      </c>
      <c r="X185" s="613">
        <f t="shared" si="53"/>
        <v>0.83645047666626771</v>
      </c>
    </row>
    <row r="186" spans="1:24" hidden="1">
      <c r="A186" s="613" t="str">
        <f t="shared" si="51"/>
        <v>INF</v>
      </c>
      <c r="B186" s="613" t="s">
        <v>259</v>
      </c>
      <c r="C186" s="738">
        <f ca="1">Drivers2!$R72*C132/$T132*INDEX($B$163:$S$167,$A132,C$4)</f>
        <v>0</v>
      </c>
      <c r="D186" s="738">
        <f ca="1">Drivers2!$R72*D132/$T132*INDEX($B$163:$S$167,$A132,D$4)</f>
        <v>0</v>
      </c>
      <c r="E186" s="738">
        <f ca="1">Drivers2!$R72*E132/$T132*INDEX($B$163:$S$167,$A132,E$4)</f>
        <v>0</v>
      </c>
      <c r="F186" s="738">
        <f ca="1">Drivers2!$R72*F132/$T132*INDEX($B$163:$S$167,$A132,F$4)</f>
        <v>0</v>
      </c>
      <c r="G186" s="738">
        <f ca="1">Drivers2!$R72*G132/$T132*INDEX($B$163:$S$167,$A132,G$4)</f>
        <v>0</v>
      </c>
      <c r="H186" s="738">
        <f ca="1">Drivers2!$R72*H132/$T132*INDEX($B$163:$S$167,$A132,H$4)</f>
        <v>0</v>
      </c>
      <c r="I186" s="738">
        <f ca="1">Drivers2!$R72*I132/$T132*INDEX($B$163:$S$167,$A132,I$4)</f>
        <v>0</v>
      </c>
      <c r="J186" s="738">
        <f ca="1">Drivers2!$R72*J132/$T132*INDEX($B$163:$S$167,$A132,J$4)</f>
        <v>0</v>
      </c>
      <c r="K186" s="738">
        <f ca="1">Drivers2!$R72*K132/$T132*INDEX($B$163:$S$167,$A132,K$4)</f>
        <v>0</v>
      </c>
      <c r="L186" s="738">
        <f ca="1">Drivers2!$R72*L132/$T132*INDEX($B$163:$S$167,$A132,L$4)</f>
        <v>0</v>
      </c>
      <c r="M186" s="738">
        <f ca="1">Drivers2!$R72*M132/$T132*INDEX($B$163:$S$167,$A132,M$4)</f>
        <v>0</v>
      </c>
      <c r="N186" s="738">
        <f ca="1">Drivers2!$R72*N132/$T132*INDEX($B$163:$S$167,$A132,N$4)</f>
        <v>0</v>
      </c>
      <c r="O186" s="738">
        <f ca="1">Drivers2!$R72*O132/$T132*INDEX($B$163:$S$167,$A132,O$4)</f>
        <v>0</v>
      </c>
      <c r="P186" s="738">
        <f ca="1">Drivers2!$R72*P132/$T132*INDEX($B$163:$S$167,$A132,P$4)</f>
        <v>0</v>
      </c>
      <c r="Q186" s="738">
        <f ca="1">Drivers2!$R72*Q132/$T132*INDEX($B$163:$S$167,$A132,Q$4)</f>
        <v>0</v>
      </c>
      <c r="R186" s="738">
        <f ca="1">Drivers2!$R72*R132/$T132*INDEX($B$163:$S$167,$A132,R$4)</f>
        <v>0</v>
      </c>
      <c r="S186" s="738">
        <f ca="1">Drivers2!$R72*S132/$T132*INDEX($B$163:$S$167,$A132,S$4)</f>
        <v>0</v>
      </c>
      <c r="T186" s="738">
        <f t="shared" si="52"/>
        <v>0</v>
      </c>
      <c r="V186" s="613">
        <f ca="1">VLOOKUP($B186,Drivers2!$E$58:$M$93,9,FALSE)</f>
        <v>0</v>
      </c>
      <c r="W186" s="613" t="s">
        <v>221</v>
      </c>
      <c r="X186" s="613" t="b">
        <f t="shared" si="53"/>
        <v>0</v>
      </c>
    </row>
    <row r="187" spans="1:24" hidden="1">
      <c r="A187" s="613" t="str">
        <f t="shared" si="51"/>
        <v>INF</v>
      </c>
      <c r="B187" s="613" t="s">
        <v>370</v>
      </c>
      <c r="C187" s="738">
        <f ca="1">Drivers2!$R73*C133/$T133*INDEX($B$163:$S$167,$A133,C$4)</f>
        <v>0</v>
      </c>
      <c r="D187" s="738">
        <f ca="1">Drivers2!$R73*D133/$T133*INDEX($B$163:$S$167,$A133,D$4)</f>
        <v>0</v>
      </c>
      <c r="E187" s="738">
        <f ca="1">Drivers2!$R73*E133/$T133*INDEX($B$163:$S$167,$A133,E$4)</f>
        <v>0</v>
      </c>
      <c r="F187" s="738">
        <f ca="1">Drivers2!$R73*F133/$T133*INDEX($B$163:$S$167,$A133,F$4)</f>
        <v>0</v>
      </c>
      <c r="G187" s="738">
        <f ca="1">Drivers2!$R73*G133/$T133*INDEX($B$163:$S$167,$A133,G$4)</f>
        <v>0</v>
      </c>
      <c r="H187" s="738">
        <f ca="1">Drivers2!$R73*H133/$T133*INDEX($B$163:$S$167,$A133,H$4)</f>
        <v>0</v>
      </c>
      <c r="I187" s="738">
        <f ca="1">Drivers2!$R73*I133/$T133*INDEX($B$163:$S$167,$A133,I$4)</f>
        <v>0</v>
      </c>
      <c r="J187" s="738">
        <f ca="1">Drivers2!$R73*J133/$T133*INDEX($B$163:$S$167,$A133,J$4)</f>
        <v>0</v>
      </c>
      <c r="K187" s="738">
        <f ca="1">Drivers2!$R73*K133/$T133*INDEX($B$163:$S$167,$A133,K$4)</f>
        <v>0</v>
      </c>
      <c r="L187" s="738">
        <f ca="1">Drivers2!$R73*L133/$T133*INDEX($B$163:$S$167,$A133,L$4)</f>
        <v>0</v>
      </c>
      <c r="M187" s="738">
        <f ca="1">Drivers2!$R73*M133/$T133*INDEX($B$163:$S$167,$A133,M$4)</f>
        <v>0</v>
      </c>
      <c r="N187" s="738">
        <f ca="1">Drivers2!$R73*N133/$T133*INDEX($B$163:$S$167,$A133,N$4)</f>
        <v>0</v>
      </c>
      <c r="O187" s="738">
        <f ca="1">Drivers2!$R73*O133/$T133*INDEX($B$163:$S$167,$A133,O$4)</f>
        <v>0</v>
      </c>
      <c r="P187" s="738">
        <f ca="1">Drivers2!$R73*P133/$T133*INDEX($B$163:$S$167,$A133,P$4)</f>
        <v>0</v>
      </c>
      <c r="Q187" s="738">
        <f ca="1">Drivers2!$R73*Q133/$T133*INDEX($B$163:$S$167,$A133,Q$4)</f>
        <v>0</v>
      </c>
      <c r="R187" s="738">
        <f ca="1">Drivers2!$R73*R133/$T133*INDEX($B$163:$S$167,$A133,R$4)</f>
        <v>0</v>
      </c>
      <c r="S187" s="738">
        <f ca="1">Drivers2!$R73*S133/$T133*INDEX($B$163:$S$167,$A133,S$4)</f>
        <v>0</v>
      </c>
      <c r="T187" s="738">
        <f t="shared" si="52"/>
        <v>0</v>
      </c>
      <c r="V187" s="613">
        <f ca="1">VLOOKUP($B187,Drivers2!$E$58:$M$93,9,FALSE)</f>
        <v>0</v>
      </c>
      <c r="W187" s="613" t="s">
        <v>369</v>
      </c>
      <c r="X187" s="613" t="b">
        <f t="shared" si="53"/>
        <v>0</v>
      </c>
    </row>
    <row r="188" spans="1:24" hidden="1">
      <c r="A188" s="613" t="str">
        <f t="shared" si="51"/>
        <v>INF</v>
      </c>
      <c r="B188" s="613" t="s">
        <v>417</v>
      </c>
      <c r="C188" s="738">
        <f ca="1">Drivers2!$R74*C134/$T134*INDEX($B$163:$S$167,$A134,C$4)</f>
        <v>0</v>
      </c>
      <c r="D188" s="738">
        <f ca="1">Drivers2!$R74*D134/$T134*INDEX($B$163:$S$167,$A134,D$4)</f>
        <v>0</v>
      </c>
      <c r="E188" s="738">
        <f ca="1">Drivers2!$R74*E134/$T134*INDEX($B$163:$S$167,$A134,E$4)</f>
        <v>0</v>
      </c>
      <c r="F188" s="738">
        <f ca="1">Drivers2!$R74*F134/$T134*INDEX($B$163:$S$167,$A134,F$4)</f>
        <v>0</v>
      </c>
      <c r="G188" s="738">
        <f ca="1">Drivers2!$R74*G134/$T134*INDEX($B$163:$S$167,$A134,G$4)</f>
        <v>0</v>
      </c>
      <c r="H188" s="738">
        <f ca="1">Drivers2!$R74*H134/$T134*INDEX($B$163:$S$167,$A134,H$4)</f>
        <v>0</v>
      </c>
      <c r="I188" s="738">
        <f ca="1">Drivers2!$R74*I134/$T134*INDEX($B$163:$S$167,$A134,I$4)</f>
        <v>0</v>
      </c>
      <c r="J188" s="738">
        <f ca="1">Drivers2!$R74*J134/$T134*INDEX($B$163:$S$167,$A134,J$4)</f>
        <v>0</v>
      </c>
      <c r="K188" s="738">
        <f ca="1">Drivers2!$R74*K134/$T134*INDEX($B$163:$S$167,$A134,K$4)</f>
        <v>0</v>
      </c>
      <c r="L188" s="738">
        <f ca="1">Drivers2!$R74*L134/$T134*INDEX($B$163:$S$167,$A134,L$4)</f>
        <v>0</v>
      </c>
      <c r="M188" s="738">
        <f ca="1">Drivers2!$R74*M134/$T134*INDEX($B$163:$S$167,$A134,M$4)</f>
        <v>0</v>
      </c>
      <c r="N188" s="738">
        <f ca="1">Drivers2!$R74*N134/$T134*INDEX($B$163:$S$167,$A134,N$4)</f>
        <v>0</v>
      </c>
      <c r="O188" s="738">
        <f ca="1">Drivers2!$R74*O134/$T134*INDEX($B$163:$S$167,$A134,O$4)</f>
        <v>0</v>
      </c>
      <c r="P188" s="738">
        <f ca="1">Drivers2!$R74*P134/$T134*INDEX($B$163:$S$167,$A134,P$4)</f>
        <v>0</v>
      </c>
      <c r="Q188" s="738">
        <f ca="1">Drivers2!$R74*Q134/$T134*INDEX($B$163:$S$167,$A134,Q$4)</f>
        <v>0</v>
      </c>
      <c r="R188" s="738">
        <f ca="1">Drivers2!$R74*R134/$T134*INDEX($B$163:$S$167,$A134,R$4)</f>
        <v>0</v>
      </c>
      <c r="S188" s="738">
        <f ca="1">Drivers2!$R74*S134/$T134*INDEX($B$163:$S$167,$A134,S$4)</f>
        <v>0</v>
      </c>
      <c r="T188" s="738">
        <f t="shared" si="52"/>
        <v>0</v>
      </c>
      <c r="V188" s="613">
        <f ca="1">VLOOKUP($B188,Drivers2!$E$58:$M$93,9,FALSE)</f>
        <v>0</v>
      </c>
      <c r="W188" s="613" t="s">
        <v>404</v>
      </c>
      <c r="X188" s="613" t="b">
        <f t="shared" si="53"/>
        <v>0</v>
      </c>
    </row>
    <row r="189" spans="1:24" hidden="1">
      <c r="A189" s="613" t="str">
        <f t="shared" si="51"/>
        <v>INF</v>
      </c>
      <c r="B189" s="613" t="s">
        <v>418</v>
      </c>
      <c r="C189" s="738">
        <f ca="1">Drivers2!$R75*C135/$T135*INDEX($B$163:$S$167,$A135,C$4)</f>
        <v>1.013990716872851E-2</v>
      </c>
      <c r="D189" s="738">
        <f ca="1">Drivers2!$R75*D135/$T135*INDEX($B$163:$S$167,$A135,D$4)</f>
        <v>6.2456066094593126E-4</v>
      </c>
      <c r="E189" s="738">
        <f ca="1">Drivers2!$R75*E135/$T135*INDEX($B$163:$S$167,$A135,E$4)</f>
        <v>1.754832140445613E-3</v>
      </c>
      <c r="F189" s="738">
        <f ca="1">Drivers2!$R75*F135/$T135*INDEX($B$163:$S$167,$A135,F$4)</f>
        <v>0</v>
      </c>
      <c r="G189" s="738">
        <f ca="1">Drivers2!$R75*G135/$T135*INDEX($B$163:$S$167,$A135,G$4)</f>
        <v>0</v>
      </c>
      <c r="H189" s="738">
        <f ca="1">Drivers2!$R75*H135/$T135*INDEX($B$163:$S$167,$A135,H$4)</f>
        <v>0</v>
      </c>
      <c r="I189" s="738">
        <f ca="1">Drivers2!$R75*I135/$T135*INDEX($B$163:$S$167,$A135,I$4)</f>
        <v>0</v>
      </c>
      <c r="J189" s="738">
        <f ca="1">Drivers2!$R75*J135/$T135*INDEX($B$163:$S$167,$A135,J$4)</f>
        <v>0</v>
      </c>
      <c r="K189" s="738">
        <f ca="1">Drivers2!$R75*K135/$T135*INDEX($B$163:$S$167,$A135,K$4)</f>
        <v>0</v>
      </c>
      <c r="L189" s="738">
        <f ca="1">Drivers2!$R75*L135/$T135*INDEX($B$163:$S$167,$A135,L$4)</f>
        <v>3.7407502108978306E-3</v>
      </c>
      <c r="M189" s="738">
        <f ca="1">Drivers2!$R75*M135/$T135*INDEX($B$163:$S$167,$A135,M$4)</f>
        <v>0</v>
      </c>
      <c r="N189" s="738">
        <f ca="1">Drivers2!$R75*N135/$T135*INDEX($B$163:$S$167,$A135,N$4)</f>
        <v>0</v>
      </c>
      <c r="O189" s="738">
        <f ca="1">Drivers2!$R75*O135/$T135*INDEX($B$163:$S$167,$A135,O$4)</f>
        <v>0</v>
      </c>
      <c r="P189" s="738">
        <f ca="1">Drivers2!$R75*P135/$T135*INDEX($B$163:$S$167,$A135,P$4)</f>
        <v>0</v>
      </c>
      <c r="Q189" s="738">
        <f ca="1">Drivers2!$R75*Q135/$T135*INDEX($B$163:$S$167,$A135,Q$4)</f>
        <v>0</v>
      </c>
      <c r="R189" s="738">
        <f ca="1">Drivers2!$R75*R135/$T135*INDEX($B$163:$S$167,$A135,R$4)</f>
        <v>0</v>
      </c>
      <c r="S189" s="738">
        <f ca="1">Drivers2!$R75*S135/$T135*INDEX($B$163:$S$167,$A135,S$4)</f>
        <v>0</v>
      </c>
      <c r="T189" s="738">
        <f t="shared" si="52"/>
        <v>1.6260050181017886E-2</v>
      </c>
      <c r="V189" s="613">
        <f ca="1">VLOOKUP($B189,Drivers2!$E$58:$M$93,9,FALSE)</f>
        <v>1.8829297533419453E-2</v>
      </c>
      <c r="W189" s="613" t="s">
        <v>405</v>
      </c>
      <c r="X189" s="613">
        <f t="shared" si="53"/>
        <v>1.1580098046315335</v>
      </c>
    </row>
    <row r="190" spans="1:24" hidden="1">
      <c r="A190" s="613" t="str">
        <f t="shared" si="51"/>
        <v>INF</v>
      </c>
      <c r="B190" s="613" t="s">
        <v>968</v>
      </c>
      <c r="C190" s="738">
        <f ca="1">Drivers2!$R76*C136/$T136*INDEX($B$163:$S$167,$A136,C$4)</f>
        <v>6.2727911779217077E-2</v>
      </c>
      <c r="D190" s="738">
        <f ca="1">Drivers2!$R76*D136/$T136*INDEX($B$163:$S$167,$A136,D$4)</f>
        <v>0</v>
      </c>
      <c r="E190" s="738">
        <f ca="1">Drivers2!$R76*E136/$T136*INDEX($B$163:$S$167,$A136,E$4)</f>
        <v>2.0144811221675832E-3</v>
      </c>
      <c r="F190" s="738">
        <f ca="1">Drivers2!$R76*F136/$T136*INDEX($B$163:$S$167,$A136,F$4)</f>
        <v>0</v>
      </c>
      <c r="G190" s="738">
        <f ca="1">Drivers2!$R76*G136/$T136*INDEX($B$163:$S$167,$A136,G$4)</f>
        <v>0</v>
      </c>
      <c r="H190" s="738">
        <f ca="1">Drivers2!$R76*H136/$T136*INDEX($B$163:$S$167,$A136,H$4)</f>
        <v>0</v>
      </c>
      <c r="I190" s="738">
        <f ca="1">Drivers2!$R76*I136/$T136*INDEX($B$163:$S$167,$A136,I$4)</f>
        <v>0</v>
      </c>
      <c r="J190" s="738">
        <f ca="1">Drivers2!$R76*J136/$T136*INDEX($B$163:$S$167,$A136,J$4)</f>
        <v>0</v>
      </c>
      <c r="K190" s="738">
        <f ca="1">Drivers2!$R76*K136/$T136*INDEX($B$163:$S$167,$A136,K$4)</f>
        <v>0</v>
      </c>
      <c r="L190" s="738">
        <f ca="1">Drivers2!$R76*L136/$T136*INDEX($B$163:$S$167,$A136,L$4)</f>
        <v>0</v>
      </c>
      <c r="M190" s="738">
        <f ca="1">Drivers2!$R76*M136/$T136*INDEX($B$163:$S$167,$A136,M$4)</f>
        <v>0</v>
      </c>
      <c r="N190" s="738">
        <f ca="1">Drivers2!$R76*N136/$T136*INDEX($B$163:$S$167,$A136,N$4)</f>
        <v>0</v>
      </c>
      <c r="O190" s="738">
        <f ca="1">Drivers2!$R76*O136/$T136*INDEX($B$163:$S$167,$A136,O$4)</f>
        <v>0</v>
      </c>
      <c r="P190" s="738">
        <f ca="1">Drivers2!$R76*P136/$T136*INDEX($B$163:$S$167,$A136,P$4)</f>
        <v>0</v>
      </c>
      <c r="Q190" s="738">
        <f ca="1">Drivers2!$R76*Q136/$T136*INDEX($B$163:$S$167,$A136,Q$4)</f>
        <v>0</v>
      </c>
      <c r="R190" s="738">
        <f ca="1">Drivers2!$R76*R136/$T136*INDEX($B$163:$S$167,$A136,R$4)</f>
        <v>0</v>
      </c>
      <c r="S190" s="738">
        <f ca="1">Drivers2!$R76*S136/$T136*INDEX($B$163:$S$167,$A136,S$4)</f>
        <v>0</v>
      </c>
      <c r="T190" s="738">
        <f t="shared" si="52"/>
        <v>6.4742392901384657E-2</v>
      </c>
      <c r="V190" s="613">
        <f ca="1">VLOOKUP($B190,Drivers2!$E$58:$M$93,9,FALSE)</f>
        <v>6.9297968750432717E-2</v>
      </c>
      <c r="W190" s="613" t="s">
        <v>235</v>
      </c>
      <c r="X190" s="613">
        <f t="shared" si="53"/>
        <v>1.0703646505001305</v>
      </c>
    </row>
    <row r="191" spans="1:24" hidden="1">
      <c r="A191" s="613" t="str">
        <f t="shared" si="51"/>
        <v>INF</v>
      </c>
      <c r="B191" s="613" t="s">
        <v>969</v>
      </c>
      <c r="C191" s="738">
        <f ca="1">Drivers2!$R77*C137/$T137*INDEX($B$163:$S$167,$A137,C$4)</f>
        <v>0</v>
      </c>
      <c r="D191" s="738">
        <f ca="1">Drivers2!$R77*D137/$T137*INDEX($B$163:$S$167,$A137,D$4)</f>
        <v>3.7543933905406882E-4</v>
      </c>
      <c r="E191" s="738">
        <f ca="1">Drivers2!$R77*E137/$T137*INDEX($B$163:$S$167,$A137,E$4)</f>
        <v>1.2306867373868041E-3</v>
      </c>
      <c r="F191" s="738">
        <f ca="1">Drivers2!$R77*F137/$T137*INDEX($B$163:$S$167,$A137,F$4)</f>
        <v>0</v>
      </c>
      <c r="G191" s="738">
        <f ca="1">Drivers2!$R77*G137/$T137*INDEX($B$163:$S$167,$A137,G$4)</f>
        <v>0</v>
      </c>
      <c r="H191" s="738">
        <f ca="1">Drivers2!$R77*H137/$T137*INDEX($B$163:$S$167,$A137,H$4)</f>
        <v>0</v>
      </c>
      <c r="I191" s="738">
        <f ca="1">Drivers2!$R77*I137/$T137*INDEX($B$163:$S$167,$A137,I$4)</f>
        <v>0</v>
      </c>
      <c r="J191" s="738">
        <f ca="1">Drivers2!$R77*J137/$T137*INDEX($B$163:$S$167,$A137,J$4)</f>
        <v>0</v>
      </c>
      <c r="K191" s="738">
        <f ca="1">Drivers2!$R77*K137/$T137*INDEX($B$163:$S$167,$A137,K$4)</f>
        <v>0</v>
      </c>
      <c r="L191" s="738">
        <f ca="1">Drivers2!$R77*L137/$T137*INDEX($B$163:$S$167,$A137,L$4)</f>
        <v>1.2592497891021702E-3</v>
      </c>
      <c r="M191" s="738">
        <f ca="1">Drivers2!$R77*M137/$T137*INDEX($B$163:$S$167,$A137,M$4)</f>
        <v>2.9999999999999996E-3</v>
      </c>
      <c r="N191" s="738">
        <f ca="1">Drivers2!$R77*N137/$T137*INDEX($B$163:$S$167,$A137,N$4)</f>
        <v>0</v>
      </c>
      <c r="O191" s="738">
        <f ca="1">Drivers2!$R77*O137/$T137*INDEX($B$163:$S$167,$A137,O$4)</f>
        <v>0</v>
      </c>
      <c r="P191" s="738">
        <f ca="1">Drivers2!$R77*P137/$T137*INDEX($B$163:$S$167,$A137,P$4)</f>
        <v>0</v>
      </c>
      <c r="Q191" s="738">
        <f ca="1">Drivers2!$R77*Q137/$T137*INDEX($B$163:$S$167,$A137,Q$4)</f>
        <v>4.0000000000000001E-3</v>
      </c>
      <c r="R191" s="738">
        <f ca="1">Drivers2!$R77*R137/$T137*INDEX($B$163:$S$167,$A137,R$4)</f>
        <v>0</v>
      </c>
      <c r="S191" s="738">
        <f ca="1">Drivers2!$R77*S137/$T137*INDEX($B$163:$S$167,$A137,S$4)</f>
        <v>2.9549354284702706E-2</v>
      </c>
      <c r="T191" s="738">
        <f t="shared" si="52"/>
        <v>3.9414730150245748E-2</v>
      </c>
      <c r="V191" s="613">
        <f ca="1">VLOOKUP($B191,Drivers2!$E$58:$M$93,9,FALSE)</f>
        <v>3.2289906948796111E-2</v>
      </c>
      <c r="W191" s="613" t="s">
        <v>236</v>
      </c>
      <c r="X191" s="613">
        <f t="shared" si="53"/>
        <v>0.81923450511292628</v>
      </c>
    </row>
    <row r="192" spans="1:24" hidden="1">
      <c r="A192" s="613" t="str">
        <f t="shared" si="51"/>
        <v>ICH</v>
      </c>
      <c r="B192" s="613" t="s">
        <v>360</v>
      </c>
      <c r="C192" s="738">
        <f ca="1">Drivers2!$R78*C138/$T138*INDEX($B$163:$S$167,$A138,C$4)</f>
        <v>0</v>
      </c>
      <c r="D192" s="738">
        <f ca="1">Drivers2!$R78*D138/$T138*INDEX($B$163:$S$167,$A138,D$4)</f>
        <v>0</v>
      </c>
      <c r="E192" s="738">
        <f ca="1">Drivers2!$R78*E138/$T138*INDEX($B$163:$S$167,$A138,E$4)</f>
        <v>0</v>
      </c>
      <c r="F192" s="738">
        <f ca="1">Drivers2!$R78*F138/$T138*INDEX($B$163:$S$167,$A138,F$4)</f>
        <v>0</v>
      </c>
      <c r="G192" s="738">
        <f ca="1">Drivers2!$R78*G138/$T138*INDEX($B$163:$S$167,$A138,G$4)</f>
        <v>0</v>
      </c>
      <c r="H192" s="738">
        <f ca="1">Drivers2!$R78*H138/$T138*INDEX($B$163:$S$167,$A138,H$4)</f>
        <v>0</v>
      </c>
      <c r="I192" s="738">
        <f ca="1">Drivers2!$R78*I138/$T138*INDEX($B$163:$S$167,$A138,I$4)</f>
        <v>0</v>
      </c>
      <c r="J192" s="738">
        <f ca="1">Drivers2!$R78*J138/$T138*INDEX($B$163:$S$167,$A138,J$4)</f>
        <v>0</v>
      </c>
      <c r="K192" s="738">
        <f ca="1">Drivers2!$R78*K138/$T138*INDEX($B$163:$S$167,$A138,K$4)</f>
        <v>0</v>
      </c>
      <c r="L192" s="738">
        <f ca="1">Drivers2!$R78*L138/$T138*INDEX($B$163:$S$167,$A138,L$4)</f>
        <v>0</v>
      </c>
      <c r="M192" s="738">
        <f ca="1">Drivers2!$R78*M138/$T138*INDEX($B$163:$S$167,$A138,M$4)</f>
        <v>0</v>
      </c>
      <c r="N192" s="738">
        <f ca="1">Drivers2!$R78*N138/$T138*INDEX($B$163:$S$167,$A138,N$4)</f>
        <v>0</v>
      </c>
      <c r="O192" s="738">
        <f ca="1">Drivers2!$R78*O138/$T138*INDEX($B$163:$S$167,$A138,O$4)</f>
        <v>0</v>
      </c>
      <c r="P192" s="738">
        <f ca="1">Drivers2!$R78*P138/$T138*INDEX($B$163:$S$167,$A138,P$4)</f>
        <v>0</v>
      </c>
      <c r="Q192" s="738">
        <f ca="1">Drivers2!$R78*Q138/$T138*INDEX($B$163:$S$167,$A138,Q$4)</f>
        <v>0</v>
      </c>
      <c r="R192" s="738">
        <f ca="1">Drivers2!$R78*R138/$T138*INDEX($B$163:$S$167,$A138,R$4)</f>
        <v>0</v>
      </c>
      <c r="S192" s="738">
        <f ca="1">Drivers2!$R78*S138/$T138*INDEX($B$163:$S$167,$A138,S$4)</f>
        <v>0</v>
      </c>
      <c r="T192" s="738">
        <f t="shared" si="52"/>
        <v>0</v>
      </c>
      <c r="V192" s="613">
        <f ca="1">VLOOKUP($B192,Drivers2!$E$58:$M$93,9,FALSE)</f>
        <v>0</v>
      </c>
      <c r="W192" s="613" t="s">
        <v>359</v>
      </c>
      <c r="X192" s="613" t="b">
        <f t="shared" si="53"/>
        <v>0</v>
      </c>
    </row>
    <row r="193" spans="1:24" hidden="1">
      <c r="A193" s="613" t="str">
        <f t="shared" si="51"/>
        <v>ICH</v>
      </c>
      <c r="B193" s="613" t="s">
        <v>972</v>
      </c>
      <c r="C193" s="738">
        <f ca="1">Drivers2!$R79*C139/$T139*INDEX($B$163:$S$167,$A139,C$4)</f>
        <v>0</v>
      </c>
      <c r="D193" s="738">
        <f ca="1">Drivers2!$R79*D139/$T139*INDEX($B$163:$S$167,$A139,D$4)</f>
        <v>0</v>
      </c>
      <c r="E193" s="738">
        <f ca="1">Drivers2!$R79*E139/$T139*INDEX($B$163:$S$167,$A139,E$4)</f>
        <v>0</v>
      </c>
      <c r="F193" s="738">
        <f ca="1">Drivers2!$R79*F139/$T139*INDEX($B$163:$S$167,$A139,F$4)</f>
        <v>0</v>
      </c>
      <c r="G193" s="738">
        <f ca="1">Drivers2!$R79*G139/$T139*INDEX($B$163:$S$167,$A139,G$4)</f>
        <v>0</v>
      </c>
      <c r="H193" s="738">
        <f ca="1">Drivers2!$R79*H139/$T139*INDEX($B$163:$S$167,$A139,H$4)</f>
        <v>0</v>
      </c>
      <c r="I193" s="738">
        <f ca="1">Drivers2!$R79*I139/$T139*INDEX($B$163:$S$167,$A139,I$4)</f>
        <v>0</v>
      </c>
      <c r="J193" s="738">
        <f ca="1">Drivers2!$R79*J139/$T139*INDEX($B$163:$S$167,$A139,J$4)</f>
        <v>0</v>
      </c>
      <c r="K193" s="738">
        <f ca="1">Drivers2!$R79*K139/$T139*INDEX($B$163:$S$167,$A139,K$4)</f>
        <v>0</v>
      </c>
      <c r="L193" s="738">
        <f ca="1">Drivers2!$R79*L139/$T139*INDEX($B$163:$S$167,$A139,L$4)</f>
        <v>0</v>
      </c>
      <c r="M193" s="738">
        <f ca="1">Drivers2!$R79*M139/$T139*INDEX($B$163:$S$167,$A139,M$4)</f>
        <v>0</v>
      </c>
      <c r="N193" s="738">
        <f ca="1">Drivers2!$R79*N139/$T139*INDEX($B$163:$S$167,$A139,N$4)</f>
        <v>0</v>
      </c>
      <c r="O193" s="738">
        <f ca="1">Drivers2!$R79*O139/$T139*INDEX($B$163:$S$167,$A139,O$4)</f>
        <v>0</v>
      </c>
      <c r="P193" s="738">
        <f ca="1">Drivers2!$R79*P139/$T139*INDEX($B$163:$S$167,$A139,P$4)</f>
        <v>0</v>
      </c>
      <c r="Q193" s="738">
        <f ca="1">Drivers2!$R79*Q139/$T139*INDEX($B$163:$S$167,$A139,Q$4)</f>
        <v>0</v>
      </c>
      <c r="R193" s="738">
        <f ca="1">Drivers2!$R79*R139/$T139*INDEX($B$163:$S$167,$A139,R$4)</f>
        <v>0</v>
      </c>
      <c r="S193" s="738">
        <f ca="1">Drivers2!$R79*S139/$T139*INDEX($B$163:$S$167,$A139,S$4)</f>
        <v>0</v>
      </c>
      <c r="T193" s="738">
        <f t="shared" si="52"/>
        <v>0</v>
      </c>
      <c r="V193" s="613">
        <f ca="1">VLOOKUP($B193,Drivers2!$E$58:$M$93,9,FALSE)</f>
        <v>0</v>
      </c>
      <c r="W193" s="613" t="s">
        <v>253</v>
      </c>
      <c r="X193" s="613" t="b">
        <f t="shared" si="53"/>
        <v>0</v>
      </c>
    </row>
    <row r="194" spans="1:24" hidden="1">
      <c r="A194" s="613" t="str">
        <f t="shared" si="51"/>
        <v>ICH</v>
      </c>
      <c r="B194" s="613" t="s">
        <v>358</v>
      </c>
      <c r="C194" s="738">
        <f ca="1">Drivers2!$R80*C140/$T140*INDEX($B$163:$S$167,$A140,C$4)</f>
        <v>0</v>
      </c>
      <c r="D194" s="738">
        <f ca="1">Drivers2!$R80*D140/$T140*INDEX($B$163:$S$167,$A140,D$4)</f>
        <v>0</v>
      </c>
      <c r="E194" s="738">
        <f ca="1">Drivers2!$R80*E140/$T140*INDEX($B$163:$S$167,$A140,E$4)</f>
        <v>0</v>
      </c>
      <c r="F194" s="738">
        <f ca="1">Drivers2!$R80*F140/$T140*INDEX($B$163:$S$167,$A140,F$4)</f>
        <v>0</v>
      </c>
      <c r="G194" s="738">
        <f ca="1">Drivers2!$R80*G140/$T140*INDEX($B$163:$S$167,$A140,G$4)</f>
        <v>0</v>
      </c>
      <c r="H194" s="738">
        <f ca="1">Drivers2!$R80*H140/$T140*INDEX($B$163:$S$167,$A140,H$4)</f>
        <v>0</v>
      </c>
      <c r="I194" s="738">
        <f ca="1">Drivers2!$R80*I140/$T140*INDEX($B$163:$S$167,$A140,I$4)</f>
        <v>0</v>
      </c>
      <c r="J194" s="738">
        <f ca="1">Drivers2!$R80*J140/$T140*INDEX($B$163:$S$167,$A140,J$4)</f>
        <v>0</v>
      </c>
      <c r="K194" s="738">
        <f ca="1">Drivers2!$R80*K140/$T140*INDEX($B$163:$S$167,$A140,K$4)</f>
        <v>0</v>
      </c>
      <c r="L194" s="738">
        <f ca="1">Drivers2!$R80*L140/$T140*INDEX($B$163:$S$167,$A140,L$4)</f>
        <v>0</v>
      </c>
      <c r="M194" s="738">
        <f ca="1">Drivers2!$R80*M140/$T140*INDEX($B$163:$S$167,$A140,M$4)</f>
        <v>0</v>
      </c>
      <c r="N194" s="738">
        <f ca="1">Drivers2!$R80*N140/$T140*INDEX($B$163:$S$167,$A140,N$4)</f>
        <v>0</v>
      </c>
      <c r="O194" s="738">
        <f ca="1">Drivers2!$R80*O140/$T140*INDEX($B$163:$S$167,$A140,O$4)</f>
        <v>0</v>
      </c>
      <c r="P194" s="738">
        <f ca="1">Drivers2!$R80*P140/$T140*INDEX($B$163:$S$167,$A140,P$4)</f>
        <v>0</v>
      </c>
      <c r="Q194" s="738">
        <f ca="1">Drivers2!$R80*Q140/$T140*INDEX($B$163:$S$167,$A140,Q$4)</f>
        <v>0</v>
      </c>
      <c r="R194" s="738">
        <f ca="1">Drivers2!$R80*R140/$T140*INDEX($B$163:$S$167,$A140,R$4)</f>
        <v>0</v>
      </c>
      <c r="S194" s="738">
        <f ca="1">Drivers2!$R80*S140/$T140*INDEX($B$163:$S$167,$A140,S$4)</f>
        <v>0</v>
      </c>
      <c r="T194" s="738">
        <f t="shared" si="52"/>
        <v>0</v>
      </c>
      <c r="V194" s="613">
        <f ca="1">VLOOKUP($B194,Drivers2!$E$58:$M$93,9,FALSE)</f>
        <v>0</v>
      </c>
      <c r="W194" s="613" t="s">
        <v>357</v>
      </c>
      <c r="X194" s="613" t="b">
        <f t="shared" si="53"/>
        <v>0</v>
      </c>
    </row>
    <row r="195" spans="1:24" hidden="1">
      <c r="A195" s="613" t="str">
        <f t="shared" si="51"/>
        <v>ICH</v>
      </c>
      <c r="B195" s="613" t="s">
        <v>541</v>
      </c>
      <c r="C195" s="738">
        <f ca="1">Drivers2!$R81*C141/$T141*INDEX($B$163:$S$167,$A141,C$4)</f>
        <v>0</v>
      </c>
      <c r="D195" s="738">
        <f ca="1">Drivers2!$R81*D141/$T141*INDEX($B$163:$S$167,$A141,D$4)</f>
        <v>0</v>
      </c>
      <c r="E195" s="738">
        <f ca="1">Drivers2!$R81*E141/$T141*INDEX($B$163:$S$167,$A141,E$4)</f>
        <v>0</v>
      </c>
      <c r="F195" s="738">
        <f ca="1">Drivers2!$R81*F141/$T141*INDEX($B$163:$S$167,$A141,F$4)</f>
        <v>0</v>
      </c>
      <c r="G195" s="738">
        <f ca="1">Drivers2!$R81*G141/$T141*INDEX($B$163:$S$167,$A141,G$4)</f>
        <v>0</v>
      </c>
      <c r="H195" s="738">
        <f ca="1">Drivers2!$R81*H141/$T141*INDEX($B$163:$S$167,$A141,H$4)</f>
        <v>0</v>
      </c>
      <c r="I195" s="738">
        <f ca="1">Drivers2!$R81*I141/$T141*INDEX($B$163:$S$167,$A141,I$4)</f>
        <v>0</v>
      </c>
      <c r="J195" s="738">
        <f ca="1">Drivers2!$R81*J141/$T141*INDEX($B$163:$S$167,$A141,J$4)</f>
        <v>0</v>
      </c>
      <c r="K195" s="738">
        <f ca="1">Drivers2!$R81*K141/$T141*INDEX($B$163:$S$167,$A141,K$4)</f>
        <v>0</v>
      </c>
      <c r="L195" s="738">
        <f ca="1">Drivers2!$R81*L141/$T141*INDEX($B$163:$S$167,$A141,L$4)</f>
        <v>0</v>
      </c>
      <c r="M195" s="738">
        <f ca="1">Drivers2!$R81*M141/$T141*INDEX($B$163:$S$167,$A141,M$4)</f>
        <v>0</v>
      </c>
      <c r="N195" s="738">
        <f ca="1">Drivers2!$R81*N141/$T141*INDEX($B$163:$S$167,$A141,N$4)</f>
        <v>0</v>
      </c>
      <c r="O195" s="738">
        <f ca="1">Drivers2!$R81*O141/$T141*INDEX($B$163:$S$167,$A141,O$4)</f>
        <v>0</v>
      </c>
      <c r="P195" s="738">
        <f ca="1">Drivers2!$R81*P141/$T141*INDEX($B$163:$S$167,$A141,P$4)</f>
        <v>0</v>
      </c>
      <c r="Q195" s="738">
        <f ca="1">Drivers2!$R81*Q141/$T141*INDEX($B$163:$S$167,$A141,Q$4)</f>
        <v>0</v>
      </c>
      <c r="R195" s="738">
        <f ca="1">Drivers2!$R81*R141/$T141*INDEX($B$163:$S$167,$A141,R$4)</f>
        <v>0</v>
      </c>
      <c r="S195" s="738">
        <f ca="1">Drivers2!$R81*S141/$T141*INDEX($B$163:$S$167,$A141,S$4)</f>
        <v>0</v>
      </c>
      <c r="T195" s="738">
        <f ca="1">SUM(C195:S195)</f>
        <v>0</v>
      </c>
      <c r="V195" s="613">
        <f ca="1">VLOOKUP($B195,Drivers2!$E$58:$M$93,9,FALSE)</f>
        <v>0</v>
      </c>
      <c r="W195" s="613" t="s">
        <v>540</v>
      </c>
      <c r="X195" s="613" t="b">
        <f t="shared" si="53"/>
        <v>0</v>
      </c>
    </row>
    <row r="196" spans="1:24" hidden="1">
      <c r="A196" s="613" t="str">
        <f t="shared" si="51"/>
        <v>ICH</v>
      </c>
      <c r="B196" s="613" t="s">
        <v>356</v>
      </c>
      <c r="C196" s="738">
        <f ca="1">Drivers2!$R82*C142/$T142*INDEX($B$163:$S$167,$A142,C$4)</f>
        <v>0</v>
      </c>
      <c r="D196" s="738">
        <f ca="1">Drivers2!$R82*D142/$T142*INDEX($B$163:$S$167,$A142,D$4)</f>
        <v>0</v>
      </c>
      <c r="E196" s="738">
        <f ca="1">Drivers2!$R82*E142/$T142*INDEX($B$163:$S$167,$A142,E$4)</f>
        <v>0</v>
      </c>
      <c r="F196" s="738">
        <f ca="1">Drivers2!$R82*F142/$T142*INDEX($B$163:$S$167,$A142,F$4)</f>
        <v>0</v>
      </c>
      <c r="G196" s="738">
        <f ca="1">Drivers2!$R82*G142/$T142*INDEX($B$163:$S$167,$A142,G$4)</f>
        <v>0</v>
      </c>
      <c r="H196" s="738">
        <f ca="1">Drivers2!$R82*H142/$T142*INDEX($B$163:$S$167,$A142,H$4)</f>
        <v>0</v>
      </c>
      <c r="I196" s="738">
        <f ca="1">Drivers2!$R82*I142/$T142*INDEX($B$163:$S$167,$A142,I$4)</f>
        <v>0</v>
      </c>
      <c r="J196" s="738">
        <f ca="1">Drivers2!$R82*J142/$T142*INDEX($B$163:$S$167,$A142,J$4)</f>
        <v>0</v>
      </c>
      <c r="K196" s="738">
        <f ca="1">Drivers2!$R82*K142/$T142*INDEX($B$163:$S$167,$A142,K$4)</f>
        <v>0</v>
      </c>
      <c r="L196" s="738">
        <f ca="1">Drivers2!$R82*L142/$T142*INDEX($B$163:$S$167,$A142,L$4)</f>
        <v>0</v>
      </c>
      <c r="M196" s="738">
        <f ca="1">Drivers2!$R82*M142/$T142*INDEX($B$163:$S$167,$A142,M$4)</f>
        <v>0</v>
      </c>
      <c r="N196" s="738">
        <f ca="1">Drivers2!$R82*N142/$T142*INDEX($B$163:$S$167,$A142,N$4)</f>
        <v>0</v>
      </c>
      <c r="O196" s="738">
        <f ca="1">Drivers2!$R82*O142/$T142*INDEX($B$163:$S$167,$A142,O$4)</f>
        <v>0</v>
      </c>
      <c r="P196" s="738">
        <f ca="1">Drivers2!$R82*P142/$T142*INDEX($B$163:$S$167,$A142,P$4)</f>
        <v>0</v>
      </c>
      <c r="Q196" s="738">
        <f ca="1">Drivers2!$R82*Q142/$T142*INDEX($B$163:$S$167,$A142,Q$4)</f>
        <v>0</v>
      </c>
      <c r="R196" s="738">
        <f ca="1">Drivers2!$R82*R142/$T142*INDEX($B$163:$S$167,$A142,R$4)</f>
        <v>0</v>
      </c>
      <c r="S196" s="738">
        <f ca="1">Drivers2!$R82*S142/$T142*INDEX($B$163:$S$167,$A142,S$4)</f>
        <v>0</v>
      </c>
      <c r="T196" s="738">
        <f ca="1">SUM(C196:S196)</f>
        <v>0</v>
      </c>
      <c r="V196" s="613">
        <f ca="1">VLOOKUP($B196,Drivers2!$E$58:$M$93,9,FALSE)</f>
        <v>0</v>
      </c>
      <c r="W196" s="613" t="s">
        <v>354</v>
      </c>
      <c r="X196" s="613" t="b">
        <f t="shared" si="53"/>
        <v>0</v>
      </c>
    </row>
    <row r="197" spans="1:24" hidden="1">
      <c r="A197" s="613" t="str">
        <f t="shared" si="51"/>
        <v>ICH</v>
      </c>
      <c r="B197" s="613" t="s">
        <v>536</v>
      </c>
      <c r="C197" s="738">
        <f ca="1">Drivers2!$R83*C143/$T143*INDEX($B$163:$S$167,$A143,C$4)</f>
        <v>0.14439904499306019</v>
      </c>
      <c r="D197" s="738">
        <f ca="1">Drivers2!$R83*D143/$T143*INDEX($B$163:$S$167,$A143,D$4)</f>
        <v>6.9653650578588786E-2</v>
      </c>
      <c r="E197" s="738">
        <f ca="1">Drivers2!$R83*E143/$T143*INDEX($B$163:$S$167,$A143,E$4)</f>
        <v>9.5455250278091999E-2</v>
      </c>
      <c r="F197" s="738">
        <f ca="1">Drivers2!$R83*F143/$T143*INDEX($B$163:$S$167,$A143,F$4)</f>
        <v>0</v>
      </c>
      <c r="G197" s="738">
        <f ca="1">Drivers2!$R83*G143/$T143*INDEX($B$163:$S$167,$A143,G$4)</f>
        <v>0</v>
      </c>
      <c r="H197" s="738">
        <f ca="1">Drivers2!$R83*H143/$T143*INDEX($B$163:$S$167,$A143,H$4)</f>
        <v>0</v>
      </c>
      <c r="I197" s="738">
        <f ca="1">Drivers2!$R83*I143/$T143*INDEX($B$163:$S$167,$A143,I$4)</f>
        <v>0</v>
      </c>
      <c r="J197" s="738">
        <f ca="1">Drivers2!$R83*J143/$T143*INDEX($B$163:$S$167,$A143,J$4)</f>
        <v>0</v>
      </c>
      <c r="K197" s="738">
        <f ca="1">Drivers2!$R83*K143/$T143*INDEX($B$163:$S$167,$A143,K$4)</f>
        <v>0</v>
      </c>
      <c r="L197" s="738">
        <f ca="1">Drivers2!$R83*L143/$T143*INDEX($B$163:$S$167,$A143,L$4)</f>
        <v>2.857502192351162E-2</v>
      </c>
      <c r="M197" s="738">
        <f ca="1">Drivers2!$R83*M143/$T143*INDEX($B$163:$S$167,$A143,M$4)</f>
        <v>1.7947499067725351E-3</v>
      </c>
      <c r="N197" s="738">
        <f ca="1">Drivers2!$R83*N143/$T143*INDEX($B$163:$S$167,$A143,N$4)</f>
        <v>0</v>
      </c>
      <c r="O197" s="738">
        <f ca="1">Drivers2!$R83*O143/$T143*INDEX($B$163:$S$167,$A143,O$4)</f>
        <v>0</v>
      </c>
      <c r="P197" s="738">
        <f ca="1">Drivers2!$R83*P143/$T143*INDEX($B$163:$S$167,$A143,P$4)</f>
        <v>0</v>
      </c>
      <c r="Q197" s="738">
        <f ca="1">Drivers2!$R83*Q143/$T143*INDEX($B$163:$S$167,$A143,Q$4)</f>
        <v>0</v>
      </c>
      <c r="R197" s="738">
        <f ca="1">Drivers2!$R83*R143/$T143*INDEX($B$163:$S$167,$A143,R$4)</f>
        <v>0</v>
      </c>
      <c r="S197" s="738">
        <f ca="1">Drivers2!$R83*S143/$T143*INDEX($B$163:$S$167,$A143,S$4)</f>
        <v>0</v>
      </c>
      <c r="T197" s="738">
        <f ca="1">SUM(C197:S197)</f>
        <v>0.33987771768002512</v>
      </c>
      <c r="V197" s="613">
        <f ca="1">VLOOKUP($B197,Drivers2!$E$58:$M$93,9,FALSE)</f>
        <v>0.33858285201898181</v>
      </c>
      <c r="W197" s="613" t="s">
        <v>535</v>
      </c>
      <c r="X197" s="613">
        <f t="shared" si="53"/>
        <v>0.99619020137630099</v>
      </c>
    </row>
    <row r="198" spans="1:24" hidden="1">
      <c r="A198" s="613" t="str">
        <f t="shared" si="51"/>
        <v>ICH</v>
      </c>
      <c r="B198" s="613" t="s">
        <v>973</v>
      </c>
      <c r="C198" s="738">
        <f ca="1">Drivers2!$R84*C144/$T144*INDEX($B$163:$S$167,$A144,C$4)</f>
        <v>0.22277905567970444</v>
      </c>
      <c r="D198" s="738">
        <f ca="1">Drivers2!$R84*D144/$T144*INDEX($B$163:$S$167,$A144,D$4)</f>
        <v>0</v>
      </c>
      <c r="E198" s="738">
        <f ca="1">Drivers2!$R84*E144/$T144*INDEX($B$163:$S$167,$A144,E$4)</f>
        <v>2.4544749721908003E-2</v>
      </c>
      <c r="F198" s="738">
        <f ca="1">Drivers2!$R84*F144/$T144*INDEX($B$163:$S$167,$A144,F$4)</f>
        <v>0</v>
      </c>
      <c r="G198" s="738">
        <f ca="1">Drivers2!$R84*G144/$T144*INDEX($B$163:$S$167,$A144,G$4)</f>
        <v>0</v>
      </c>
      <c r="H198" s="738">
        <f ca="1">Drivers2!$R84*H144/$T144*INDEX($B$163:$S$167,$A144,H$4)</f>
        <v>0</v>
      </c>
      <c r="I198" s="738">
        <f ca="1">Drivers2!$R84*I144/$T144*INDEX($B$163:$S$167,$A144,I$4)</f>
        <v>0</v>
      </c>
      <c r="J198" s="738">
        <f ca="1">Drivers2!$R84*J144/$T144*INDEX($B$163:$S$167,$A144,J$4)</f>
        <v>0</v>
      </c>
      <c r="K198" s="738">
        <f ca="1">Drivers2!$R84*K144/$T144*INDEX($B$163:$S$167,$A144,K$4)</f>
        <v>0</v>
      </c>
      <c r="L198" s="738">
        <f ca="1">Drivers2!$R84*L144/$T144*INDEX($B$163:$S$167,$A144,L$4)</f>
        <v>0</v>
      </c>
      <c r="M198" s="738">
        <f ca="1">Drivers2!$R84*M144/$T144*INDEX($B$163:$S$167,$A144,M$4)</f>
        <v>2.307452295542299E-4</v>
      </c>
      <c r="N198" s="738">
        <f ca="1">Drivers2!$R84*N144/$T144*INDEX($B$163:$S$167,$A144,N$4)</f>
        <v>0</v>
      </c>
      <c r="O198" s="738">
        <f ca="1">Drivers2!$R84*O144/$T144*INDEX($B$163:$S$167,$A144,O$4)</f>
        <v>0</v>
      </c>
      <c r="P198" s="738">
        <f ca="1">Drivers2!$R84*P144/$T144*INDEX($B$163:$S$167,$A144,P$4)</f>
        <v>0</v>
      </c>
      <c r="Q198" s="738">
        <f ca="1">Drivers2!$R84*Q144/$T144*INDEX($B$163:$S$167,$A144,Q$4)</f>
        <v>0</v>
      </c>
      <c r="R198" s="738">
        <f ca="1">Drivers2!$R84*R144/$T144*INDEX($B$163:$S$167,$A144,R$4)</f>
        <v>0</v>
      </c>
      <c r="S198" s="738">
        <f ca="1">Drivers2!$R84*S144/$T144*INDEX($B$163:$S$167,$A144,S$4)</f>
        <v>0</v>
      </c>
      <c r="T198" s="738">
        <f t="shared" si="52"/>
        <v>0.24755455063116669</v>
      </c>
      <c r="V198" s="613">
        <f ca="1">VLOOKUP($B198,Drivers2!$E$58:$M$93,9,FALSE)</f>
        <v>0.24140099985955407</v>
      </c>
      <c r="W198" s="613" t="s">
        <v>227</v>
      </c>
      <c r="X198" s="613">
        <f t="shared" si="53"/>
        <v>0.97514264732389899</v>
      </c>
    </row>
    <row r="199" spans="1:24" hidden="1">
      <c r="A199" s="613" t="str">
        <f>MID(B199,1,3)</f>
        <v>ICH</v>
      </c>
      <c r="B199" s="613" t="s">
        <v>974</v>
      </c>
      <c r="C199" s="738">
        <f ca="1">Drivers2!$R85*C145/$T145*INDEX($B$163:$S$167,$A145,C$4)</f>
        <v>0</v>
      </c>
      <c r="D199" s="738">
        <f ca="1">Drivers2!$R85*D145/$T145*INDEX($B$163:$S$167,$A145,D$4)</f>
        <v>0.20434634942141117</v>
      </c>
      <c r="E199" s="738">
        <f ca="1">Drivers2!$R85*E145/$T145*INDEX($B$163:$S$167,$A145,E$4)</f>
        <v>0</v>
      </c>
      <c r="F199" s="738">
        <f ca="1">Drivers2!$R85*F145/$T145*INDEX($B$163:$S$167,$A145,F$4)</f>
        <v>0</v>
      </c>
      <c r="G199" s="738">
        <f ca="1">Drivers2!$R85*G145/$T145*INDEX($B$163:$S$167,$A145,G$4)</f>
        <v>0</v>
      </c>
      <c r="H199" s="738">
        <f ca="1">Drivers2!$R85*H145/$T145*INDEX($B$163:$S$167,$A145,H$4)</f>
        <v>0</v>
      </c>
      <c r="I199" s="738">
        <f ca="1">Drivers2!$R85*I145/$T145*INDEX($B$163:$S$167,$A145,I$4)</f>
        <v>0</v>
      </c>
      <c r="J199" s="738">
        <f ca="1">Drivers2!$R85*J145/$T145*INDEX($B$163:$S$167,$A145,J$4)</f>
        <v>0</v>
      </c>
      <c r="K199" s="738">
        <f ca="1">Drivers2!$R85*K145/$T145*INDEX($B$163:$S$167,$A145,K$4)</f>
        <v>0</v>
      </c>
      <c r="L199" s="738">
        <f ca="1">Drivers2!$R85*L145/$T145*INDEX($B$163:$S$167,$A145,L$4)</f>
        <v>3.7424978076488376E-2</v>
      </c>
      <c r="M199" s="738">
        <f ca="1">Drivers2!$R85*M145/$T145*INDEX($B$163:$S$167,$A145,M$4)</f>
        <v>1.9745048636732351E-3</v>
      </c>
      <c r="N199" s="738">
        <f ca="1">Drivers2!$R85*N145/$T145*INDEX($B$163:$S$167,$A145,N$4)</f>
        <v>0</v>
      </c>
      <c r="O199" s="738">
        <f ca="1">Drivers2!$R85*O145/$T145*INDEX($B$163:$S$167,$A145,O$4)</f>
        <v>0</v>
      </c>
      <c r="P199" s="738">
        <f ca="1">Drivers2!$R85*P145/$T145*INDEX($B$163:$S$167,$A145,P$4)</f>
        <v>0</v>
      </c>
      <c r="Q199" s="738">
        <f ca="1">Drivers2!$R85*Q145/$T145*INDEX($B$163:$S$167,$A145,Q$4)</f>
        <v>6.9999999999999993E-3</v>
      </c>
      <c r="R199" s="738">
        <f ca="1">Drivers2!$R85*R145/$T145*INDEX($B$163:$S$167,$A145,R$4)</f>
        <v>0</v>
      </c>
      <c r="S199" s="738">
        <f ca="1">Drivers2!$R85*S145/$T145*INDEX($B$163:$S$167,$A145,S$4)</f>
        <v>0.37876484615168338</v>
      </c>
      <c r="T199" s="738">
        <f ca="1">SUM(C199:S199)</f>
        <v>0.62951067851325615</v>
      </c>
      <c r="V199" s="613">
        <f ca="1">VLOOKUP($B199,Drivers2!$E$58:$M$93,9,FALSE)</f>
        <v>0.63695909494591207</v>
      </c>
      <c r="W199" s="613" t="s">
        <v>228</v>
      </c>
      <c r="X199" s="613">
        <f t="shared" si="53"/>
        <v>1.0118320732068393</v>
      </c>
    </row>
    <row r="200" spans="1:24" hidden="1">
      <c r="A200" s="613" t="s">
        <v>978</v>
      </c>
      <c r="B200" s="613" t="s">
        <v>341</v>
      </c>
      <c r="C200" s="738">
        <f ca="1">Drivers2!$R86*C146/$T146*INDEX($B$163:$S$167,$A146,C$4)</f>
        <v>0</v>
      </c>
      <c r="D200" s="738">
        <f ca="1">Drivers2!$R86*D146/$T146*INDEX($B$163:$S$167,$A146,D$4)</f>
        <v>0</v>
      </c>
      <c r="E200" s="738">
        <f ca="1">Drivers2!$R86*E146/$T146*INDEX($B$163:$S$167,$A146,E$4)</f>
        <v>0</v>
      </c>
      <c r="F200" s="738">
        <f ca="1">Drivers2!$R86*F146/$T146*INDEX($B$163:$S$167,$A146,F$4)</f>
        <v>0</v>
      </c>
      <c r="G200" s="738">
        <f ca="1">Drivers2!$R86*G146/$T146*INDEX($B$163:$S$167,$A146,G$4)</f>
        <v>0</v>
      </c>
      <c r="H200" s="738">
        <f ca="1">Drivers2!$R86*H146/$T146*INDEX($B$163:$S$167,$A146,H$4)</f>
        <v>0</v>
      </c>
      <c r="I200" s="738">
        <f ca="1">Drivers2!$R86*I146/$T146*INDEX($B$163:$S$167,$A146,I$4)</f>
        <v>0</v>
      </c>
      <c r="J200" s="738">
        <f ca="1">Drivers2!$R86*J146/$T146*INDEX($B$163:$S$167,$A146,J$4)</f>
        <v>0</v>
      </c>
      <c r="K200" s="738">
        <f ca="1">Drivers2!$R86*K146/$T146*INDEX($B$163:$S$167,$A146,K$4)</f>
        <v>0</v>
      </c>
      <c r="L200" s="738">
        <f ca="1">Drivers2!$R86*L146/$T146*INDEX($B$163:$S$167,$A146,L$4)</f>
        <v>0</v>
      </c>
      <c r="M200" s="738">
        <f ca="1">Drivers2!$R86*M146/$T146*INDEX($B$163:$S$167,$A146,M$4)</f>
        <v>0</v>
      </c>
      <c r="N200" s="738">
        <f ca="1">Drivers2!$R86*N146/$T146*INDEX($B$163:$S$167,$A146,N$4)</f>
        <v>0</v>
      </c>
      <c r="O200" s="738">
        <f ca="1">Drivers2!$R86*O146/$T146*INDEX($B$163:$S$167,$A146,O$4)</f>
        <v>0</v>
      </c>
      <c r="P200" s="738">
        <f ca="1">Drivers2!$R86*P146/$T146*INDEX($B$163:$S$167,$A146,P$4)</f>
        <v>0</v>
      </c>
      <c r="Q200" s="738">
        <f ca="1">Drivers2!$R86*Q146/$T146*INDEX($B$163:$S$167,$A146,Q$4)</f>
        <v>0</v>
      </c>
      <c r="R200" s="738">
        <f ca="1">Drivers2!$R86*R146/$T146*INDEX($B$163:$S$167,$A146,R$4)</f>
        <v>0</v>
      </c>
      <c r="S200" s="738">
        <f ca="1">Drivers2!$R86*S146/$T146*INDEX($B$163:$S$167,$A146,S$4)</f>
        <v>0</v>
      </c>
      <c r="T200" s="738">
        <f t="shared" ref="T200:T206" si="54">SUM(C200:S200)</f>
        <v>0</v>
      </c>
      <c r="V200" s="613">
        <f ca="1">VLOOKUP($B200,Drivers2!$E$58:$M$93,9,FALSE)</f>
        <v>0</v>
      </c>
      <c r="W200" s="613" t="s">
        <v>454</v>
      </c>
      <c r="X200" s="613" t="b">
        <f t="shared" si="53"/>
        <v>0</v>
      </c>
    </row>
    <row r="201" spans="1:24" hidden="1">
      <c r="A201" s="613" t="s">
        <v>978</v>
      </c>
      <c r="B201" s="613" t="s">
        <v>342</v>
      </c>
      <c r="C201" s="738">
        <f ca="1">Drivers2!$R87*C147/$T147*INDEX($B$163:$S$167,$A147,C$4)</f>
        <v>0</v>
      </c>
      <c r="D201" s="738">
        <f ca="1">Drivers2!$R87*D147/$T147*INDEX($B$163:$S$167,$A147,D$4)</f>
        <v>0</v>
      </c>
      <c r="E201" s="738">
        <f ca="1">Drivers2!$R87*E147/$T147*INDEX($B$163:$S$167,$A147,E$4)</f>
        <v>0</v>
      </c>
      <c r="F201" s="738">
        <f ca="1">Drivers2!$R87*F147/$T147*INDEX($B$163:$S$167,$A147,F$4)</f>
        <v>0</v>
      </c>
      <c r="G201" s="738">
        <f ca="1">Drivers2!$R87*G147/$T147*INDEX($B$163:$S$167,$A147,G$4)</f>
        <v>0</v>
      </c>
      <c r="H201" s="738">
        <f ca="1">Drivers2!$R87*H147/$T147*INDEX($B$163:$S$167,$A147,H$4)</f>
        <v>0</v>
      </c>
      <c r="I201" s="738">
        <f ca="1">Drivers2!$R87*I147/$T147*INDEX($B$163:$S$167,$A147,I$4)</f>
        <v>0</v>
      </c>
      <c r="J201" s="738">
        <f ca="1">Drivers2!$R87*J147/$T147*INDEX($B$163:$S$167,$A147,J$4)</f>
        <v>0</v>
      </c>
      <c r="K201" s="738">
        <f ca="1">Drivers2!$R87*K147/$T147*INDEX($B$163:$S$167,$A147,K$4)</f>
        <v>0</v>
      </c>
      <c r="L201" s="738">
        <f ca="1">Drivers2!$R87*L147/$T147*INDEX($B$163:$S$167,$A147,L$4)</f>
        <v>0</v>
      </c>
      <c r="M201" s="738">
        <f ca="1">Drivers2!$R87*M147/$T147*INDEX($B$163:$S$167,$A147,M$4)</f>
        <v>0</v>
      </c>
      <c r="N201" s="738">
        <f ca="1">Drivers2!$R87*N147/$T147*INDEX($B$163:$S$167,$A147,N$4)</f>
        <v>0</v>
      </c>
      <c r="O201" s="738">
        <f ca="1">Drivers2!$R87*O147/$T147*INDEX($B$163:$S$167,$A147,O$4)</f>
        <v>0</v>
      </c>
      <c r="P201" s="738">
        <f ca="1">Drivers2!$R87*P147/$T147*INDEX($B$163:$S$167,$A147,P$4)</f>
        <v>0</v>
      </c>
      <c r="Q201" s="738">
        <f ca="1">Drivers2!$R87*Q147/$T147*INDEX($B$163:$S$167,$A147,Q$4)</f>
        <v>0</v>
      </c>
      <c r="R201" s="738">
        <f ca="1">Drivers2!$R87*R147/$T147*INDEX($B$163:$S$167,$A147,R$4)</f>
        <v>0</v>
      </c>
      <c r="S201" s="738">
        <f ca="1">Drivers2!$R87*S147/$T147*INDEX($B$163:$S$167,$A147,S$4)</f>
        <v>0</v>
      </c>
      <c r="T201" s="738">
        <f t="shared" si="54"/>
        <v>0</v>
      </c>
      <c r="V201" s="613">
        <f ca="1">VLOOKUP($B201,Drivers2!$E$58:$M$93,9,FALSE)</f>
        <v>0</v>
      </c>
      <c r="W201" s="613" t="s">
        <v>340</v>
      </c>
      <c r="X201" s="613" t="b">
        <f t="shared" si="53"/>
        <v>0</v>
      </c>
    </row>
    <row r="202" spans="1:24" hidden="1">
      <c r="A202" s="613" t="s">
        <v>978</v>
      </c>
      <c r="B202" s="613" t="s">
        <v>343</v>
      </c>
      <c r="C202" s="738">
        <f ca="1">Drivers2!$R88*C148/$T148*INDEX($B$163:$S$167,$A148,C$4)</f>
        <v>0</v>
      </c>
      <c r="D202" s="738">
        <f ca="1">Drivers2!$R88*D148/$T148*INDEX($B$163:$S$167,$A148,D$4)</f>
        <v>0</v>
      </c>
      <c r="E202" s="738">
        <f ca="1">Drivers2!$R88*E148/$T148*INDEX($B$163:$S$167,$A148,E$4)</f>
        <v>0</v>
      </c>
      <c r="F202" s="738">
        <f ca="1">Drivers2!$R88*F148/$T148*INDEX($B$163:$S$167,$A148,F$4)</f>
        <v>0</v>
      </c>
      <c r="G202" s="738">
        <f ca="1">Drivers2!$R88*G148/$T148*INDEX($B$163:$S$167,$A148,G$4)</f>
        <v>0</v>
      </c>
      <c r="H202" s="738">
        <f ca="1">Drivers2!$R88*H148/$T148*INDEX($B$163:$S$167,$A148,H$4)</f>
        <v>0</v>
      </c>
      <c r="I202" s="738">
        <f ca="1">Drivers2!$R88*I148/$T148*INDEX($B$163:$S$167,$A148,I$4)</f>
        <v>0</v>
      </c>
      <c r="J202" s="738">
        <f ca="1">Drivers2!$R88*J148/$T148*INDEX($B$163:$S$167,$A148,J$4)</f>
        <v>0</v>
      </c>
      <c r="K202" s="738">
        <f ca="1">Drivers2!$R88*K148/$T148*INDEX($B$163:$S$167,$A148,K$4)</f>
        <v>0</v>
      </c>
      <c r="L202" s="738">
        <f ca="1">Drivers2!$R88*L148/$T148*INDEX($B$163:$S$167,$A148,L$4)</f>
        <v>0</v>
      </c>
      <c r="M202" s="738">
        <f ca="1">Drivers2!$R88*M148/$T148*INDEX($B$163:$S$167,$A148,M$4)</f>
        <v>0</v>
      </c>
      <c r="N202" s="738">
        <f ca="1">Drivers2!$R88*N148/$T148*INDEX($B$163:$S$167,$A148,N$4)</f>
        <v>0</v>
      </c>
      <c r="O202" s="738">
        <f ca="1">Drivers2!$R88*O148/$T148*INDEX($B$163:$S$167,$A148,O$4)</f>
        <v>0</v>
      </c>
      <c r="P202" s="738">
        <f ca="1">Drivers2!$R88*P148/$T148*INDEX($B$163:$S$167,$A148,P$4)</f>
        <v>0</v>
      </c>
      <c r="Q202" s="738">
        <f ca="1">Drivers2!$R88*Q148/$T148*INDEX($B$163:$S$167,$A148,Q$4)</f>
        <v>0</v>
      </c>
      <c r="R202" s="738">
        <f ca="1">Drivers2!$R88*R148/$T148*INDEX($B$163:$S$167,$A148,R$4)</f>
        <v>0</v>
      </c>
      <c r="S202" s="738">
        <f ca="1">Drivers2!$R88*S148/$T148*INDEX($B$163:$S$167,$A148,S$4)</f>
        <v>0</v>
      </c>
      <c r="T202" s="738">
        <f t="shared" si="54"/>
        <v>0</v>
      </c>
      <c r="V202" s="613">
        <f ca="1">VLOOKUP($B202,Drivers2!$E$58:$M$93,9,FALSE)</f>
        <v>0</v>
      </c>
      <c r="W202" s="613" t="s">
        <v>248</v>
      </c>
      <c r="X202" s="613" t="b">
        <f t="shared" si="53"/>
        <v>0</v>
      </c>
    </row>
    <row r="203" spans="1:24" hidden="1">
      <c r="A203" s="613" t="s">
        <v>978</v>
      </c>
      <c r="B203" s="613" t="s">
        <v>344</v>
      </c>
      <c r="C203" s="738">
        <f ca="1">Drivers2!$R89*C149/$T149*INDEX($B$163:$S$167,$A149,C$4)</f>
        <v>0</v>
      </c>
      <c r="D203" s="738">
        <f ca="1">Drivers2!$R89*D149/$T149*INDEX($B$163:$S$167,$A149,D$4)</f>
        <v>0</v>
      </c>
      <c r="E203" s="738">
        <f ca="1">Drivers2!$R89*E149/$T149*INDEX($B$163:$S$167,$A149,E$4)</f>
        <v>0</v>
      </c>
      <c r="F203" s="738">
        <f ca="1">Drivers2!$R89*F149/$T149*INDEX($B$163:$S$167,$A149,F$4)</f>
        <v>0</v>
      </c>
      <c r="G203" s="738">
        <f ca="1">Drivers2!$R89*G149/$T149*INDEX($B$163:$S$167,$A149,G$4)</f>
        <v>0</v>
      </c>
      <c r="H203" s="738">
        <f ca="1">Drivers2!$R89*H149/$T149*INDEX($B$163:$S$167,$A149,H$4)</f>
        <v>0</v>
      </c>
      <c r="I203" s="738">
        <f ca="1">Drivers2!$R89*I149/$T149*INDEX($B$163:$S$167,$A149,I$4)</f>
        <v>0</v>
      </c>
      <c r="J203" s="738">
        <f ca="1">Drivers2!$R89*J149/$T149*INDEX($B$163:$S$167,$A149,J$4)</f>
        <v>0</v>
      </c>
      <c r="K203" s="738">
        <f ca="1">Drivers2!$R89*K149/$T149*INDEX($B$163:$S$167,$A149,K$4)</f>
        <v>0</v>
      </c>
      <c r="L203" s="738">
        <f ca="1">Drivers2!$R89*L149/$T149*INDEX($B$163:$S$167,$A149,L$4)</f>
        <v>0</v>
      </c>
      <c r="M203" s="738">
        <f ca="1">Drivers2!$R89*M149/$T149*INDEX($B$163:$S$167,$A149,M$4)</f>
        <v>0</v>
      </c>
      <c r="N203" s="738">
        <f ca="1">Drivers2!$R89*N149/$T149*INDEX($B$163:$S$167,$A149,N$4)</f>
        <v>0</v>
      </c>
      <c r="O203" s="738">
        <f ca="1">Drivers2!$R89*O149/$T149*INDEX($B$163:$S$167,$A149,O$4)</f>
        <v>0</v>
      </c>
      <c r="P203" s="738">
        <f ca="1">Drivers2!$R89*P149/$T149*INDEX($B$163:$S$167,$A149,P$4)</f>
        <v>0</v>
      </c>
      <c r="Q203" s="738">
        <f ca="1">Drivers2!$R89*Q149/$T149*INDEX($B$163:$S$167,$A149,Q$4)</f>
        <v>0</v>
      </c>
      <c r="R203" s="738">
        <f ca="1">Drivers2!$R89*R149/$T149*INDEX($B$163:$S$167,$A149,R$4)</f>
        <v>0</v>
      </c>
      <c r="S203" s="738">
        <f ca="1">Drivers2!$R89*S149/$T149*INDEX($B$163:$S$167,$A149,S$4)</f>
        <v>0</v>
      </c>
      <c r="T203" s="738">
        <f t="shared" si="54"/>
        <v>0</v>
      </c>
      <c r="V203" s="613">
        <f ca="1">VLOOKUP($B203,Drivers2!$E$58:$M$93,9,FALSE)</f>
        <v>0</v>
      </c>
      <c r="W203" s="613" t="s">
        <v>339</v>
      </c>
      <c r="X203" s="613" t="b">
        <f t="shared" si="53"/>
        <v>0</v>
      </c>
    </row>
    <row r="204" spans="1:24" hidden="1">
      <c r="A204" s="613" t="s">
        <v>978</v>
      </c>
      <c r="B204" s="613" t="s">
        <v>345</v>
      </c>
      <c r="C204" s="738">
        <f ca="1">Drivers2!$R90*C150/$T150*INDEX($B$163:$S$167,$A150,C$4)</f>
        <v>3.8094780031388539E-2</v>
      </c>
      <c r="D204" s="738">
        <f ca="1">Drivers2!$R90*D150/$T150*INDEX($B$163:$S$167,$A150,D$4)</f>
        <v>2.427422194126725E-2</v>
      </c>
      <c r="E204" s="738">
        <f ca="1">Drivers2!$R90*E150/$T150*INDEX($B$163:$S$167,$A150,E$4)</f>
        <v>2.9682376593700818E-3</v>
      </c>
      <c r="F204" s="738">
        <f ca="1">Drivers2!$R90*F150/$T150*INDEX($B$163:$S$167,$A150,F$4)</f>
        <v>0</v>
      </c>
      <c r="G204" s="738">
        <f ca="1">Drivers2!$R90*G150/$T150*INDEX($B$163:$S$167,$A150,G$4)</f>
        <v>9.0625639407319978E-4</v>
      </c>
      <c r="H204" s="738">
        <f ca="1">Drivers2!$R90*H150/$T150*INDEX($B$163:$S$167,$A150,H$4)</f>
        <v>0</v>
      </c>
      <c r="I204" s="738">
        <f ca="1">Drivers2!$R90*I150/$T150*INDEX($B$163:$S$167,$A150,I$4)</f>
        <v>0</v>
      </c>
      <c r="J204" s="738">
        <f ca="1">Drivers2!$R90*J150/$T150*INDEX($B$163:$S$167,$A150,J$4)</f>
        <v>0</v>
      </c>
      <c r="K204" s="738">
        <f ca="1">Drivers2!$R90*K150/$T150*INDEX($B$163:$S$167,$A150,K$4)</f>
        <v>0</v>
      </c>
      <c r="L204" s="738">
        <f ca="1">Drivers2!$R90*L150/$T150*INDEX($B$163:$S$167,$A150,L$4)</f>
        <v>5.8854924958056352E-3</v>
      </c>
      <c r="M204" s="738">
        <f ca="1">Drivers2!$R90*M150/$T150*INDEX($B$163:$S$167,$A150,M$4)</f>
        <v>0</v>
      </c>
      <c r="N204" s="738">
        <f ca="1">Drivers2!$R90*N150/$T150*INDEX($B$163:$S$167,$A150,N$4)</f>
        <v>0</v>
      </c>
      <c r="O204" s="738">
        <f ca="1">Drivers2!$R90*O150/$T150*INDEX($B$163:$S$167,$A150,O$4)</f>
        <v>0</v>
      </c>
      <c r="P204" s="738">
        <f ca="1">Drivers2!$R90*P150/$T150*INDEX($B$163:$S$167,$A150,P$4)</f>
        <v>0</v>
      </c>
      <c r="Q204" s="738">
        <f ca="1">Drivers2!$R90*Q150/$T150*INDEX($B$163:$S$167,$A150,Q$4)</f>
        <v>4.1026585821347779E-2</v>
      </c>
      <c r="R204" s="738">
        <f ca="1">Drivers2!$R90*R150/$T150*INDEX($B$163:$S$167,$A150,R$4)</f>
        <v>0</v>
      </c>
      <c r="S204" s="738">
        <f ca="1">Drivers2!$R90*S150/$T150*INDEX($B$163:$S$167,$A150,S$4)</f>
        <v>0</v>
      </c>
      <c r="T204" s="738">
        <f t="shared" si="54"/>
        <v>0.11315557434325249</v>
      </c>
      <c r="V204" s="613">
        <f ca="1">VLOOKUP($B204,Drivers2!$E$58:$M$93,9,FALSE)</f>
        <v>0.15527603780981444</v>
      </c>
      <c r="W204" s="613" t="s">
        <v>346</v>
      </c>
      <c r="X204" s="613">
        <f t="shared" si="53"/>
        <v>1.3722349845425323</v>
      </c>
    </row>
    <row r="205" spans="1:24" hidden="1">
      <c r="A205" s="613" t="s">
        <v>978</v>
      </c>
      <c r="B205" s="613" t="s">
        <v>970</v>
      </c>
      <c r="C205" s="738">
        <f ca="1">Drivers2!$R91*C151/$T151*INDEX($B$163:$S$167,$A151,C$4)</f>
        <v>5.1333906859271923E-2</v>
      </c>
      <c r="D205" s="738">
        <f ca="1">Drivers2!$R91*D151/$T151*INDEX($B$163:$S$167,$A151,D$4)</f>
        <v>0</v>
      </c>
      <c r="E205" s="738">
        <f ca="1">Drivers2!$R91*E151/$T151*INDEX($B$163:$S$167,$A151,E$4)</f>
        <v>0</v>
      </c>
      <c r="F205" s="738">
        <f ca="1">Drivers2!$R91*F151/$T151*INDEX($B$163:$S$167,$A151,F$4)</f>
        <v>0</v>
      </c>
      <c r="G205" s="738">
        <f ca="1">Drivers2!$R91*G151/$T151*INDEX($B$163:$S$167,$A151,G$4)</f>
        <v>0</v>
      </c>
      <c r="H205" s="738">
        <f ca="1">Drivers2!$R91*H151/$T151*INDEX($B$163:$S$167,$A151,H$4)</f>
        <v>0</v>
      </c>
      <c r="I205" s="738">
        <f ca="1">Drivers2!$R91*I151/$T151*INDEX($B$163:$S$167,$A151,I$4)</f>
        <v>0</v>
      </c>
      <c r="J205" s="738">
        <f ca="1">Drivers2!$R91*J151/$T151*INDEX($B$163:$S$167,$A151,J$4)</f>
        <v>0</v>
      </c>
      <c r="K205" s="738">
        <f ca="1">Drivers2!$R91*K151/$T151*INDEX($B$163:$S$167,$A151,K$4)</f>
        <v>0</v>
      </c>
      <c r="L205" s="738">
        <f ca="1">Drivers2!$R91*L151/$T151*INDEX($B$163:$S$167,$A151,L$4)</f>
        <v>0</v>
      </c>
      <c r="M205" s="738">
        <f ca="1">Drivers2!$R91*M151/$T151*INDEX($B$163:$S$167,$A151,M$4)</f>
        <v>0</v>
      </c>
      <c r="N205" s="738">
        <f ca="1">Drivers2!$R91*N151/$T151*INDEX($B$163:$S$167,$A151,N$4)</f>
        <v>0</v>
      </c>
      <c r="O205" s="738">
        <f ca="1">Drivers2!$R91*O151/$T151*INDEX($B$163:$S$167,$A151,O$4)</f>
        <v>0</v>
      </c>
      <c r="P205" s="738">
        <f ca="1">Drivers2!$R91*P151/$T151*INDEX($B$163:$S$167,$A151,P$4)</f>
        <v>0</v>
      </c>
      <c r="Q205" s="738">
        <f ca="1">Drivers2!$R91*Q151/$T151*INDEX($B$163:$S$167,$A151,Q$4)</f>
        <v>0</v>
      </c>
      <c r="R205" s="738">
        <f ca="1">Drivers2!$R91*R151/$T151*INDEX($B$163:$S$167,$A151,R$4)</f>
        <v>0</v>
      </c>
      <c r="S205" s="738">
        <f ca="1">Drivers2!$R91*S151/$T151*INDEX($B$163:$S$167,$A151,S$4)</f>
        <v>0</v>
      </c>
      <c r="T205" s="738">
        <f t="shared" si="54"/>
        <v>5.1333906859271923E-2</v>
      </c>
      <c r="V205" s="613">
        <f ca="1">VLOOKUP($B205,Drivers2!$E$58:$M$93,9,FALSE)</f>
        <v>7.0795562353482736E-2</v>
      </c>
      <c r="W205" s="613" t="s">
        <v>231</v>
      </c>
      <c r="X205" s="613">
        <f t="shared" si="53"/>
        <v>1.3791189232404129</v>
      </c>
    </row>
    <row r="206" spans="1:24" hidden="1">
      <c r="A206" s="613" t="s">
        <v>978</v>
      </c>
      <c r="B206" s="613" t="s">
        <v>971</v>
      </c>
      <c r="C206" s="738">
        <f ca="1">Drivers2!$R92*C152/$T152*INDEX($B$163:$S$167,$A152,C$4)</f>
        <v>0</v>
      </c>
      <c r="D206" s="738">
        <f ca="1">Drivers2!$R92*D152/$T152*INDEX($B$163:$S$167,$A152,D$4)</f>
        <v>7.2577805873275103E-4</v>
      </c>
      <c r="E206" s="738">
        <f ca="1">Drivers2!$R92*E152/$T152*INDEX($B$163:$S$167,$A152,E$4)</f>
        <v>3.1762340629917974E-5</v>
      </c>
      <c r="F206" s="738">
        <f ca="1">Drivers2!$R92*F152/$T152*INDEX($B$163:$S$167,$A152,F$4)</f>
        <v>0</v>
      </c>
      <c r="G206" s="738">
        <f ca="1">Drivers2!$R92*G152/$T152*INDEX($B$163:$S$167,$A152,G$4)</f>
        <v>9.3743605926800217E-5</v>
      </c>
      <c r="H206" s="738">
        <f ca="1">Drivers2!$R92*H152/$T152*INDEX($B$163:$S$167,$A152,H$4)</f>
        <v>0</v>
      </c>
      <c r="I206" s="738">
        <f ca="1">Drivers2!$R92*I152/$T152*INDEX($B$163:$S$167,$A152,I$4)</f>
        <v>0</v>
      </c>
      <c r="J206" s="738">
        <f ca="1">Drivers2!$R92*J152/$T152*INDEX($B$163:$S$167,$A152,J$4)</f>
        <v>0</v>
      </c>
      <c r="K206" s="738">
        <f ca="1">Drivers2!$R92*K152/$T152*INDEX($B$163:$S$167,$A152,K$4)</f>
        <v>0.01</v>
      </c>
      <c r="L206" s="738">
        <f ca="1">Drivers2!$R92*L152/$T152*INDEX($B$163:$S$167,$A152,L$4)</f>
        <v>1.145075041943645E-4</v>
      </c>
      <c r="M206" s="738">
        <f ca="1">Drivers2!$R92*M152/$T152*INDEX($B$163:$S$167,$A152,M$4)</f>
        <v>0</v>
      </c>
      <c r="N206" s="738">
        <f ca="1">Drivers2!$R92*N152/$T152*INDEX($B$163:$S$167,$A152,N$4)</f>
        <v>0</v>
      </c>
      <c r="O206" s="738">
        <f ca="1">Drivers2!$R92*O152/$T152*INDEX($B$163:$S$167,$A152,O$4)</f>
        <v>0</v>
      </c>
      <c r="P206" s="738">
        <f ca="1">Drivers2!$R92*P152/$T152*INDEX($B$163:$S$167,$A152,P$4)</f>
        <v>0</v>
      </c>
      <c r="Q206" s="738">
        <f ca="1">Drivers2!$R92*Q152/$T152*INDEX($B$163:$S$167,$A152,Q$4)</f>
        <v>0.10097341417865223</v>
      </c>
      <c r="R206" s="738">
        <f ca="1">Drivers2!$R92*R152/$T152*INDEX($B$163:$S$167,$A152,R$4)</f>
        <v>0</v>
      </c>
      <c r="S206" s="738">
        <f ca="1">Drivers2!$R92*S152/$T152*INDEX($B$163:$S$167,$A152,S$4)</f>
        <v>1.1199169241237466E-2</v>
      </c>
      <c r="T206" s="738">
        <f t="shared" si="54"/>
        <v>0.12313837492937353</v>
      </c>
      <c r="V206" s="613">
        <f ca="1">VLOOKUP($B206,Drivers2!$E$58:$M$93,9,FALSE)</f>
        <v>6.1556255968600711E-2</v>
      </c>
      <c r="W206" s="613" t="s">
        <v>232</v>
      </c>
      <c r="X206" s="613">
        <f t="shared" si="53"/>
        <v>0.499894984028387</v>
      </c>
    </row>
    <row r="207" spans="1:24" hidden="1">
      <c r="K207" s="738">
        <f>SUM(T200,T202:T203)</f>
        <v>0</v>
      </c>
    </row>
    <row r="208" spans="1:24" hidden="1">
      <c r="B208" s="612" t="s">
        <v>676</v>
      </c>
    </row>
    <row r="209" spans="1:21" hidden="1">
      <c r="C209" s="613" t="s">
        <v>905</v>
      </c>
      <c r="D209" s="613" t="s">
        <v>906</v>
      </c>
      <c r="E209" s="613" t="s">
        <v>907</v>
      </c>
      <c r="F209" s="613" t="s">
        <v>908</v>
      </c>
      <c r="G209" s="613" t="s">
        <v>909</v>
      </c>
      <c r="H209" s="613" t="s">
        <v>910</v>
      </c>
      <c r="I209" s="613" t="s">
        <v>911</v>
      </c>
      <c r="J209" s="613" t="s">
        <v>912</v>
      </c>
      <c r="K209" s="613" t="s">
        <v>1150</v>
      </c>
      <c r="L209" s="613" t="s">
        <v>913</v>
      </c>
      <c r="M209" s="613" t="s">
        <v>826</v>
      </c>
      <c r="N209" s="613" t="s">
        <v>914</v>
      </c>
      <c r="O209" s="613" t="s">
        <v>915</v>
      </c>
      <c r="P209" s="613" t="s">
        <v>916</v>
      </c>
      <c r="Q209" s="613" t="s">
        <v>917</v>
      </c>
      <c r="R209" s="613" t="s">
        <v>950</v>
      </c>
      <c r="S209" s="613" t="s">
        <v>946</v>
      </c>
      <c r="T209" s="613" t="s">
        <v>888</v>
      </c>
      <c r="U209" s="613" t="s">
        <v>382</v>
      </c>
    </row>
    <row r="210" spans="1:21" hidden="1">
      <c r="B210" s="655" t="s">
        <v>50</v>
      </c>
      <c r="C210" s="751">
        <f ca="1">Drivers2!$X$29</f>
        <v>0.86</v>
      </c>
      <c r="D210" s="751">
        <v>0.35</v>
      </c>
      <c r="E210" s="751">
        <v>0.35</v>
      </c>
      <c r="F210" s="751"/>
      <c r="G210" s="751"/>
      <c r="H210" s="751"/>
      <c r="I210" s="751"/>
      <c r="J210" s="751"/>
      <c r="K210" s="751"/>
      <c r="L210" s="751"/>
      <c r="M210" s="751">
        <v>0.35</v>
      </c>
      <c r="N210" s="751"/>
      <c r="O210" s="751">
        <v>0.35</v>
      </c>
      <c r="P210" s="751"/>
      <c r="Q210" s="751"/>
      <c r="R210" s="751"/>
      <c r="S210" s="751"/>
      <c r="T210" s="751"/>
      <c r="U210" s="751"/>
    </row>
    <row r="211" spans="1:21" hidden="1">
      <c r="A211" s="613" t="s">
        <v>579</v>
      </c>
      <c r="B211" s="613" t="s">
        <v>962</v>
      </c>
      <c r="C211" s="738">
        <f t="shared" ref="C211:L215" si="55">VLOOKUP($B211,$B$172:$T$206,C$4,FALSE)</f>
        <v>4.4280315532862852E-2</v>
      </c>
      <c r="D211" s="738">
        <f t="shared" si="55"/>
        <v>0</v>
      </c>
      <c r="E211" s="738">
        <f t="shared" si="55"/>
        <v>4.5841003409400442E-3</v>
      </c>
      <c r="F211" s="738">
        <f t="shared" si="55"/>
        <v>0</v>
      </c>
      <c r="G211" s="738">
        <f t="shared" si="55"/>
        <v>0</v>
      </c>
      <c r="H211" s="738">
        <f t="shared" si="55"/>
        <v>0</v>
      </c>
      <c r="I211" s="738">
        <f t="shared" si="55"/>
        <v>0</v>
      </c>
      <c r="J211" s="738">
        <f t="shared" si="55"/>
        <v>0</v>
      </c>
      <c r="K211" s="738">
        <f t="shared" si="55"/>
        <v>0</v>
      </c>
      <c r="L211" s="738">
        <f t="shared" si="55"/>
        <v>0</v>
      </c>
      <c r="M211" s="738">
        <f t="shared" ref="M211:T215" si="56">VLOOKUP($B211,$B$172:$T$206,M$4,FALSE)</f>
        <v>6.5234830425659623E-4</v>
      </c>
      <c r="N211" s="738">
        <f t="shared" si="56"/>
        <v>0</v>
      </c>
      <c r="O211" s="738">
        <f t="shared" si="56"/>
        <v>0</v>
      </c>
      <c r="P211" s="738">
        <f t="shared" si="56"/>
        <v>0</v>
      </c>
      <c r="Q211" s="738">
        <f t="shared" si="56"/>
        <v>0</v>
      </c>
      <c r="R211" s="738">
        <f t="shared" si="56"/>
        <v>0</v>
      </c>
      <c r="S211" s="738">
        <f t="shared" si="56"/>
        <v>0</v>
      </c>
      <c r="T211" s="738">
        <f t="shared" si="56"/>
        <v>4.9516764178059496E-2</v>
      </c>
      <c r="U211" s="738">
        <f>SUMPRODUCT($C$210:$S$210,$C211:$S211)</f>
        <v>3.9913828384080877E-2</v>
      </c>
    </row>
    <row r="212" spans="1:21" hidden="1">
      <c r="A212" s="613" t="s">
        <v>653</v>
      </c>
      <c r="B212" s="613" t="s">
        <v>966</v>
      </c>
      <c r="C212" s="738">
        <f t="shared" si="55"/>
        <v>7.8875065098693228E-2</v>
      </c>
      <c r="D212" s="738">
        <f t="shared" si="55"/>
        <v>0</v>
      </c>
      <c r="E212" s="738">
        <f t="shared" si="55"/>
        <v>8.5303473310795169E-3</v>
      </c>
      <c r="F212" s="738">
        <f t="shared" si="55"/>
        <v>0</v>
      </c>
      <c r="G212" s="738">
        <f t="shared" si="55"/>
        <v>0</v>
      </c>
      <c r="H212" s="738">
        <f t="shared" si="55"/>
        <v>0</v>
      </c>
      <c r="I212" s="738">
        <f t="shared" si="55"/>
        <v>0</v>
      </c>
      <c r="J212" s="738">
        <f t="shared" si="55"/>
        <v>0</v>
      </c>
      <c r="K212" s="738">
        <f t="shared" si="55"/>
        <v>0</v>
      </c>
      <c r="L212" s="738">
        <f t="shared" si="55"/>
        <v>0</v>
      </c>
      <c r="M212" s="738">
        <f t="shared" si="56"/>
        <v>2.4082340133711609E-3</v>
      </c>
      <c r="N212" s="738">
        <f t="shared" si="56"/>
        <v>0</v>
      </c>
      <c r="O212" s="738">
        <f t="shared" si="56"/>
        <v>0</v>
      </c>
      <c r="P212" s="738">
        <f t="shared" si="56"/>
        <v>0</v>
      </c>
      <c r="Q212" s="738">
        <f t="shared" si="56"/>
        <v>0</v>
      </c>
      <c r="R212" s="738">
        <f t="shared" si="56"/>
        <v>0</v>
      </c>
      <c r="S212" s="738">
        <f t="shared" si="56"/>
        <v>0</v>
      </c>
      <c r="T212" s="738">
        <f t="shared" si="56"/>
        <v>8.9813646443143907E-2</v>
      </c>
      <c r="U212" s="738">
        <f>SUMPRODUCT($C$210:$S$210,$C212:$S212)</f>
        <v>7.1661059455433898E-2</v>
      </c>
    </row>
    <row r="213" spans="1:21" hidden="1">
      <c r="A213" s="613" t="s">
        <v>862</v>
      </c>
      <c r="B213" s="613" t="s">
        <v>968</v>
      </c>
      <c r="C213" s="738">
        <f t="shared" si="55"/>
        <v>6.2727911779217077E-2</v>
      </c>
      <c r="D213" s="738">
        <f t="shared" si="55"/>
        <v>0</v>
      </c>
      <c r="E213" s="738">
        <f t="shared" si="55"/>
        <v>2.0144811221675832E-3</v>
      </c>
      <c r="F213" s="738">
        <f t="shared" si="55"/>
        <v>0</v>
      </c>
      <c r="G213" s="738">
        <f t="shared" si="55"/>
        <v>0</v>
      </c>
      <c r="H213" s="738">
        <f t="shared" si="55"/>
        <v>0</v>
      </c>
      <c r="I213" s="738">
        <f t="shared" si="55"/>
        <v>0</v>
      </c>
      <c r="J213" s="738">
        <f t="shared" si="55"/>
        <v>0</v>
      </c>
      <c r="K213" s="738">
        <f t="shared" si="55"/>
        <v>0</v>
      </c>
      <c r="L213" s="738">
        <f t="shared" si="55"/>
        <v>0</v>
      </c>
      <c r="M213" s="738">
        <f t="shared" si="56"/>
        <v>0</v>
      </c>
      <c r="N213" s="738">
        <f t="shared" si="56"/>
        <v>0</v>
      </c>
      <c r="O213" s="738">
        <f t="shared" si="56"/>
        <v>0</v>
      </c>
      <c r="P213" s="738">
        <f t="shared" si="56"/>
        <v>0</v>
      </c>
      <c r="Q213" s="738">
        <f t="shared" si="56"/>
        <v>0</v>
      </c>
      <c r="R213" s="738">
        <f t="shared" si="56"/>
        <v>0</v>
      </c>
      <c r="S213" s="738">
        <f t="shared" si="56"/>
        <v>0</v>
      </c>
      <c r="T213" s="738">
        <f t="shared" si="56"/>
        <v>6.4742392901384657E-2</v>
      </c>
      <c r="U213" s="738">
        <f>SUMPRODUCT($C$210:$S$210,$C213:$S213)</f>
        <v>5.4651072522885341E-2</v>
      </c>
    </row>
    <row r="214" spans="1:21" hidden="1">
      <c r="A214" s="613" t="s">
        <v>572</v>
      </c>
      <c r="B214" s="613" t="s">
        <v>973</v>
      </c>
      <c r="C214" s="738">
        <f t="shared" si="55"/>
        <v>0.22277905567970444</v>
      </c>
      <c r="D214" s="738">
        <f t="shared" si="55"/>
        <v>0</v>
      </c>
      <c r="E214" s="738">
        <f t="shared" si="55"/>
        <v>2.4544749721908003E-2</v>
      </c>
      <c r="F214" s="738">
        <f t="shared" si="55"/>
        <v>0</v>
      </c>
      <c r="G214" s="738">
        <f t="shared" si="55"/>
        <v>0</v>
      </c>
      <c r="H214" s="738">
        <f t="shared" si="55"/>
        <v>0</v>
      </c>
      <c r="I214" s="738">
        <f t="shared" si="55"/>
        <v>0</v>
      </c>
      <c r="J214" s="738">
        <f t="shared" si="55"/>
        <v>0</v>
      </c>
      <c r="K214" s="738">
        <f t="shared" si="55"/>
        <v>0</v>
      </c>
      <c r="L214" s="738">
        <f t="shared" si="55"/>
        <v>0</v>
      </c>
      <c r="M214" s="738">
        <f t="shared" si="56"/>
        <v>2.307452295542299E-4</v>
      </c>
      <c r="N214" s="738">
        <f t="shared" si="56"/>
        <v>0</v>
      </c>
      <c r="O214" s="738">
        <f t="shared" si="56"/>
        <v>0</v>
      </c>
      <c r="P214" s="738">
        <f t="shared" si="56"/>
        <v>0</v>
      </c>
      <c r="Q214" s="738">
        <f t="shared" si="56"/>
        <v>0</v>
      </c>
      <c r="R214" s="738">
        <f t="shared" si="56"/>
        <v>0</v>
      </c>
      <c r="S214" s="738">
        <f t="shared" si="56"/>
        <v>0</v>
      </c>
      <c r="T214" s="738">
        <f t="shared" si="56"/>
        <v>0.24755455063116669</v>
      </c>
      <c r="U214" s="738">
        <f>SUMPRODUCT($C$210:$S$210,$C214:$S214)</f>
        <v>0.20026141111755758</v>
      </c>
    </row>
    <row r="215" spans="1:21" hidden="1">
      <c r="A215" s="613" t="s">
        <v>981</v>
      </c>
      <c r="B215" s="613" t="s">
        <v>970</v>
      </c>
      <c r="C215" s="738">
        <f t="shared" si="55"/>
        <v>5.1333906859271923E-2</v>
      </c>
      <c r="D215" s="738">
        <f t="shared" si="55"/>
        <v>0</v>
      </c>
      <c r="E215" s="738">
        <f t="shared" si="55"/>
        <v>0</v>
      </c>
      <c r="F215" s="738">
        <f t="shared" si="55"/>
        <v>0</v>
      </c>
      <c r="G215" s="738">
        <f t="shared" si="55"/>
        <v>0</v>
      </c>
      <c r="H215" s="738">
        <f t="shared" si="55"/>
        <v>0</v>
      </c>
      <c r="I215" s="738">
        <f t="shared" si="55"/>
        <v>0</v>
      </c>
      <c r="J215" s="738">
        <f t="shared" si="55"/>
        <v>0</v>
      </c>
      <c r="K215" s="738">
        <f t="shared" si="55"/>
        <v>0</v>
      </c>
      <c r="L215" s="738">
        <f t="shared" si="55"/>
        <v>0</v>
      </c>
      <c r="M215" s="738">
        <f t="shared" si="56"/>
        <v>0</v>
      </c>
      <c r="N215" s="738">
        <f t="shared" si="56"/>
        <v>0</v>
      </c>
      <c r="O215" s="738">
        <f t="shared" si="56"/>
        <v>0</v>
      </c>
      <c r="P215" s="738">
        <f t="shared" si="56"/>
        <v>0</v>
      </c>
      <c r="Q215" s="738">
        <f t="shared" si="56"/>
        <v>0</v>
      </c>
      <c r="R215" s="738">
        <f t="shared" si="56"/>
        <v>0</v>
      </c>
      <c r="S215" s="738">
        <f t="shared" si="56"/>
        <v>0</v>
      </c>
      <c r="T215" s="738">
        <f t="shared" si="56"/>
        <v>5.1333906859271923E-2</v>
      </c>
      <c r="U215" s="738">
        <f>SUMPRODUCT($C$210:$S$210,$C215:$S215)</f>
        <v>4.4147159898973852E-2</v>
      </c>
    </row>
    <row r="216" spans="1:21" hidden="1">
      <c r="B216" s="655" t="s">
        <v>674</v>
      </c>
      <c r="C216" s="753">
        <f t="shared" ref="C216:U216" si="57">SUM(C211:C215)</f>
        <v>0.45999625494974955</v>
      </c>
      <c r="D216" s="753">
        <f t="shared" si="57"/>
        <v>0</v>
      </c>
      <c r="E216" s="753">
        <f t="shared" si="57"/>
        <v>3.967367851609515E-2</v>
      </c>
      <c r="F216" s="753">
        <f t="shared" si="57"/>
        <v>0</v>
      </c>
      <c r="G216" s="753">
        <f t="shared" si="57"/>
        <v>0</v>
      </c>
      <c r="H216" s="753">
        <f t="shared" si="57"/>
        <v>0</v>
      </c>
      <c r="I216" s="753">
        <f t="shared" si="57"/>
        <v>0</v>
      </c>
      <c r="J216" s="753">
        <f t="shared" si="57"/>
        <v>0</v>
      </c>
      <c r="K216" s="753">
        <f t="shared" si="57"/>
        <v>0</v>
      </c>
      <c r="L216" s="753">
        <f t="shared" si="57"/>
        <v>0</v>
      </c>
      <c r="M216" s="753">
        <f t="shared" si="57"/>
        <v>3.2913275471819869E-3</v>
      </c>
      <c r="N216" s="753">
        <f t="shared" si="57"/>
        <v>0</v>
      </c>
      <c r="O216" s="753">
        <f t="shared" si="57"/>
        <v>0</v>
      </c>
      <c r="P216" s="753">
        <f t="shared" si="57"/>
        <v>0</v>
      </c>
      <c r="Q216" s="753">
        <f t="shared" si="57"/>
        <v>0</v>
      </c>
      <c r="R216" s="753">
        <f t="shared" si="57"/>
        <v>0</v>
      </c>
      <c r="S216" s="753">
        <f t="shared" si="57"/>
        <v>0</v>
      </c>
      <c r="T216" s="753">
        <f t="shared" si="57"/>
        <v>0.50296126101302674</v>
      </c>
      <c r="U216" s="753">
        <f t="shared" si="57"/>
        <v>0.41063453137893152</v>
      </c>
    </row>
    <row r="217" spans="1:21" hidden="1"/>
    <row r="218" spans="1:21" hidden="1">
      <c r="C218" s="613" t="s">
        <v>905</v>
      </c>
      <c r="D218" s="613" t="s">
        <v>906</v>
      </c>
      <c r="E218" s="613" t="s">
        <v>907</v>
      </c>
      <c r="F218" s="613" t="s">
        <v>908</v>
      </c>
      <c r="G218" s="613" t="s">
        <v>909</v>
      </c>
      <c r="H218" s="613" t="s">
        <v>910</v>
      </c>
      <c r="I218" s="613" t="s">
        <v>911</v>
      </c>
      <c r="J218" s="613" t="s">
        <v>912</v>
      </c>
      <c r="K218" s="613" t="s">
        <v>1150</v>
      </c>
      <c r="L218" s="613" t="s">
        <v>913</v>
      </c>
      <c r="M218" s="613" t="s">
        <v>826</v>
      </c>
      <c r="N218" s="613" t="s">
        <v>914</v>
      </c>
      <c r="O218" s="613" t="s">
        <v>915</v>
      </c>
      <c r="P218" s="613" t="s">
        <v>916</v>
      </c>
      <c r="Q218" s="613" t="s">
        <v>917</v>
      </c>
      <c r="R218" s="613" t="s">
        <v>950</v>
      </c>
      <c r="S218" s="613" t="s">
        <v>946</v>
      </c>
      <c r="T218" s="613" t="s">
        <v>888</v>
      </c>
      <c r="U218" s="613" t="s">
        <v>382</v>
      </c>
    </row>
    <row r="219" spans="1:21" hidden="1">
      <c r="B219" s="655" t="s">
        <v>50</v>
      </c>
      <c r="C219" s="751">
        <v>0.95</v>
      </c>
      <c r="D219" s="751">
        <f t="array" aca="1" ref="D219:Q219" ca="1">Drivers2!$X$27</f>
        <v>0.82</v>
      </c>
      <c r="E219" s="751">
        <f ca="1"/>
        <v>0.82</v>
      </c>
      <c r="F219" s="751">
        <f ca="1"/>
        <v>0.82</v>
      </c>
      <c r="G219" s="751">
        <f ca="1"/>
        <v>0.82</v>
      </c>
      <c r="H219" s="751">
        <f ca="1"/>
        <v>0.82</v>
      </c>
      <c r="I219" s="751">
        <f ca="1"/>
        <v>0.82</v>
      </c>
      <c r="J219" s="751">
        <f ca="1"/>
        <v>0.82</v>
      </c>
      <c r="K219" s="751">
        <f ca="1"/>
        <v>0.82</v>
      </c>
      <c r="L219" s="751">
        <f ca="1"/>
        <v>0.82</v>
      </c>
      <c r="M219" s="751">
        <f ca="1"/>
        <v>0.82</v>
      </c>
      <c r="N219" s="751">
        <f ca="1"/>
        <v>0.82</v>
      </c>
      <c r="O219" s="751">
        <f ca="1"/>
        <v>0.82</v>
      </c>
      <c r="P219" s="751">
        <f ca="1"/>
        <v>0.82</v>
      </c>
      <c r="Q219" s="751">
        <f ca="1"/>
        <v>0.82</v>
      </c>
      <c r="R219" s="754">
        <f>SQRT(Q219)</f>
        <v>0.90553851381374162</v>
      </c>
      <c r="S219" s="751">
        <f>U$47</f>
        <v>0.82</v>
      </c>
      <c r="T219" s="751"/>
      <c r="U219" s="751"/>
    </row>
    <row r="220" spans="1:21" hidden="1">
      <c r="A220" s="613" t="s">
        <v>577</v>
      </c>
      <c r="B220" s="613" t="s">
        <v>963</v>
      </c>
      <c r="C220" s="738">
        <f t="shared" ref="C220:L224" si="58">VLOOKUP($B220,$B$172:$T$206,C$4,FALSE)</f>
        <v>0</v>
      </c>
      <c r="D220" s="738">
        <f t="shared" si="58"/>
        <v>1.2999999999999999E-2</v>
      </c>
      <c r="E220" s="738">
        <f t="shared" si="58"/>
        <v>6.1074361908621715E-3</v>
      </c>
      <c r="F220" s="738">
        <f t="shared" si="58"/>
        <v>0</v>
      </c>
      <c r="G220" s="738">
        <f t="shared" si="58"/>
        <v>0</v>
      </c>
      <c r="H220" s="738">
        <f t="shared" si="58"/>
        <v>0</v>
      </c>
      <c r="I220" s="738">
        <f t="shared" si="58"/>
        <v>0</v>
      </c>
      <c r="J220" s="738">
        <f t="shared" si="58"/>
        <v>0</v>
      </c>
      <c r="K220" s="738">
        <f t="shared" si="58"/>
        <v>0</v>
      </c>
      <c r="L220" s="738">
        <f t="shared" si="58"/>
        <v>1.3999999999999999E-2</v>
      </c>
      <c r="M220" s="738">
        <f t="shared" ref="M220:T224" si="59">VLOOKUP($B220,$B$172:$T$206,M$4,FALSE)</f>
        <v>3.4765169574340357E-4</v>
      </c>
      <c r="N220" s="738">
        <f t="shared" si="59"/>
        <v>0</v>
      </c>
      <c r="O220" s="738">
        <f t="shared" si="59"/>
        <v>0</v>
      </c>
      <c r="P220" s="738">
        <f t="shared" si="59"/>
        <v>0</v>
      </c>
      <c r="Q220" s="738">
        <f t="shared" si="59"/>
        <v>0</v>
      </c>
      <c r="R220" s="738">
        <f t="shared" si="59"/>
        <v>0</v>
      </c>
      <c r="S220" s="738">
        <f t="shared" si="59"/>
        <v>1.1117755853547424E-2</v>
      </c>
      <c r="T220" s="738">
        <f t="shared" si="59"/>
        <v>4.4572843740152995E-2</v>
      </c>
      <c r="U220" s="738">
        <f>SUMPRODUCT($C$219:$S$219,$C220:$S220)</f>
        <v>3.6549731866925457E-2</v>
      </c>
    </row>
    <row r="221" spans="1:21" hidden="1">
      <c r="A221" s="613" t="s">
        <v>92</v>
      </c>
      <c r="B221" s="613" t="s">
        <v>967</v>
      </c>
      <c r="C221" s="738">
        <f t="shared" si="58"/>
        <v>0</v>
      </c>
      <c r="D221" s="738">
        <f t="shared" si="58"/>
        <v>9.8809591105261906E-3</v>
      </c>
      <c r="E221" s="738">
        <f t="shared" si="58"/>
        <v>3.646965266892048E-2</v>
      </c>
      <c r="F221" s="738">
        <f t="shared" si="58"/>
        <v>0</v>
      </c>
      <c r="G221" s="738">
        <f t="shared" si="58"/>
        <v>6.4417943450581008E-2</v>
      </c>
      <c r="H221" s="738">
        <f t="shared" si="58"/>
        <v>0</v>
      </c>
      <c r="I221" s="738">
        <f t="shared" si="58"/>
        <v>0</v>
      </c>
      <c r="J221" s="738">
        <f t="shared" si="58"/>
        <v>0</v>
      </c>
      <c r="K221" s="738">
        <f t="shared" si="58"/>
        <v>1E-3</v>
      </c>
      <c r="L221" s="738">
        <f t="shared" si="58"/>
        <v>3.6257158933070107E-3</v>
      </c>
      <c r="M221" s="738">
        <f t="shared" si="59"/>
        <v>2.0591765986628839E-2</v>
      </c>
      <c r="N221" s="738">
        <f t="shared" si="59"/>
        <v>0</v>
      </c>
      <c r="O221" s="738">
        <f t="shared" si="59"/>
        <v>0</v>
      </c>
      <c r="P221" s="738">
        <f t="shared" si="59"/>
        <v>5.3999999999999999E-2</v>
      </c>
      <c r="Q221" s="738">
        <f t="shared" si="59"/>
        <v>0.01</v>
      </c>
      <c r="R221" s="738">
        <f t="shared" si="59"/>
        <v>0</v>
      </c>
      <c r="S221" s="738">
        <f t="shared" si="59"/>
        <v>5.7454481064933241E-2</v>
      </c>
      <c r="T221" s="738">
        <f t="shared" si="59"/>
        <v>0.25744051817489677</v>
      </c>
      <c r="U221" s="738">
        <f>SUMPRODUCT($C$219:$S$219,$C221:$S221)</f>
        <v>0.21110122490341532</v>
      </c>
    </row>
    <row r="222" spans="1:21" hidden="1">
      <c r="A222" s="613" t="s">
        <v>859</v>
      </c>
      <c r="B222" s="613" t="s">
        <v>969</v>
      </c>
      <c r="C222" s="738">
        <f t="shared" si="58"/>
        <v>0</v>
      </c>
      <c r="D222" s="738">
        <f t="shared" si="58"/>
        <v>3.7543933905406882E-4</v>
      </c>
      <c r="E222" s="738">
        <f t="shared" si="58"/>
        <v>1.2306867373868041E-3</v>
      </c>
      <c r="F222" s="738">
        <f t="shared" si="58"/>
        <v>0</v>
      </c>
      <c r="G222" s="738">
        <f t="shared" si="58"/>
        <v>0</v>
      </c>
      <c r="H222" s="738">
        <f t="shared" si="58"/>
        <v>0</v>
      </c>
      <c r="I222" s="738">
        <f t="shared" si="58"/>
        <v>0</v>
      </c>
      <c r="J222" s="738">
        <f t="shared" si="58"/>
        <v>0</v>
      </c>
      <c r="K222" s="738">
        <f t="shared" si="58"/>
        <v>0</v>
      </c>
      <c r="L222" s="738">
        <f t="shared" si="58"/>
        <v>1.2592497891021702E-3</v>
      </c>
      <c r="M222" s="738">
        <f t="shared" si="59"/>
        <v>2.9999999999999996E-3</v>
      </c>
      <c r="N222" s="738">
        <f t="shared" si="59"/>
        <v>0</v>
      </c>
      <c r="O222" s="738">
        <f t="shared" si="59"/>
        <v>0</v>
      </c>
      <c r="P222" s="738">
        <f t="shared" si="59"/>
        <v>0</v>
      </c>
      <c r="Q222" s="738">
        <f t="shared" si="59"/>
        <v>4.0000000000000001E-3</v>
      </c>
      <c r="R222" s="738">
        <f t="shared" si="59"/>
        <v>0</v>
      </c>
      <c r="S222" s="738">
        <f t="shared" si="59"/>
        <v>2.9549354284702706E-2</v>
      </c>
      <c r="T222" s="738">
        <f t="shared" si="59"/>
        <v>3.9414730150245748E-2</v>
      </c>
      <c r="U222" s="738">
        <f>SUMPRODUCT($C$219:$S$219,$C222:$S222)</f>
        <v>3.2320078723201515E-2</v>
      </c>
    </row>
    <row r="223" spans="1:21" hidden="1">
      <c r="A223" s="613" t="s">
        <v>570</v>
      </c>
      <c r="B223" s="613" t="s">
        <v>974</v>
      </c>
      <c r="C223" s="738">
        <f t="shared" si="58"/>
        <v>0</v>
      </c>
      <c r="D223" s="738">
        <f t="shared" si="58"/>
        <v>0.20434634942141117</v>
      </c>
      <c r="E223" s="738">
        <f t="shared" si="58"/>
        <v>0</v>
      </c>
      <c r="F223" s="738">
        <f t="shared" si="58"/>
        <v>0</v>
      </c>
      <c r="G223" s="738">
        <f t="shared" si="58"/>
        <v>0</v>
      </c>
      <c r="H223" s="738">
        <f t="shared" si="58"/>
        <v>0</v>
      </c>
      <c r="I223" s="738">
        <f t="shared" si="58"/>
        <v>0</v>
      </c>
      <c r="J223" s="738">
        <f t="shared" si="58"/>
        <v>0</v>
      </c>
      <c r="K223" s="738">
        <f t="shared" si="58"/>
        <v>0</v>
      </c>
      <c r="L223" s="738">
        <f t="shared" si="58"/>
        <v>3.7424978076488376E-2</v>
      </c>
      <c r="M223" s="738">
        <f t="shared" si="59"/>
        <v>1.9745048636732351E-3</v>
      </c>
      <c r="N223" s="738">
        <f t="shared" si="59"/>
        <v>0</v>
      </c>
      <c r="O223" s="738">
        <f t="shared" si="59"/>
        <v>0</v>
      </c>
      <c r="P223" s="738">
        <f t="shared" si="59"/>
        <v>0</v>
      </c>
      <c r="Q223" s="738">
        <f t="shared" si="59"/>
        <v>6.9999999999999993E-3</v>
      </c>
      <c r="R223" s="738">
        <f t="shared" si="59"/>
        <v>0</v>
      </c>
      <c r="S223" s="738">
        <f t="shared" si="59"/>
        <v>0.37876484615168338</v>
      </c>
      <c r="T223" s="738">
        <f t="shared" si="59"/>
        <v>0.62951067851325615</v>
      </c>
      <c r="U223" s="738">
        <f>SUMPRODUCT($C$219:$S$219,$C223:$S223)</f>
        <v>0.51619875638086998</v>
      </c>
    </row>
    <row r="224" spans="1:21" hidden="1">
      <c r="A224" s="613" t="s">
        <v>979</v>
      </c>
      <c r="B224" s="613" t="s">
        <v>971</v>
      </c>
      <c r="C224" s="738">
        <f t="shared" si="58"/>
        <v>0</v>
      </c>
      <c r="D224" s="738">
        <f t="shared" si="58"/>
        <v>7.2577805873275103E-4</v>
      </c>
      <c r="E224" s="738">
        <f t="shared" si="58"/>
        <v>3.1762340629917974E-5</v>
      </c>
      <c r="F224" s="738">
        <f t="shared" si="58"/>
        <v>0</v>
      </c>
      <c r="G224" s="738">
        <f t="shared" si="58"/>
        <v>9.3743605926800217E-5</v>
      </c>
      <c r="H224" s="738">
        <f t="shared" si="58"/>
        <v>0</v>
      </c>
      <c r="I224" s="738">
        <f t="shared" si="58"/>
        <v>0</v>
      </c>
      <c r="J224" s="738">
        <f t="shared" si="58"/>
        <v>0</v>
      </c>
      <c r="K224" s="738">
        <f t="shared" si="58"/>
        <v>0.01</v>
      </c>
      <c r="L224" s="738">
        <f t="shared" si="58"/>
        <v>1.145075041943645E-4</v>
      </c>
      <c r="M224" s="738">
        <f t="shared" si="59"/>
        <v>0</v>
      </c>
      <c r="N224" s="738">
        <f t="shared" si="59"/>
        <v>0</v>
      </c>
      <c r="O224" s="738">
        <f t="shared" si="59"/>
        <v>0</v>
      </c>
      <c r="P224" s="738">
        <f t="shared" si="59"/>
        <v>0</v>
      </c>
      <c r="Q224" s="738">
        <f t="shared" si="59"/>
        <v>0.10097341417865223</v>
      </c>
      <c r="R224" s="738">
        <f t="shared" si="59"/>
        <v>0</v>
      </c>
      <c r="S224" s="738">
        <f t="shared" si="59"/>
        <v>1.1199169241237466E-2</v>
      </c>
      <c r="T224" s="738">
        <f t="shared" si="59"/>
        <v>0.12313837492937353</v>
      </c>
      <c r="U224" s="738">
        <f>SUMPRODUCT($C$219:$S$219,$C224:$S224)</f>
        <v>0.10097346744208628</v>
      </c>
    </row>
    <row r="225" spans="1:38" hidden="1">
      <c r="B225" s="655" t="s">
        <v>675</v>
      </c>
      <c r="C225" s="753">
        <f t="shared" ref="C225:U225" si="60">SUM(C220:C224)</f>
        <v>0</v>
      </c>
      <c r="D225" s="753">
        <f t="shared" si="60"/>
        <v>0.22832852592972419</v>
      </c>
      <c r="E225" s="753">
        <f t="shared" si="60"/>
        <v>4.3839537937799378E-2</v>
      </c>
      <c r="F225" s="753">
        <f t="shared" si="60"/>
        <v>0</v>
      </c>
      <c r="G225" s="753">
        <f t="shared" si="60"/>
        <v>6.451168705650781E-2</v>
      </c>
      <c r="H225" s="753">
        <f t="shared" si="60"/>
        <v>0</v>
      </c>
      <c r="I225" s="753">
        <f t="shared" si="60"/>
        <v>0</v>
      </c>
      <c r="J225" s="753">
        <f t="shared" si="60"/>
        <v>0</v>
      </c>
      <c r="K225" s="753">
        <f t="shared" si="60"/>
        <v>1.0999999999999999E-2</v>
      </c>
      <c r="L225" s="753">
        <f t="shared" si="60"/>
        <v>5.6424451263091924E-2</v>
      </c>
      <c r="M225" s="753">
        <f t="shared" si="60"/>
        <v>2.5913922546045479E-2</v>
      </c>
      <c r="N225" s="753">
        <f t="shared" si="60"/>
        <v>0</v>
      </c>
      <c r="O225" s="753">
        <f t="shared" si="60"/>
        <v>0</v>
      </c>
      <c r="P225" s="753">
        <f t="shared" si="60"/>
        <v>5.3999999999999999E-2</v>
      </c>
      <c r="Q225" s="753">
        <f t="shared" si="60"/>
        <v>0.12197341417865223</v>
      </c>
      <c r="R225" s="753">
        <f t="shared" si="60"/>
        <v>0</v>
      </c>
      <c r="S225" s="753">
        <f>SUM(S220:S224)*S$219</f>
        <v>0.40023019740880544</v>
      </c>
      <c r="T225" s="753">
        <f t="shared" si="60"/>
        <v>1.0940771455079252</v>
      </c>
      <c r="U225" s="753">
        <f t="shared" si="60"/>
        <v>0.89714325931649852</v>
      </c>
    </row>
    <row r="226" spans="1:38" hidden="1"/>
    <row r="227" spans="1:38" hidden="1"/>
    <row r="228" spans="1:38" ht="18" hidden="1">
      <c r="B228" s="728" t="s">
        <v>331</v>
      </c>
      <c r="C228" s="729"/>
      <c r="D228" s="708"/>
      <c r="E228" s="729"/>
      <c r="F228" s="708"/>
      <c r="G228" s="708"/>
    </row>
    <row r="229" spans="1:38" hidden="1"/>
    <row r="230" spans="1:38" hidden="1">
      <c r="C230" s="613" t="s">
        <v>557</v>
      </c>
      <c r="D230" s="613" t="s">
        <v>951</v>
      </c>
      <c r="E230" s="613" t="s">
        <v>1084</v>
      </c>
      <c r="F230" s="613" t="s">
        <v>756</v>
      </c>
      <c r="G230" s="613" t="s">
        <v>952</v>
      </c>
      <c r="H230" s="613" t="s">
        <v>953</v>
      </c>
      <c r="I230" s="613" t="s">
        <v>954</v>
      </c>
      <c r="J230" s="613" t="s">
        <v>955</v>
      </c>
      <c r="K230" s="613" t="s">
        <v>956</v>
      </c>
      <c r="L230" s="613" t="s">
        <v>830</v>
      </c>
      <c r="M230" s="613" t="s">
        <v>831</v>
      </c>
      <c r="N230" s="613" t="s">
        <v>832</v>
      </c>
      <c r="O230" s="613" t="s">
        <v>833</v>
      </c>
      <c r="P230" s="613" t="s">
        <v>834</v>
      </c>
      <c r="Q230" s="613" t="s">
        <v>835</v>
      </c>
      <c r="R230" s="613" t="s">
        <v>836</v>
      </c>
      <c r="S230" s="613" t="s">
        <v>837</v>
      </c>
      <c r="T230" s="613" t="s">
        <v>838</v>
      </c>
      <c r="U230" s="613" t="s">
        <v>839</v>
      </c>
      <c r="V230" s="613" t="s">
        <v>843</v>
      </c>
      <c r="W230" s="613" t="s">
        <v>841</v>
      </c>
      <c r="X230" s="613" t="s">
        <v>842</v>
      </c>
      <c r="Y230" s="613" t="s">
        <v>606</v>
      </c>
      <c r="Z230" s="613" t="s">
        <v>846</v>
      </c>
      <c r="AA230" s="613" t="s">
        <v>1289</v>
      </c>
      <c r="AB230" s="613" t="s">
        <v>847</v>
      </c>
      <c r="AC230" s="613" t="s">
        <v>608</v>
      </c>
      <c r="AD230" s="613" t="s">
        <v>609</v>
      </c>
      <c r="AE230" s="613" t="s">
        <v>844</v>
      </c>
      <c r="AF230" s="613" t="s">
        <v>845</v>
      </c>
      <c r="AG230" s="613" t="s">
        <v>757</v>
      </c>
      <c r="AH230" s="613" t="s">
        <v>310</v>
      </c>
      <c r="AI230" s="613" t="s">
        <v>311</v>
      </c>
      <c r="AJ230" s="613" t="s">
        <v>312</v>
      </c>
      <c r="AK230" s="613" t="s">
        <v>313</v>
      </c>
      <c r="AL230" s="613" t="s">
        <v>888</v>
      </c>
    </row>
    <row r="231" spans="1:38" hidden="1">
      <c r="B231" s="613" t="s">
        <v>291</v>
      </c>
      <c r="C231" s="613">
        <v>2</v>
      </c>
      <c r="D231" s="613">
        <f>C231+1</f>
        <v>3</v>
      </c>
      <c r="E231" s="613">
        <f t="shared" ref="E231:AL231" si="61">D231+1</f>
        <v>4</v>
      </c>
      <c r="F231" s="613">
        <f t="shared" si="61"/>
        <v>5</v>
      </c>
      <c r="G231" s="613">
        <f t="shared" si="61"/>
        <v>6</v>
      </c>
      <c r="H231" s="613">
        <f t="shared" si="61"/>
        <v>7</v>
      </c>
      <c r="I231" s="613">
        <f t="shared" si="61"/>
        <v>8</v>
      </c>
      <c r="J231" s="613">
        <f t="shared" si="61"/>
        <v>9</v>
      </c>
      <c r="K231" s="613">
        <f t="shared" si="61"/>
        <v>10</v>
      </c>
      <c r="L231" s="613">
        <f t="shared" si="61"/>
        <v>11</v>
      </c>
      <c r="M231" s="613">
        <f t="shared" si="61"/>
        <v>12</v>
      </c>
      <c r="N231" s="613">
        <f t="shared" si="61"/>
        <v>13</v>
      </c>
      <c r="O231" s="613">
        <f t="shared" si="61"/>
        <v>14</v>
      </c>
      <c r="P231" s="613">
        <f t="shared" si="61"/>
        <v>15</v>
      </c>
      <c r="Q231" s="613">
        <f t="shared" si="61"/>
        <v>16</v>
      </c>
      <c r="R231" s="613">
        <f t="shared" si="61"/>
        <v>17</v>
      </c>
      <c r="S231" s="613">
        <f t="shared" si="61"/>
        <v>18</v>
      </c>
      <c r="T231" s="613">
        <f t="shared" si="61"/>
        <v>19</v>
      </c>
      <c r="U231" s="613">
        <f t="shared" si="61"/>
        <v>20</v>
      </c>
      <c r="V231" s="613">
        <f t="shared" si="61"/>
        <v>21</v>
      </c>
      <c r="W231" s="613">
        <f t="shared" si="61"/>
        <v>22</v>
      </c>
      <c r="X231" s="613">
        <f t="shared" si="61"/>
        <v>23</v>
      </c>
      <c r="Y231" s="613">
        <f t="shared" si="61"/>
        <v>24</v>
      </c>
      <c r="Z231" s="613">
        <f t="shared" si="61"/>
        <v>25</v>
      </c>
      <c r="AA231" s="613">
        <f t="shared" si="61"/>
        <v>26</v>
      </c>
      <c r="AB231" s="613">
        <f t="shared" si="61"/>
        <v>27</v>
      </c>
      <c r="AC231" s="613">
        <f t="shared" si="61"/>
        <v>28</v>
      </c>
      <c r="AD231" s="613">
        <f t="shared" si="61"/>
        <v>29</v>
      </c>
      <c r="AE231" s="613">
        <f t="shared" si="61"/>
        <v>30</v>
      </c>
      <c r="AF231" s="613">
        <f t="shared" si="61"/>
        <v>31</v>
      </c>
      <c r="AG231" s="613">
        <f t="shared" si="61"/>
        <v>32</v>
      </c>
      <c r="AH231" s="613">
        <f t="shared" si="61"/>
        <v>33</v>
      </c>
      <c r="AI231" s="613">
        <f t="shared" si="61"/>
        <v>34</v>
      </c>
      <c r="AJ231" s="613">
        <f t="shared" si="61"/>
        <v>35</v>
      </c>
      <c r="AK231" s="613">
        <f t="shared" si="61"/>
        <v>36</v>
      </c>
      <c r="AL231" s="613">
        <f t="shared" si="61"/>
        <v>37</v>
      </c>
    </row>
    <row r="232" spans="1:38" hidden="1">
      <c r="B232" s="613" t="s">
        <v>375</v>
      </c>
      <c r="C232" s="751">
        <f ca="1">IF(INDEX(IEAData2!$A$21:$AK$21,1,C$231) &gt; 10^-5, INDEX(IEAData2!$A$21:$AK$21,1,C$231),0)</f>
        <v>0</v>
      </c>
      <c r="D232" s="751">
        <f ca="1">IF(INDEX(IEAData2!$A$21:$AK$21,1,D$231) &gt; 10^-5, INDEX(IEAData2!$A$21:$AK$21,1,D$231),0)</f>
        <v>0</v>
      </c>
      <c r="E232" s="751">
        <f ca="1">IF(INDEX(IEAData2!$A$21:$AK$21,1,E$231) &gt; 10^-5, INDEX(IEAData2!$A$21:$AK$21,1,E$231),0)</f>
        <v>0</v>
      </c>
      <c r="F232" s="751">
        <f ca="1">IF(INDEX(IEAData2!$A$21:$AK$21,1,F$231) &gt; 10^-5, INDEX(IEAData2!$A$21:$AK$21,1,F$231),0)</f>
        <v>0</v>
      </c>
      <c r="G232" s="751">
        <f ca="1">IF(INDEX(IEAData2!$A$21:$AK$21,1,G$231) &gt; 10^-5, INDEX(IEAData2!$A$21:$AK$21,1,G$231),0)</f>
        <v>0</v>
      </c>
      <c r="H232" s="751">
        <f ca="1">IF(INDEX(IEAData2!$A$21:$AK$21,1,H$231) &gt; 10^-5, INDEX(IEAData2!$A$21:$AK$21,1,H$231),0)</f>
        <v>0</v>
      </c>
      <c r="I232" s="751">
        <f ca="1">IF(INDEX(IEAData2!$A$21:$AK$21,1,I$231) &gt; 10^-5, INDEX(IEAData2!$A$21:$AK$21,1,I$231),0)</f>
        <v>0</v>
      </c>
      <c r="J232" s="751">
        <f ca="1">IF(INDEX(IEAData2!$A$21:$AK$21,1,J$231) &gt; 10^-5, INDEX(IEAData2!$A$21:$AK$21,1,J$231),0)</f>
        <v>0</v>
      </c>
      <c r="K232" s="751">
        <f ca="1">IF(INDEX(IEAData2!$A$21:$AK$21,1,K$231) &gt; 10^-5, INDEX(IEAData2!$A$21:$AK$21,1,K$231),0)</f>
        <v>0</v>
      </c>
      <c r="L232" s="751">
        <f ca="1">IF(INDEX(IEAData2!$A$21:$AK$21,1,L$231) &gt; 10^-5, INDEX(IEAData2!$A$21:$AK$21,1,L$231),0)</f>
        <v>0</v>
      </c>
      <c r="M232" s="751">
        <f ca="1">IF(INDEX(IEAData2!$A$21:$AK$21,1,M$231) &gt; 10^-5, INDEX(IEAData2!$A$21:$AK$21,1,M$231),0)</f>
        <v>0</v>
      </c>
      <c r="N232" s="751">
        <f ca="1">IF(INDEX(IEAData2!$A$21:$AK$21,1,N$231) &gt; 10^-5, INDEX(IEAData2!$A$21:$AK$21,1,N$231),0)</f>
        <v>0</v>
      </c>
      <c r="O232" s="751">
        <f ca="1">IF(INDEX(IEAData2!$A$21:$AK$21,1,O$231) &gt; 10^-5, INDEX(IEAData2!$A$21:$AK$21,1,O$231),0)</f>
        <v>0</v>
      </c>
      <c r="P232" s="751">
        <f ca="1">IF(INDEX(IEAData2!$A$21:$AK$21,1,P$231) &gt; 10^-5, INDEX(IEAData2!$A$21:$AK$21,1,P$231),0)</f>
        <v>0</v>
      </c>
      <c r="Q232" s="751">
        <f ca="1">IF(INDEX(IEAData2!$A$21:$AK$21,1,Q$231) &gt; 10^-5, INDEX(IEAData2!$A$21:$AK$21,1,Q$231),0)</f>
        <v>0</v>
      </c>
      <c r="R232" s="751">
        <f ca="1">IF(INDEX(IEAData2!$A$21:$AK$21,1,R$231) &gt; 10^-5, INDEX(IEAData2!$A$21:$AK$21,1,R$231),0)</f>
        <v>0</v>
      </c>
      <c r="S232" s="751">
        <f ca="1">IF(INDEX(IEAData2!$A$21:$AK$21,1,S$231) &gt; 10^-5, INDEX(IEAData2!$A$21:$AK$21,1,S$231),0)</f>
        <v>0</v>
      </c>
      <c r="T232" s="751">
        <f ca="1">IF(INDEX(IEAData2!$A$21:$AK$21,1,T$231) &gt; 10^-5, INDEX(IEAData2!$A$21:$AK$21,1,T$231),0)</f>
        <v>0</v>
      </c>
      <c r="U232" s="751">
        <f ca="1">IF(INDEX(IEAData2!$A$21:$AK$21,1,U$231) &gt; 10^-5, INDEX(IEAData2!$A$21:$AK$21,1,U$231),0)</f>
        <v>0</v>
      </c>
      <c r="V232" s="751">
        <f ca="1">IF(INDEX(IEAData2!$A$21:$AK$21,1,V$231) &gt; 10^-5, INDEX(IEAData2!$A$21:$AK$21,1,V$231),0)</f>
        <v>0</v>
      </c>
      <c r="W232" s="751">
        <f ca="1">IF(INDEX(IEAData2!$A$21:$AK$21,1,W$231) &gt; 10^-5, INDEX(IEAData2!$A$21:$AK$21,1,W$231),0)</f>
        <v>0.30499999999999999</v>
      </c>
      <c r="X232" s="751">
        <f ca="1">IF(INDEX(IEAData2!$A$21:$AK$21,1,X$231) &gt; 10^-5, INDEX(IEAData2!$A$21:$AK$21,1,X$231),0)</f>
        <v>0</v>
      </c>
      <c r="Y232" s="751">
        <f ca="1">IF(INDEX(IEAData2!$A$21:$AK$21,1,Y$231) &gt; 10^-5, INDEX(IEAData2!$A$21:$AK$21,1,Y$231),0)</f>
        <v>0</v>
      </c>
      <c r="Z232" s="751">
        <f ca="1">IF(INDEX(IEAData2!$A$21:$AK$21,1,Z$231) &gt; 10^-5, INDEX(IEAData2!$A$21:$AK$21,1,Z$231),0)</f>
        <v>0</v>
      </c>
      <c r="AA232" s="751">
        <f ca="1">IF(INDEX(IEAData2!$A$21:$AK$21,1,AA$231) &gt; 10^-5, INDEX(IEAData2!$A$21:$AK$21,1,AA$231),0)</f>
        <v>0</v>
      </c>
      <c r="AB232" s="751">
        <f ca="1">IF(INDEX(IEAData2!$A$21:$AK$21,1,AB$231) &gt; 10^-5, INDEX(IEAData2!$A$21:$AK$21,1,AB$231),0)</f>
        <v>0</v>
      </c>
      <c r="AC232" s="751">
        <f ca="1">IF(INDEX(IEAData2!$A$21:$AK$21,1,AC$231) &gt; 10^-5, INDEX(IEAData2!$A$21:$AK$21,1,AC$231),0)</f>
        <v>0</v>
      </c>
      <c r="AD232" s="751">
        <f ca="1">IF(INDEX(IEAData2!$A$21:$AK$21,1,AD$231) &gt; 10^-5, INDEX(IEAData2!$A$21:$AK$21,1,AD$231),0)</f>
        <v>0</v>
      </c>
      <c r="AE232" s="751">
        <f ca="1">IF(INDEX(IEAData2!$A$21:$AK$21,1,AE$231) &gt; 10^-5, INDEX(IEAData2!$A$21:$AK$21,1,AE$231),0)</f>
        <v>0</v>
      </c>
      <c r="AF232" s="751">
        <f ca="1">IF(INDEX(IEAData2!$A$21:$AK$21,1,AF$231) &gt; 10^-5, INDEX(IEAData2!$A$21:$AK$21,1,AF$231),0)</f>
        <v>0</v>
      </c>
      <c r="AG232" s="751">
        <f ca="1">IF(INDEX(IEAData2!$A$21:$AK$21,1,AG$231) &gt; 10^-5, INDEX(IEAData2!$A$21:$AK$21,1,AG$231),0)</f>
        <v>0</v>
      </c>
      <c r="AH232" s="751">
        <f ca="1">IF(INDEX(IEAData2!$A$21:$AK$21,1,AH$231) &gt; 10^-5, INDEX(IEAData2!$A$21:$AK$21,1,AH$231),0)</f>
        <v>0</v>
      </c>
      <c r="AI232" s="751">
        <f ca="1">IF(INDEX(IEAData2!$A$21:$AK$21,1,AI$231) &gt; 10^-5, INDEX(IEAData2!$A$21:$AK$21,1,AI$231),0)</f>
        <v>0</v>
      </c>
      <c r="AJ232" s="751">
        <f ca="1">IF(INDEX(IEAData2!$A$21:$AK$21,1,AJ$231) &gt; 10^-5, INDEX(IEAData2!$A$21:$AK$21,1,AJ$231),0)</f>
        <v>0</v>
      </c>
      <c r="AK232" s="751">
        <f ca="1">IF(INDEX(IEAData2!$A$21:$AK$21,1,AK$231) &gt; 10^-5, INDEX(IEAData2!$A$21:$AK$21,1,AK$231),0)</f>
        <v>0</v>
      </c>
      <c r="AL232" s="751">
        <f>MAX(0.001,SUM(C232:AK232))</f>
        <v>0.30499999999999999</v>
      </c>
    </row>
    <row r="233" spans="1:38" hidden="1">
      <c r="B233" s="613" t="s">
        <v>504</v>
      </c>
      <c r="D233" s="768">
        <f ca="1">VLOOKUP(D$230,IND_Emi2!$A$5:$B$47,2,0)</f>
        <v>56.1</v>
      </c>
      <c r="E233" s="768">
        <f ca="1">VLOOKUP(E$230,IND_Emi2!$A$5:$B$47,2,0)</f>
        <v>63.1</v>
      </c>
      <c r="F233" s="768">
        <f ca="1">VLOOKUP(F$230,IND_Emi2!$A$5:$B$47,2,0)</f>
        <v>64.2</v>
      </c>
      <c r="G233" s="768">
        <f ca="1">VLOOKUP(G$230,IND_Emi2!$A$5:$B$47,2,0)</f>
        <v>94.6</v>
      </c>
      <c r="H233" s="768">
        <f ca="1">VLOOKUP(H$230,IND_Emi2!$A$5:$B$47,2,0)</f>
        <v>104.5</v>
      </c>
      <c r="I233" s="768">
        <f ca="1">VLOOKUP(I$230,IND_Emi2!$A$5:$B$47,2,0)</f>
        <v>104.86</v>
      </c>
      <c r="J233" s="768">
        <f ca="1">VLOOKUP(J$230,IND_Emi2!$A$5:$B$47,2,0)</f>
        <v>104.86</v>
      </c>
      <c r="K233" s="768">
        <f ca="1">VLOOKUP(K$230,IND_Emi2!$A$5:$B$47,2,0)</f>
        <v>44.4</v>
      </c>
      <c r="L233" s="768">
        <f ca="1">VLOOKUP(L$230,IND_Emi2!$A$5:$B$47,2,0)</f>
        <v>0</v>
      </c>
      <c r="M233" s="768">
        <f ca="1">VLOOKUP(M$230,IND_Emi2!$A$5:$B$47,2,0)</f>
        <v>0</v>
      </c>
      <c r="N233" s="768">
        <f ca="1">VLOOKUP(N$230,IND_Emi2!$A$5:$B$47,2,0)</f>
        <v>44.4</v>
      </c>
      <c r="O233" s="768">
        <f ca="1">VLOOKUP(O$230,IND_Emi2!$A$5:$B$47,2,0)</f>
        <v>57.6</v>
      </c>
      <c r="P233" s="768">
        <f ca="1">VLOOKUP(P$230,IND_Emi2!$A$5:$B$47,2,0)</f>
        <v>73.3</v>
      </c>
      <c r="Q233" s="768">
        <f ca="1">VLOOKUP(Q$230,IND_Emi2!$A$5:$B$47,2,0)</f>
        <v>77.400000000000006</v>
      </c>
      <c r="R233" s="768">
        <f ca="1">VLOOKUP(R$230,IND_Emi2!$A$5:$B$47,2,0)</f>
        <v>74.099999999999994</v>
      </c>
      <c r="S233" s="768">
        <f ca="1">VLOOKUP(S$230,IND_Emi2!$A$5:$B$47,2,0)</f>
        <v>71.900000000000006</v>
      </c>
      <c r="T233" s="768">
        <f ca="1">VLOOKUP(T$230,IND_Emi2!$A$5:$B$47,2,0)</f>
        <v>69.3</v>
      </c>
      <c r="U233" s="768">
        <f ca="1">VLOOKUP(U$230,IND_Emi2!$A$5:$B$47,2,0)</f>
        <v>73.3</v>
      </c>
      <c r="V233" s="768">
        <f ca="1">VLOOKUP(V$230,IND_Emi2!$A$5:$B$47,2,0)</f>
        <v>61.6</v>
      </c>
      <c r="W233" s="768">
        <f ca="1">VLOOKUP(W$230,IND_Emi2!$A$5:$B$47,2,0)</f>
        <v>73.3</v>
      </c>
      <c r="X233" s="768">
        <f ca="1">VLOOKUP(X$230,IND_Emi2!$A$5:$B$47,2,0)</f>
        <v>97.5</v>
      </c>
      <c r="Y233" s="768">
        <f ca="1">VLOOKUP(Y$230,IND_Emi2!$A$5:$B$47,2,0)</f>
        <v>0</v>
      </c>
      <c r="Z233" s="768">
        <f ca="1">VLOOKUP(Z$230,IND_Emi2!$A$5:$B$47,2,0)</f>
        <v>0</v>
      </c>
      <c r="AA233" s="768">
        <f ca="1">VLOOKUP(AA$230,IND_Emi2!$A$5:$B$47,2,0)</f>
        <v>0</v>
      </c>
      <c r="AB233" s="768">
        <f ca="1">VLOOKUP(AB$230,IND_Emi2!$A$5:$B$47,2,0)</f>
        <v>0</v>
      </c>
      <c r="AC233" s="768">
        <f ca="1">VLOOKUP(AC$230,IND_Emi2!$A$5:$B$47,2,0)</f>
        <v>27.51</v>
      </c>
      <c r="AD233" s="768">
        <f ca="1">VLOOKUP(AD$230,IND_Emi2!$A$5:$B$47,2,0)</f>
        <v>85.85</v>
      </c>
      <c r="AE233" s="768">
        <v>0</v>
      </c>
      <c r="AF233" s="768">
        <v>0</v>
      </c>
      <c r="AG233" s="768">
        <f ca="1">VLOOKUP(AG$230,IND_Emi2!$A$5:$B$47,2,0)</f>
        <v>71.5</v>
      </c>
      <c r="AH233" s="768">
        <f ca="1">VLOOKUP(AH$230,IND_Emi2!$A$5:$B$47,2,0)</f>
        <v>73.3</v>
      </c>
      <c r="AI233" s="768">
        <f ca="1">VLOOKUP(AI$230,IND_Emi2!$A$5:$B$47,2,0)</f>
        <v>37.049999999999997</v>
      </c>
      <c r="AJ233" s="768">
        <f ca="1">VLOOKUP(AJ$230,IND_Emi2!$A$5:$B$47,2,0)</f>
        <v>0</v>
      </c>
      <c r="AK233" s="768">
        <f ca="1">VLOOKUP(AK$230,IND_Emi2!$A$5:$B$47,2,0)</f>
        <v>80.7</v>
      </c>
    </row>
    <row r="234" spans="1:38" hidden="1">
      <c r="K234" s="756"/>
      <c r="S234" s="756"/>
      <c r="T234" s="756"/>
      <c r="X234" s="756"/>
      <c r="AB234" s="756"/>
    </row>
    <row r="235" spans="1:38" hidden="1">
      <c r="B235" s="613" t="s">
        <v>332</v>
      </c>
    </row>
    <row r="236" spans="1:38" hidden="1">
      <c r="C236" s="613" t="s">
        <v>557</v>
      </c>
      <c r="D236" s="613" t="s">
        <v>951</v>
      </c>
      <c r="E236" s="613" t="s">
        <v>1084</v>
      </c>
      <c r="F236" s="613" t="s">
        <v>756</v>
      </c>
      <c r="G236" s="613" t="s">
        <v>952</v>
      </c>
      <c r="H236" s="613" t="s">
        <v>953</v>
      </c>
      <c r="I236" s="613" t="s">
        <v>954</v>
      </c>
      <c r="J236" s="613" t="s">
        <v>955</v>
      </c>
      <c r="K236" s="613" t="s">
        <v>956</v>
      </c>
      <c r="L236" s="613" t="s">
        <v>830</v>
      </c>
      <c r="M236" s="613" t="s">
        <v>831</v>
      </c>
      <c r="N236" s="613" t="s">
        <v>832</v>
      </c>
      <c r="O236" s="613" t="s">
        <v>833</v>
      </c>
      <c r="P236" s="613" t="s">
        <v>834</v>
      </c>
      <c r="Q236" s="613" t="s">
        <v>835</v>
      </c>
      <c r="R236" s="613" t="s">
        <v>836</v>
      </c>
      <c r="S236" s="613" t="s">
        <v>837</v>
      </c>
      <c r="T236" s="613" t="s">
        <v>838</v>
      </c>
      <c r="U236" s="613" t="s">
        <v>839</v>
      </c>
      <c r="V236" s="613" t="s">
        <v>843</v>
      </c>
      <c r="W236" s="613" t="s">
        <v>841</v>
      </c>
      <c r="X236" s="613" t="s">
        <v>842</v>
      </c>
      <c r="Y236" s="613" t="s">
        <v>606</v>
      </c>
      <c r="Z236" s="613" t="s">
        <v>846</v>
      </c>
      <c r="AA236" s="613" t="s">
        <v>846</v>
      </c>
      <c r="AB236" s="613" t="s">
        <v>847</v>
      </c>
      <c r="AC236" s="613" t="s">
        <v>608</v>
      </c>
      <c r="AD236" s="613" t="s">
        <v>609</v>
      </c>
      <c r="AE236" s="613" t="s">
        <v>844</v>
      </c>
      <c r="AF236" s="613" t="s">
        <v>845</v>
      </c>
      <c r="AG236" s="613" t="s">
        <v>757</v>
      </c>
      <c r="AH236" s="613" t="s">
        <v>310</v>
      </c>
      <c r="AI236" s="613" t="s">
        <v>311</v>
      </c>
      <c r="AJ236" s="613" t="s">
        <v>312</v>
      </c>
      <c r="AK236" s="613" t="s">
        <v>313</v>
      </c>
      <c r="AL236" s="613" t="s">
        <v>888</v>
      </c>
    </row>
    <row r="237" spans="1:38" hidden="1">
      <c r="B237" s="613" t="s">
        <v>359</v>
      </c>
      <c r="D237" s="731">
        <v>0.15</v>
      </c>
      <c r="E237" s="731">
        <v>0.1</v>
      </c>
      <c r="O237" s="731">
        <v>0.02</v>
      </c>
      <c r="R237" s="731">
        <v>0.03</v>
      </c>
      <c r="S237" s="704">
        <v>0.02</v>
      </c>
      <c r="T237" s="704">
        <v>0.01</v>
      </c>
      <c r="V237" s="731">
        <v>0.05</v>
      </c>
      <c r="W237" s="731">
        <v>0.62</v>
      </c>
      <c r="AL237" s="704">
        <f>SUM(C237:AK237)</f>
        <v>1</v>
      </c>
    </row>
    <row r="238" spans="1:38" hidden="1">
      <c r="B238" s="613" t="s">
        <v>253</v>
      </c>
      <c r="E238" s="731">
        <v>0.05</v>
      </c>
      <c r="F238" s="731">
        <v>0.01</v>
      </c>
      <c r="Q238" s="731">
        <v>0.2</v>
      </c>
      <c r="R238" s="731">
        <v>0.03</v>
      </c>
      <c r="U238" s="731">
        <v>0.05</v>
      </c>
      <c r="V238" s="731">
        <v>0.05</v>
      </c>
      <c r="W238" s="731">
        <v>0.6</v>
      </c>
      <c r="X238" s="704"/>
      <c r="AL238" s="704">
        <f>SUM(C238:AK238)</f>
        <v>0.99</v>
      </c>
    </row>
    <row r="239" spans="1:38" hidden="1">
      <c r="B239" s="613" t="s">
        <v>357</v>
      </c>
      <c r="D239" s="731">
        <v>0.65</v>
      </c>
      <c r="G239" s="731">
        <v>0.02</v>
      </c>
      <c r="P239" s="731">
        <v>0.03</v>
      </c>
      <c r="Q239" s="731">
        <v>0.2</v>
      </c>
      <c r="R239" s="731">
        <v>0.05</v>
      </c>
      <c r="U239" s="731">
        <v>0.05</v>
      </c>
      <c r="AL239" s="704">
        <f>SUM(C239:AK239)</f>
        <v>1.0000000000000002</v>
      </c>
    </row>
    <row r="240" spans="1:38" s="736" customFormat="1" hidden="1">
      <c r="A240" s="613"/>
      <c r="B240" s="613" t="s">
        <v>354</v>
      </c>
      <c r="C240" s="613"/>
      <c r="D240" s="731">
        <v>0.9</v>
      </c>
      <c r="E240" s="613"/>
      <c r="F240" s="613"/>
      <c r="G240" s="731">
        <v>0.1</v>
      </c>
      <c r="P240" s="735"/>
      <c r="Q240" s="735"/>
      <c r="R240" s="735"/>
      <c r="U240" s="735"/>
      <c r="AL240" s="757"/>
    </row>
    <row r="241" spans="1:39" s="736" customFormat="1" hidden="1">
      <c r="A241" s="613"/>
      <c r="B241" s="613" t="s">
        <v>201</v>
      </c>
      <c r="C241" s="613"/>
      <c r="D241" s="731">
        <f>IF($AL232&gt;0,D232/$AL232)</f>
        <v>0</v>
      </c>
      <c r="E241" s="731">
        <f t="shared" ref="E241:AK241" si="62">IF($AL232&gt;0,E232/$AL232)</f>
        <v>0</v>
      </c>
      <c r="F241" s="731">
        <f t="shared" si="62"/>
        <v>0</v>
      </c>
      <c r="G241" s="731">
        <f t="shared" si="62"/>
        <v>0</v>
      </c>
      <c r="H241" s="731">
        <f t="shared" si="62"/>
        <v>0</v>
      </c>
      <c r="I241" s="731">
        <f t="shared" si="62"/>
        <v>0</v>
      </c>
      <c r="J241" s="731">
        <f t="shared" si="62"/>
        <v>0</v>
      </c>
      <c r="K241" s="731">
        <f t="shared" si="62"/>
        <v>0</v>
      </c>
      <c r="L241" s="731">
        <f t="shared" si="62"/>
        <v>0</v>
      </c>
      <c r="M241" s="731">
        <f t="shared" si="62"/>
        <v>0</v>
      </c>
      <c r="N241" s="731">
        <f t="shared" si="62"/>
        <v>0</v>
      </c>
      <c r="O241" s="731">
        <f t="shared" si="62"/>
        <v>0</v>
      </c>
      <c r="P241" s="731">
        <f t="shared" si="62"/>
        <v>0</v>
      </c>
      <c r="Q241" s="731">
        <f t="shared" si="62"/>
        <v>0</v>
      </c>
      <c r="R241" s="731">
        <f t="shared" si="62"/>
        <v>0</v>
      </c>
      <c r="S241" s="731">
        <f t="shared" si="62"/>
        <v>0</v>
      </c>
      <c r="T241" s="731">
        <f t="shared" si="62"/>
        <v>0</v>
      </c>
      <c r="U241" s="731">
        <f t="shared" si="62"/>
        <v>0</v>
      </c>
      <c r="V241" s="731">
        <f t="shared" ref="V241:AA241" si="63">IF($AL232&gt;0,V232/$AL232)</f>
        <v>0</v>
      </c>
      <c r="W241" s="731">
        <f t="shared" si="63"/>
        <v>1</v>
      </c>
      <c r="X241" s="731">
        <f t="shared" si="63"/>
        <v>0</v>
      </c>
      <c r="Y241" s="731">
        <f t="shared" si="63"/>
        <v>0</v>
      </c>
      <c r="Z241" s="731">
        <f t="shared" si="63"/>
        <v>0</v>
      </c>
      <c r="AA241" s="731">
        <f t="shared" si="63"/>
        <v>0</v>
      </c>
      <c r="AB241" s="731">
        <f t="shared" si="62"/>
        <v>0</v>
      </c>
      <c r="AC241" s="731">
        <f t="shared" si="62"/>
        <v>0</v>
      </c>
      <c r="AD241" s="731">
        <f t="shared" si="62"/>
        <v>0</v>
      </c>
      <c r="AE241" s="731">
        <f t="shared" si="62"/>
        <v>0</v>
      </c>
      <c r="AF241" s="731">
        <f t="shared" si="62"/>
        <v>0</v>
      </c>
      <c r="AG241" s="731">
        <f t="shared" si="62"/>
        <v>0</v>
      </c>
      <c r="AH241" s="731">
        <f t="shared" si="62"/>
        <v>0</v>
      </c>
      <c r="AI241" s="731">
        <f t="shared" si="62"/>
        <v>0</v>
      </c>
      <c r="AJ241" s="731">
        <f t="shared" si="62"/>
        <v>0</v>
      </c>
      <c r="AK241" s="731">
        <f t="shared" si="62"/>
        <v>0</v>
      </c>
      <c r="AL241" s="757"/>
    </row>
    <row r="242" spans="1:39" hidden="1">
      <c r="C242" s="681">
        <f ca="1">SUMPRODUCT(Drivers2!$W$88:$W$92,C237:C241)</f>
        <v>0</v>
      </c>
      <c r="D242" s="681">
        <f ca="1">SUMPRODUCT(Drivers2!$W$88:$W$92,D237:D241)</f>
        <v>0</v>
      </c>
      <c r="E242" s="681">
        <f ca="1">SUMPRODUCT(Drivers2!$W$88:$W$92,E237:E241)</f>
        <v>0</v>
      </c>
      <c r="F242" s="681">
        <f ca="1">SUMPRODUCT(Drivers2!$W$88:$W$92,F237:F241)</f>
        <v>0</v>
      </c>
      <c r="G242" s="681">
        <f ca="1">SUMPRODUCT(Drivers2!$W$88:$W$92,G237:G241)</f>
        <v>0</v>
      </c>
      <c r="H242" s="681">
        <f ca="1">SUMPRODUCT(Drivers2!$W$88:$W$92,H237:H241)</f>
        <v>0</v>
      </c>
      <c r="I242" s="681">
        <f ca="1">SUMPRODUCT(Drivers2!$W$88:$W$92,I237:I241)</f>
        <v>0</v>
      </c>
      <c r="J242" s="681">
        <f ca="1">SUMPRODUCT(Drivers2!$W$88:$W$92,J237:J241)</f>
        <v>0</v>
      </c>
      <c r="K242" s="681">
        <f ca="1">SUMPRODUCT(Drivers2!$W$88:$W$92,K237:K241)</f>
        <v>0</v>
      </c>
      <c r="L242" s="681">
        <f ca="1">SUMPRODUCT(Drivers2!$W$88:$W$92,L237:L241)</f>
        <v>0</v>
      </c>
      <c r="M242" s="681">
        <f ca="1">SUMPRODUCT(Drivers2!$W$88:$W$92,M237:M241)</f>
        <v>0</v>
      </c>
      <c r="N242" s="681">
        <f ca="1">SUMPRODUCT(Drivers2!$W$88:$W$92,N237:N241)</f>
        <v>0</v>
      </c>
      <c r="O242" s="681">
        <f ca="1">SUMPRODUCT(Drivers2!$W$88:$W$92,O237:O241)</f>
        <v>0</v>
      </c>
      <c r="P242" s="681">
        <f ca="1">SUMPRODUCT(Drivers2!$W$88:$W$92,P237:P241)</f>
        <v>0</v>
      </c>
      <c r="Q242" s="681">
        <f ca="1">SUMPRODUCT(Drivers2!$W$88:$W$92,Q237:Q241)</f>
        <v>0</v>
      </c>
      <c r="R242" s="681">
        <f ca="1">SUMPRODUCT(Drivers2!$W$88:$W$92,R237:R241)</f>
        <v>0</v>
      </c>
      <c r="S242" s="681">
        <f ca="1">SUMPRODUCT(Drivers2!$W$88:$W$92,S237:S241)</f>
        <v>0</v>
      </c>
      <c r="T242" s="681">
        <f ca="1">SUMPRODUCT(Drivers2!$W$88:$W$92,T237:T241)</f>
        <v>0</v>
      </c>
      <c r="U242" s="681">
        <f ca="1">SUMPRODUCT(Drivers2!$W$88:$W$92,U237:U241)</f>
        <v>0</v>
      </c>
      <c r="V242" s="681">
        <f ca="1">SUMPRODUCT(Drivers2!$W$88:$W$92,V237:V241)</f>
        <v>0</v>
      </c>
      <c r="W242" s="681">
        <f ca="1">SUMPRODUCT(Drivers2!$W$88:$W$92,W237:W241)</f>
        <v>0.30499999999999999</v>
      </c>
      <c r="X242" s="681">
        <f ca="1">SUMPRODUCT(Drivers2!$W$88:$W$92,X237:X241)</f>
        <v>0</v>
      </c>
      <c r="Y242" s="681">
        <f ca="1">SUMPRODUCT(Drivers2!$W$88:$W$92,Y237:Y241)</f>
        <v>0</v>
      </c>
      <c r="Z242" s="681">
        <f ca="1">SUMPRODUCT(Drivers2!$W$88:$W$92,Z237:Z241)</f>
        <v>0</v>
      </c>
      <c r="AA242" s="681">
        <f ca="1">SUMPRODUCT(Drivers2!$W$88:$W$92,AA237:AA241)</f>
        <v>0</v>
      </c>
      <c r="AB242" s="681">
        <f ca="1">SUMPRODUCT(Drivers2!$W$88:$W$92,AB237:AB241)</f>
        <v>0</v>
      </c>
      <c r="AC242" s="681">
        <f ca="1">SUMPRODUCT(Drivers2!$W$88:$W$92,AC237:AC241)</f>
        <v>0</v>
      </c>
      <c r="AD242" s="681">
        <f ca="1">SUMPRODUCT(Drivers2!$W$88:$W$92,AD237:AD241)</f>
        <v>0</v>
      </c>
      <c r="AE242" s="681">
        <f ca="1">SUMPRODUCT(Drivers2!$W$88:$W$92,AE237:AE241)</f>
        <v>0</v>
      </c>
      <c r="AF242" s="681">
        <f ca="1">SUMPRODUCT(Drivers2!$W$88:$W$92,AF237:AF241)</f>
        <v>0</v>
      </c>
      <c r="AG242" s="681">
        <f ca="1">SUMPRODUCT(Drivers2!$W$88:$W$92,AG237:AG241)</f>
        <v>0</v>
      </c>
      <c r="AH242" s="681">
        <f ca="1">SUMPRODUCT(Drivers2!$W$88:$W$92,AH237:AH241)</f>
        <v>0</v>
      </c>
      <c r="AI242" s="681">
        <f ca="1">SUMPRODUCT(Drivers2!$W$88:$W$92,AI237:AI241)</f>
        <v>0</v>
      </c>
      <c r="AJ242" s="681">
        <f ca="1">SUMPRODUCT(Drivers2!$W$88:$W$92,AJ237:AJ241)</f>
        <v>0</v>
      </c>
      <c r="AK242" s="681">
        <f ca="1">SUMPRODUCT(Drivers2!$W$88:$W$92,AK237:AK241)</f>
        <v>0</v>
      </c>
    </row>
    <row r="243" spans="1:39" hidden="1">
      <c r="B243" s="613" t="s">
        <v>255</v>
      </c>
      <c r="AM243" s="709" t="s">
        <v>503</v>
      </c>
    </row>
    <row r="244" spans="1:39" hidden="1">
      <c r="B244" s="613" t="s">
        <v>359</v>
      </c>
      <c r="C244" s="766">
        <f>IF(C$242&gt;0,C237*C$232/C$242,0)</f>
        <v>0</v>
      </c>
      <c r="D244" s="766">
        <f t="shared" ref="D244:AK244" si="64">IF(D$242&gt;0,D237*D$232/D$242,0)</f>
        <v>0</v>
      </c>
      <c r="E244" s="766">
        <f t="shared" si="64"/>
        <v>0</v>
      </c>
      <c r="F244" s="766">
        <f t="shared" si="64"/>
        <v>0</v>
      </c>
      <c r="G244" s="766">
        <f t="shared" si="64"/>
        <v>0</v>
      </c>
      <c r="H244" s="766">
        <f t="shared" si="64"/>
        <v>0</v>
      </c>
      <c r="I244" s="766">
        <f t="shared" si="64"/>
        <v>0</v>
      </c>
      <c r="J244" s="766">
        <f t="shared" si="64"/>
        <v>0</v>
      </c>
      <c r="K244" s="766">
        <f t="shared" si="64"/>
        <v>0</v>
      </c>
      <c r="L244" s="766">
        <f t="shared" si="64"/>
        <v>0</v>
      </c>
      <c r="M244" s="766">
        <f t="shared" si="64"/>
        <v>0</v>
      </c>
      <c r="N244" s="766">
        <f t="shared" si="64"/>
        <v>0</v>
      </c>
      <c r="O244" s="766">
        <f t="shared" si="64"/>
        <v>0</v>
      </c>
      <c r="P244" s="766">
        <f t="shared" si="64"/>
        <v>0</v>
      </c>
      <c r="Q244" s="766">
        <f t="shared" si="64"/>
        <v>0</v>
      </c>
      <c r="R244" s="766">
        <f t="shared" si="64"/>
        <v>0</v>
      </c>
      <c r="S244" s="766">
        <f t="shared" si="64"/>
        <v>0</v>
      </c>
      <c r="T244" s="766">
        <f t="shared" si="64"/>
        <v>0</v>
      </c>
      <c r="U244" s="766">
        <f t="shared" si="64"/>
        <v>0</v>
      </c>
      <c r="V244" s="766">
        <f t="shared" ref="V244:AA248" si="65">IF(V$242&gt;0,V237*V$232/V$242,0)</f>
        <v>0</v>
      </c>
      <c r="W244" s="766">
        <f t="shared" si="65"/>
        <v>0.62</v>
      </c>
      <c r="X244" s="766">
        <f t="shared" si="65"/>
        <v>0</v>
      </c>
      <c r="Y244" s="766">
        <f t="shared" si="65"/>
        <v>0</v>
      </c>
      <c r="Z244" s="766">
        <f t="shared" si="65"/>
        <v>0</v>
      </c>
      <c r="AA244" s="766">
        <f t="shared" si="65"/>
        <v>0</v>
      </c>
      <c r="AB244" s="766">
        <f t="shared" si="64"/>
        <v>0</v>
      </c>
      <c r="AC244" s="766">
        <f t="shared" si="64"/>
        <v>0</v>
      </c>
      <c r="AD244" s="766">
        <f t="shared" si="64"/>
        <v>0</v>
      </c>
      <c r="AE244" s="766">
        <f t="shared" si="64"/>
        <v>0</v>
      </c>
      <c r="AF244" s="766">
        <f t="shared" si="64"/>
        <v>0</v>
      </c>
      <c r="AG244" s="766">
        <f t="shared" si="64"/>
        <v>0</v>
      </c>
      <c r="AH244" s="766">
        <f t="shared" si="64"/>
        <v>0</v>
      </c>
      <c r="AI244" s="766">
        <f t="shared" si="64"/>
        <v>0</v>
      </c>
      <c r="AJ244" s="766">
        <f t="shared" si="64"/>
        <v>0</v>
      </c>
      <c r="AK244" s="766">
        <f t="shared" si="64"/>
        <v>0</v>
      </c>
      <c r="AL244" s="766">
        <f ca="1">MAX(Tiny,SUM(C244:AK244))</f>
        <v>0.62</v>
      </c>
      <c r="AM244" s="758">
        <v>0.24</v>
      </c>
    </row>
    <row r="245" spans="1:39" hidden="1">
      <c r="B245" s="613" t="s">
        <v>253</v>
      </c>
      <c r="C245" s="766">
        <f>IF(C$242&gt;0,C238*C$232/C$242,0)</f>
        <v>0</v>
      </c>
      <c r="D245" s="766">
        <f t="shared" ref="D245:AK248" si="66">IF(D$242&gt;0,D238*D$232/D$242,0)</f>
        <v>0</v>
      </c>
      <c r="E245" s="766">
        <f t="shared" si="66"/>
        <v>0</v>
      </c>
      <c r="F245" s="766">
        <f t="shared" si="66"/>
        <v>0</v>
      </c>
      <c r="G245" s="766">
        <f t="shared" si="66"/>
        <v>0</v>
      </c>
      <c r="H245" s="766">
        <f t="shared" si="66"/>
        <v>0</v>
      </c>
      <c r="I245" s="766">
        <f t="shared" si="66"/>
        <v>0</v>
      </c>
      <c r="J245" s="766">
        <f t="shared" si="66"/>
        <v>0</v>
      </c>
      <c r="K245" s="766">
        <f t="shared" si="66"/>
        <v>0</v>
      </c>
      <c r="L245" s="766">
        <f t="shared" si="66"/>
        <v>0</v>
      </c>
      <c r="M245" s="766">
        <f t="shared" si="66"/>
        <v>0</v>
      </c>
      <c r="N245" s="766">
        <f t="shared" si="66"/>
        <v>0</v>
      </c>
      <c r="O245" s="766">
        <f t="shared" si="66"/>
        <v>0</v>
      </c>
      <c r="P245" s="766">
        <f t="shared" si="66"/>
        <v>0</v>
      </c>
      <c r="Q245" s="766">
        <f t="shared" si="66"/>
        <v>0</v>
      </c>
      <c r="R245" s="766">
        <f t="shared" si="66"/>
        <v>0</v>
      </c>
      <c r="S245" s="766">
        <f t="shared" si="66"/>
        <v>0</v>
      </c>
      <c r="T245" s="766">
        <f t="shared" si="66"/>
        <v>0</v>
      </c>
      <c r="U245" s="766">
        <f t="shared" si="66"/>
        <v>0</v>
      </c>
      <c r="V245" s="766">
        <f t="shared" si="65"/>
        <v>0</v>
      </c>
      <c r="W245" s="766">
        <f t="shared" si="65"/>
        <v>0.6</v>
      </c>
      <c r="X245" s="766">
        <f t="shared" si="65"/>
        <v>0</v>
      </c>
      <c r="Y245" s="766">
        <f t="shared" si="65"/>
        <v>0</v>
      </c>
      <c r="Z245" s="766">
        <f t="shared" si="65"/>
        <v>0</v>
      </c>
      <c r="AA245" s="766">
        <f t="shared" si="65"/>
        <v>0</v>
      </c>
      <c r="AB245" s="766">
        <f t="shared" si="66"/>
        <v>0</v>
      </c>
      <c r="AC245" s="766">
        <f t="shared" si="66"/>
        <v>0</v>
      </c>
      <c r="AD245" s="766">
        <f t="shared" si="66"/>
        <v>0</v>
      </c>
      <c r="AE245" s="766">
        <f t="shared" si="66"/>
        <v>0</v>
      </c>
      <c r="AF245" s="766">
        <f t="shared" si="66"/>
        <v>0</v>
      </c>
      <c r="AG245" s="766">
        <f t="shared" si="66"/>
        <v>0</v>
      </c>
      <c r="AH245" s="766">
        <f t="shared" si="66"/>
        <v>0</v>
      </c>
      <c r="AI245" s="766">
        <f t="shared" si="66"/>
        <v>0</v>
      </c>
      <c r="AJ245" s="766">
        <f t="shared" si="66"/>
        <v>0</v>
      </c>
      <c r="AK245" s="766">
        <f t="shared" si="66"/>
        <v>0</v>
      </c>
      <c r="AL245" s="766">
        <f ca="1">MAX(Tiny,SUM(C245:AK245))</f>
        <v>0.6</v>
      </c>
      <c r="AM245" s="759">
        <v>0.25</v>
      </c>
    </row>
    <row r="246" spans="1:39" hidden="1">
      <c r="B246" s="613" t="s">
        <v>357</v>
      </c>
      <c r="C246" s="766">
        <f>IF(C$242&gt;0,C239*C$232/C$242,0)</f>
        <v>0</v>
      </c>
      <c r="D246" s="766">
        <f t="shared" ref="D246:R246" si="67">IF(D$242&gt;0,D239*D$232/D$242,0)</f>
        <v>0</v>
      </c>
      <c r="E246" s="766">
        <f t="shared" si="67"/>
        <v>0</v>
      </c>
      <c r="F246" s="766">
        <f t="shared" si="67"/>
        <v>0</v>
      </c>
      <c r="G246" s="766">
        <f t="shared" si="67"/>
        <v>0</v>
      </c>
      <c r="H246" s="766">
        <f t="shared" si="67"/>
        <v>0</v>
      </c>
      <c r="I246" s="766">
        <f t="shared" si="67"/>
        <v>0</v>
      </c>
      <c r="J246" s="766">
        <f t="shared" si="67"/>
        <v>0</v>
      </c>
      <c r="K246" s="766">
        <f t="shared" si="67"/>
        <v>0</v>
      </c>
      <c r="L246" s="766">
        <f t="shared" si="67"/>
        <v>0</v>
      </c>
      <c r="M246" s="766">
        <f t="shared" si="67"/>
        <v>0</v>
      </c>
      <c r="N246" s="766">
        <f t="shared" si="67"/>
        <v>0</v>
      </c>
      <c r="O246" s="766">
        <f t="shared" si="67"/>
        <v>0</v>
      </c>
      <c r="P246" s="766">
        <f t="shared" si="67"/>
        <v>0</v>
      </c>
      <c r="Q246" s="766">
        <f t="shared" si="67"/>
        <v>0</v>
      </c>
      <c r="R246" s="766">
        <f t="shared" si="67"/>
        <v>0</v>
      </c>
      <c r="S246" s="766">
        <f t="shared" si="66"/>
        <v>0</v>
      </c>
      <c r="T246" s="766">
        <f t="shared" si="66"/>
        <v>0</v>
      </c>
      <c r="U246" s="766">
        <f t="shared" si="66"/>
        <v>0</v>
      </c>
      <c r="V246" s="766">
        <f t="shared" si="65"/>
        <v>0</v>
      </c>
      <c r="W246" s="766">
        <f t="shared" si="65"/>
        <v>0</v>
      </c>
      <c r="X246" s="766">
        <f t="shared" si="65"/>
        <v>0</v>
      </c>
      <c r="Y246" s="766">
        <f t="shared" si="65"/>
        <v>0</v>
      </c>
      <c r="Z246" s="766">
        <f t="shared" si="65"/>
        <v>0</v>
      </c>
      <c r="AA246" s="766">
        <f t="shared" si="65"/>
        <v>0</v>
      </c>
      <c r="AB246" s="766">
        <f t="shared" si="66"/>
        <v>0</v>
      </c>
      <c r="AC246" s="766">
        <f t="shared" si="66"/>
        <v>0</v>
      </c>
      <c r="AD246" s="766">
        <f t="shared" si="66"/>
        <v>0</v>
      </c>
      <c r="AE246" s="766">
        <f t="shared" si="66"/>
        <v>0</v>
      </c>
      <c r="AF246" s="766">
        <f t="shared" si="66"/>
        <v>0</v>
      </c>
      <c r="AG246" s="766">
        <f t="shared" si="66"/>
        <v>0</v>
      </c>
      <c r="AH246" s="766">
        <f t="shared" si="66"/>
        <v>0</v>
      </c>
      <c r="AI246" s="766">
        <f t="shared" si="66"/>
        <v>0</v>
      </c>
      <c r="AJ246" s="766">
        <f t="shared" si="66"/>
        <v>0</v>
      </c>
      <c r="AK246" s="766">
        <f t="shared" si="66"/>
        <v>0</v>
      </c>
      <c r="AL246" s="766">
        <f ca="1">MAX(Tiny,SUM(C246:AK246))</f>
        <v>1.0000000000000001E-9</v>
      </c>
      <c r="AM246" s="769">
        <v>0.85</v>
      </c>
    </row>
    <row r="247" spans="1:39" hidden="1">
      <c r="B247" s="613" t="s">
        <v>354</v>
      </c>
      <c r="C247" s="766">
        <f>IF(C$242&gt;0,C240*C$232/C$242,0)</f>
        <v>0</v>
      </c>
      <c r="D247" s="766">
        <f t="shared" si="66"/>
        <v>0</v>
      </c>
      <c r="E247" s="766">
        <f t="shared" si="66"/>
        <v>0</v>
      </c>
      <c r="F247" s="766">
        <f t="shared" si="66"/>
        <v>0</v>
      </c>
      <c r="G247" s="766">
        <f t="shared" si="66"/>
        <v>0</v>
      </c>
      <c r="H247" s="766">
        <f t="shared" si="66"/>
        <v>0</v>
      </c>
      <c r="I247" s="766">
        <f t="shared" si="66"/>
        <v>0</v>
      </c>
      <c r="J247" s="766">
        <f t="shared" si="66"/>
        <v>0</v>
      </c>
      <c r="K247" s="766">
        <f t="shared" si="66"/>
        <v>0</v>
      </c>
      <c r="L247" s="766">
        <f t="shared" si="66"/>
        <v>0</v>
      </c>
      <c r="M247" s="766">
        <f t="shared" si="66"/>
        <v>0</v>
      </c>
      <c r="N247" s="766">
        <f t="shared" si="66"/>
        <v>0</v>
      </c>
      <c r="O247" s="766">
        <f t="shared" si="66"/>
        <v>0</v>
      </c>
      <c r="P247" s="766">
        <f t="shared" si="66"/>
        <v>0</v>
      </c>
      <c r="Q247" s="766">
        <f t="shared" si="66"/>
        <v>0</v>
      </c>
      <c r="R247" s="766">
        <f t="shared" si="66"/>
        <v>0</v>
      </c>
      <c r="S247" s="766">
        <f t="shared" si="66"/>
        <v>0</v>
      </c>
      <c r="T247" s="766">
        <f t="shared" si="66"/>
        <v>0</v>
      </c>
      <c r="U247" s="766">
        <f t="shared" si="66"/>
        <v>0</v>
      </c>
      <c r="V247" s="766">
        <f t="shared" si="65"/>
        <v>0</v>
      </c>
      <c r="W247" s="766">
        <f t="shared" si="65"/>
        <v>0</v>
      </c>
      <c r="X247" s="766">
        <f t="shared" si="65"/>
        <v>0</v>
      </c>
      <c r="Y247" s="766">
        <f t="shared" si="65"/>
        <v>0</v>
      </c>
      <c r="Z247" s="766">
        <f t="shared" si="65"/>
        <v>0</v>
      </c>
      <c r="AA247" s="766">
        <f t="shared" si="65"/>
        <v>0</v>
      </c>
      <c r="AB247" s="766">
        <f t="shared" si="66"/>
        <v>0</v>
      </c>
      <c r="AC247" s="766">
        <f t="shared" si="66"/>
        <v>0</v>
      </c>
      <c r="AD247" s="766">
        <f t="shared" si="66"/>
        <v>0</v>
      </c>
      <c r="AE247" s="766">
        <f t="shared" si="66"/>
        <v>0</v>
      </c>
      <c r="AF247" s="766">
        <f t="shared" si="66"/>
        <v>0</v>
      </c>
      <c r="AG247" s="766">
        <f t="shared" si="66"/>
        <v>0</v>
      </c>
      <c r="AH247" s="766">
        <f t="shared" si="66"/>
        <v>0</v>
      </c>
      <c r="AI247" s="766">
        <f t="shared" si="66"/>
        <v>0</v>
      </c>
      <c r="AJ247" s="766">
        <f t="shared" si="66"/>
        <v>0</v>
      </c>
      <c r="AK247" s="766">
        <f t="shared" si="66"/>
        <v>0</v>
      </c>
      <c r="AL247" s="766">
        <f ca="1">MAX(Tiny,SUM(C247:AK247))</f>
        <v>1.0000000000000001E-9</v>
      </c>
      <c r="AM247" s="770">
        <v>0.05</v>
      </c>
    </row>
    <row r="248" spans="1:39" hidden="1">
      <c r="B248" s="613" t="s">
        <v>535</v>
      </c>
      <c r="C248" s="766">
        <f>IF(C$242&gt;0,C241*C$232/C$242,0)</f>
        <v>0</v>
      </c>
      <c r="D248" s="766">
        <f t="shared" si="66"/>
        <v>0</v>
      </c>
      <c r="E248" s="766">
        <f t="shared" si="66"/>
        <v>0</v>
      </c>
      <c r="F248" s="766">
        <f t="shared" si="66"/>
        <v>0</v>
      </c>
      <c r="G248" s="766">
        <f t="shared" si="66"/>
        <v>0</v>
      </c>
      <c r="H248" s="766">
        <f t="shared" si="66"/>
        <v>0</v>
      </c>
      <c r="I248" s="766">
        <f t="shared" si="66"/>
        <v>0</v>
      </c>
      <c r="J248" s="766">
        <f t="shared" si="66"/>
        <v>0</v>
      </c>
      <c r="K248" s="766">
        <f t="shared" si="66"/>
        <v>0</v>
      </c>
      <c r="L248" s="766">
        <f t="shared" si="66"/>
        <v>0</v>
      </c>
      <c r="M248" s="766">
        <f t="shared" si="66"/>
        <v>0</v>
      </c>
      <c r="N248" s="766">
        <f t="shared" si="66"/>
        <v>0</v>
      </c>
      <c r="O248" s="766">
        <f t="shared" si="66"/>
        <v>0</v>
      </c>
      <c r="P248" s="766">
        <f t="shared" si="66"/>
        <v>0</v>
      </c>
      <c r="Q248" s="766">
        <f t="shared" si="66"/>
        <v>0</v>
      </c>
      <c r="R248" s="766">
        <f t="shared" si="66"/>
        <v>0</v>
      </c>
      <c r="S248" s="766">
        <f t="shared" si="66"/>
        <v>0</v>
      </c>
      <c r="T248" s="766">
        <f t="shared" si="66"/>
        <v>0</v>
      </c>
      <c r="U248" s="766">
        <f t="shared" si="66"/>
        <v>0</v>
      </c>
      <c r="V248" s="766">
        <f t="shared" si="65"/>
        <v>0</v>
      </c>
      <c r="W248" s="766">
        <f t="shared" si="65"/>
        <v>1</v>
      </c>
      <c r="X248" s="766">
        <f t="shared" si="65"/>
        <v>0</v>
      </c>
      <c r="Y248" s="766">
        <f t="shared" si="65"/>
        <v>0</v>
      </c>
      <c r="Z248" s="766">
        <f t="shared" si="65"/>
        <v>0</v>
      </c>
      <c r="AA248" s="766">
        <f t="shared" si="65"/>
        <v>0</v>
      </c>
      <c r="AB248" s="766">
        <f t="shared" si="66"/>
        <v>0</v>
      </c>
      <c r="AC248" s="766">
        <f t="shared" si="66"/>
        <v>0</v>
      </c>
      <c r="AD248" s="766">
        <f t="shared" si="66"/>
        <v>0</v>
      </c>
      <c r="AE248" s="766">
        <f t="shared" si="66"/>
        <v>0</v>
      </c>
      <c r="AF248" s="766">
        <f t="shared" si="66"/>
        <v>0</v>
      </c>
      <c r="AG248" s="766">
        <f t="shared" si="66"/>
        <v>0</v>
      </c>
      <c r="AH248" s="766">
        <f t="shared" si="66"/>
        <v>0</v>
      </c>
      <c r="AI248" s="766">
        <f t="shared" si="66"/>
        <v>0</v>
      </c>
      <c r="AJ248" s="766">
        <f t="shared" si="66"/>
        <v>0</v>
      </c>
      <c r="AK248" s="766">
        <f t="shared" si="66"/>
        <v>0</v>
      </c>
      <c r="AL248" s="766">
        <f ca="1">MAX(Tiny,SUM(C248:AK248))</f>
        <v>1</v>
      </c>
      <c r="AM248" s="762">
        <v>0.25</v>
      </c>
    </row>
    <row r="249" spans="1:39" hidden="1">
      <c r="C249" s="681">
        <f ca="1">SUMPRODUCT(Drivers2!$W$88:$W$92,C244:C248/$AL244:$AL248)</f>
        <v>0</v>
      </c>
      <c r="D249" s="681">
        <f ca="1">SUMPRODUCT(Drivers2!$W$88:$W$92,D244:D248/$AL244:$AL248)</f>
        <v>0</v>
      </c>
      <c r="E249" s="681">
        <f ca="1">SUMPRODUCT(Drivers2!$W$88:$W$92,E244:E248/$AL244:$AL248)</f>
        <v>0</v>
      </c>
      <c r="F249" s="681">
        <f ca="1">SUMPRODUCT(Drivers2!$W$88:$W$92,F244:F248/$AL244:$AL248)</f>
        <v>0</v>
      </c>
      <c r="G249" s="681">
        <f ca="1">SUMPRODUCT(Drivers2!$W$88:$W$92,G244:G248/$AL244:$AL248)</f>
        <v>0</v>
      </c>
      <c r="H249" s="681">
        <f ca="1">SUMPRODUCT(Drivers2!$W$88:$W$92,H244:H248/$AL244:$AL248)</f>
        <v>0</v>
      </c>
      <c r="I249" s="681">
        <f ca="1">SUMPRODUCT(Drivers2!$W$88:$W$92,I244:I248/$AL244:$AL248)</f>
        <v>0</v>
      </c>
      <c r="J249" s="681">
        <f ca="1">SUMPRODUCT(Drivers2!$W$88:$W$92,J244:J248/$AL244:$AL248)</f>
        <v>0</v>
      </c>
      <c r="K249" s="681">
        <f ca="1">SUMPRODUCT(Drivers2!$W$88:$W$92,K244:K248/$AL244:$AL248)</f>
        <v>0</v>
      </c>
      <c r="L249" s="681">
        <f ca="1">SUMPRODUCT(Drivers2!$W$88:$W$92,L244:L248/$AL244:$AL248)</f>
        <v>0</v>
      </c>
      <c r="M249" s="681">
        <f ca="1">SUMPRODUCT(Drivers2!$W$88:$W$92,M244:M248/$AL244:$AL248)</f>
        <v>0</v>
      </c>
      <c r="N249" s="681">
        <f ca="1">SUMPRODUCT(Drivers2!$W$88:$W$92,N244:N248/$AL244:$AL248)</f>
        <v>0</v>
      </c>
      <c r="O249" s="681">
        <f ca="1">SUMPRODUCT(Drivers2!$W$88:$W$92,O244:O248/$AL244:$AL248)</f>
        <v>0</v>
      </c>
      <c r="P249" s="681">
        <f ca="1">SUMPRODUCT(Drivers2!$W$88:$W$92,P244:P248/$AL244:$AL248)</f>
        <v>0</v>
      </c>
      <c r="Q249" s="681">
        <f ca="1">SUMPRODUCT(Drivers2!$W$88:$W$92,Q244:Q248/$AL244:$AL248)</f>
        <v>0</v>
      </c>
      <c r="R249" s="681">
        <f ca="1">SUMPRODUCT(Drivers2!$W$88:$W$92,R244:R248/$AL244:$AL248)</f>
        <v>0</v>
      </c>
      <c r="S249" s="681">
        <f ca="1">SUMPRODUCT(Drivers2!$W$88:$W$92,S244:S248/$AL244:$AL248)</f>
        <v>0</v>
      </c>
      <c r="T249" s="681">
        <f ca="1">SUMPRODUCT(Drivers2!$W$88:$W$92,T244:T248/$AL244:$AL248)</f>
        <v>0</v>
      </c>
      <c r="U249" s="681">
        <f ca="1">SUMPRODUCT(Drivers2!$W$88:$W$92,U244:U248/$AL244:$AL248)</f>
        <v>0</v>
      </c>
      <c r="V249" s="681">
        <f ca="1">SUMPRODUCT(Drivers2!$W$88:$W$92,V244:V248/$AL244:$AL248)</f>
        <v>0</v>
      </c>
      <c r="W249" s="681">
        <f ca="1">SUMPRODUCT(Drivers2!$W$88:$W$92,W244:W248/$AL244:$AL248)</f>
        <v>0.30499999999999999</v>
      </c>
      <c r="X249" s="681">
        <f ca="1">SUMPRODUCT(Drivers2!$W$88:$W$92,X244:X248/$AL244:$AL248)</f>
        <v>0</v>
      </c>
      <c r="Y249" s="681">
        <f ca="1">SUMPRODUCT(Drivers2!$W$88:$W$92,Y244:Y248/$AL244:$AL248)</f>
        <v>0</v>
      </c>
      <c r="Z249" s="681">
        <f ca="1">SUMPRODUCT(Drivers2!$W$88:$W$92,Z244:Z248/$AL244:$AL248)</f>
        <v>0</v>
      </c>
      <c r="AA249" s="681">
        <f ca="1">SUMPRODUCT(Drivers2!$W$88:$W$92,AA244:AA248/$AL244:$AL248)</f>
        <v>0</v>
      </c>
      <c r="AB249" s="681">
        <f ca="1">SUMPRODUCT(Drivers2!$W$88:$W$92,AB244:AB248/$AL244:$AL248)</f>
        <v>0</v>
      </c>
      <c r="AC249" s="681">
        <f ca="1">SUMPRODUCT(Drivers2!$W$88:$W$92,AC244:AC248/$AL244:$AL248)</f>
        <v>0</v>
      </c>
      <c r="AD249" s="681">
        <f ca="1">SUMPRODUCT(Drivers2!$W$88:$W$92,AD244:AD248/$AL244:$AL248)</f>
        <v>0</v>
      </c>
      <c r="AE249" s="681">
        <f ca="1">SUMPRODUCT(Drivers2!$W$88:$W$92,AE244:AE248/$AL244:$AL248)</f>
        <v>0</v>
      </c>
      <c r="AF249" s="681">
        <f ca="1">SUMPRODUCT(Drivers2!$W$88:$W$92,AF244:AF248/$AL244:$AL248)</f>
        <v>0</v>
      </c>
      <c r="AG249" s="681">
        <f ca="1">SUMPRODUCT(Drivers2!$W$88:$W$92,AG244:AG248/$AL244:$AL248)</f>
        <v>0</v>
      </c>
      <c r="AH249" s="681">
        <f ca="1">SUMPRODUCT(Drivers2!$W$88:$W$92,AH244:AH248/$AL244:$AL248)</f>
        <v>0</v>
      </c>
      <c r="AI249" s="681">
        <f ca="1">SUMPRODUCT(Drivers2!$W$88:$W$92,AI244:AI248/$AL244:$AL248)</f>
        <v>0</v>
      </c>
      <c r="AJ249" s="681">
        <f ca="1">SUMPRODUCT(Drivers2!$W$88:$W$92,AJ244:AJ248/$AL244:$AL248)</f>
        <v>0</v>
      </c>
      <c r="AK249" s="681">
        <f ca="1">SUMPRODUCT(Drivers2!$W$88:$W$92,AK244:AK248/$AL244:$AL248)</f>
        <v>0</v>
      </c>
      <c r="AL249" s="681">
        <f>SUM(C249:AK249)</f>
        <v>0.30499999999999999</v>
      </c>
    </row>
    <row r="250" spans="1:39" hidden="1">
      <c r="B250" s="613" t="s">
        <v>333</v>
      </c>
      <c r="AM250" s="709" t="s">
        <v>503</v>
      </c>
    </row>
    <row r="251" spans="1:39" hidden="1">
      <c r="B251" s="613" t="s">
        <v>360</v>
      </c>
      <c r="C251" s="613">
        <f ca="1">IF(C$249&gt;0,Drivers2!$W88*C244/$AL244*C$232/C$249,0)</f>
        <v>0</v>
      </c>
      <c r="D251" s="613">
        <f ca="1">IF(D$249&gt;0,Drivers2!$W88*D244/$AL244*D$232/D$249,0)</f>
        <v>0</v>
      </c>
      <c r="E251" s="613">
        <f ca="1">IF(E$249&gt;0,Drivers2!$W88*E244/$AL244*E$232/E$249,0)</f>
        <v>0</v>
      </c>
      <c r="F251" s="613">
        <f ca="1">IF(F$249&gt;0,Drivers2!$W88*F244/$AL244*F$232/F$249,0)</f>
        <v>0</v>
      </c>
      <c r="G251" s="613">
        <f ca="1">IF(G$249&gt;0,Drivers2!$W88*G244/$AL244*G$232/G$249,0)</f>
        <v>0</v>
      </c>
      <c r="H251" s="613">
        <f ca="1">IF(H$249&gt;0,Drivers2!$W88*H244/$AL244*H$232/H$249,0)</f>
        <v>0</v>
      </c>
      <c r="I251" s="613">
        <f ca="1">IF(I$249&gt;0,Drivers2!$W88*I244/$AL244*I$232/I$249,0)</f>
        <v>0</v>
      </c>
      <c r="J251" s="613">
        <f ca="1">IF(J$249&gt;0,Drivers2!$W88*J244/$AL244*J$232/J$249,0)</f>
        <v>0</v>
      </c>
      <c r="K251" s="613">
        <f ca="1">IF(K$249&gt;0,Drivers2!$W88*K244/$AL244*K$232/K$249,0)</f>
        <v>0</v>
      </c>
      <c r="L251" s="613">
        <f ca="1">IF(L$249&gt;0,Drivers2!$W88*L244/$AL244*L$232/L$249,0)</f>
        <v>0</v>
      </c>
      <c r="M251" s="613">
        <f ca="1">IF(M$249&gt;0,Drivers2!$W88*M244/$AL244*M$232/M$249,0)</f>
        <v>0</v>
      </c>
      <c r="N251" s="613">
        <f ca="1">IF(N$249&gt;0,Drivers2!$W88*N244/$AL244*N$232/N$249,0)</f>
        <v>0</v>
      </c>
      <c r="O251" s="613">
        <f ca="1">IF(O$249&gt;0,Drivers2!$W88*O244/$AL244*O$232/O$249,0)</f>
        <v>0</v>
      </c>
      <c r="P251" s="613">
        <f ca="1">IF(P$249&gt;0,Drivers2!$W88*P244/$AL244*P$232/P$249,0)</f>
        <v>0</v>
      </c>
      <c r="Q251" s="613">
        <f ca="1">IF(Q$249&gt;0,Drivers2!$W88*Q244/$AL244*Q$232/Q$249,0)</f>
        <v>0</v>
      </c>
      <c r="R251" s="613">
        <f ca="1">IF(R$249&gt;0,Drivers2!$W88*R244/$AL244*R$232/R$249,0)</f>
        <v>0</v>
      </c>
      <c r="S251" s="613">
        <f ca="1">IF(S$249&gt;0,Drivers2!$W88*S244/$AL244*S$232/S$249,0)</f>
        <v>0</v>
      </c>
      <c r="T251" s="613">
        <f ca="1">IF(T$249&gt;0,Drivers2!$W88*T244/$AL244*T$232/T$249,0)</f>
        <v>0</v>
      </c>
      <c r="U251" s="613">
        <f ca="1">IF(U$249&gt;0,Drivers2!$W88*U244/$AL244*U$232/U$249,0)</f>
        <v>0</v>
      </c>
      <c r="V251" s="613">
        <f ca="1">IF(V$249&gt;0,Drivers2!$W88*V244/$AL244*V$232/V$249,0)</f>
        <v>0</v>
      </c>
      <c r="W251" s="613">
        <f ca="1">IF(W$249&gt;0,Drivers2!$W88*W244/$AL244*W$232/W$249,0)</f>
        <v>0</v>
      </c>
      <c r="X251" s="613">
        <f ca="1">IF(X$249&gt;0,Drivers2!$W88*X244/$AL244*X$232/X$249,0)</f>
        <v>0</v>
      </c>
      <c r="Y251" s="613">
        <f ca="1">IF(Y$249&gt;0,Drivers2!$W88*Y244/$AL244*Y$232/Y$249,0)</f>
        <v>0</v>
      </c>
      <c r="Z251" s="613">
        <f ca="1">IF(Z$249&gt;0,Drivers2!$W88*Z244/$AL244*Z$232/Z$249,0)</f>
        <v>0</v>
      </c>
      <c r="AA251" s="613">
        <f ca="1">IF(AA$249&gt;0,Drivers2!$W88*AA244/$AL244*AA$232/AA$249,0)</f>
        <v>0</v>
      </c>
      <c r="AB251" s="613">
        <f ca="1">IF(AB$249&gt;0,Drivers2!$W88*AB244/$AL244*AB$232/AB$249,0)</f>
        <v>0</v>
      </c>
      <c r="AC251" s="613">
        <f ca="1">IF(AC$249&gt;0,Drivers2!$W88*AC244/$AL244*AC$232/AC$249,0)</f>
        <v>0</v>
      </c>
      <c r="AD251" s="613">
        <f ca="1">IF(AD$249&gt;0,Drivers2!$W88*AD244/$AL244*AD$232/AD$249,0)</f>
        <v>0</v>
      </c>
      <c r="AE251" s="613">
        <f ca="1">IF(AE$249&gt;0,Drivers2!$W88*AE244/$AL244*AE$232/AE$249,0)</f>
        <v>0</v>
      </c>
      <c r="AF251" s="613">
        <f ca="1">IF(AF$249&gt;0,Drivers2!$W88*AF244/$AL244*AF$232/AF$249,0)</f>
        <v>0</v>
      </c>
      <c r="AG251" s="613">
        <f ca="1">IF(AG$249&gt;0,Drivers2!$W88*AG244/$AL244*AG$232/AG$249,0)</f>
        <v>0</v>
      </c>
      <c r="AH251" s="613">
        <f ca="1">IF(AH$249&gt;0,Drivers2!$W88*AH244/$AL244*AH$232/AH$249,0)</f>
        <v>0</v>
      </c>
      <c r="AI251" s="613">
        <f ca="1">IF(AI$249&gt;0,Drivers2!$W88*AI244/$AL244*AI$232/AI$249,0)</f>
        <v>0</v>
      </c>
      <c r="AJ251" s="613">
        <f ca="1">IF(AJ$249&gt;0,Drivers2!$W88*AJ244/$AL244*AJ$232/AJ$249,0)</f>
        <v>0</v>
      </c>
      <c r="AK251" s="613">
        <f ca="1">IF(AK$249&gt;0,Drivers2!$W88*AK244/$AL244*AK$232/AK$249,0)</f>
        <v>0</v>
      </c>
      <c r="AL251" s="681">
        <f>SUM(C251:AK251)</f>
        <v>0</v>
      </c>
      <c r="AM251" s="681">
        <f ca="1">SUMPRODUCT($D$233:$AK$233,$D251:$AK251)*$AM244/MAX(Tiny,$AL251)</f>
        <v>0</v>
      </c>
    </row>
    <row r="252" spans="1:39" hidden="1">
      <c r="B252" s="613" t="s">
        <v>972</v>
      </c>
      <c r="C252" s="613">
        <f ca="1">IF(C$249&gt;0,Drivers2!$W89*C245/$AL245*C$232/C$249,0)</f>
        <v>0</v>
      </c>
      <c r="D252" s="613">
        <f ca="1">IF(D$249&gt;0,Drivers2!$W89*D245/$AL245*D$232/D$249,0)</f>
        <v>0</v>
      </c>
      <c r="E252" s="613">
        <f ca="1">IF(E$249&gt;0,Drivers2!$W89*E245/$AL245*E$232/E$249,0)</f>
        <v>0</v>
      </c>
      <c r="F252" s="613">
        <f ca="1">IF(F$249&gt;0,Drivers2!$W89*F245/$AL245*F$232/F$249,0)</f>
        <v>0</v>
      </c>
      <c r="G252" s="613">
        <f ca="1">IF(G$249&gt;0,Drivers2!$W89*G245/$AL245*G$232/G$249,0)</f>
        <v>0</v>
      </c>
      <c r="H252" s="613">
        <f ca="1">IF(H$249&gt;0,Drivers2!$W89*H245/$AL245*H$232/H$249,0)</f>
        <v>0</v>
      </c>
      <c r="I252" s="613">
        <f ca="1">IF(I$249&gt;0,Drivers2!$W89*I245/$AL245*I$232/I$249,0)</f>
        <v>0</v>
      </c>
      <c r="J252" s="613">
        <f ca="1">IF(J$249&gt;0,Drivers2!$W89*J245/$AL245*J$232/J$249,0)</f>
        <v>0</v>
      </c>
      <c r="K252" s="613">
        <f ca="1">IF(K$249&gt;0,Drivers2!$W89*K245/$AL245*K$232/K$249,0)</f>
        <v>0</v>
      </c>
      <c r="L252" s="613">
        <f ca="1">IF(L$249&gt;0,Drivers2!$W89*L245/$AL245*L$232/L$249,0)</f>
        <v>0</v>
      </c>
      <c r="M252" s="613">
        <f ca="1">IF(M$249&gt;0,Drivers2!$W89*M245/$AL245*M$232/M$249,0)</f>
        <v>0</v>
      </c>
      <c r="N252" s="613">
        <f ca="1">IF(N$249&gt;0,Drivers2!$W89*N245/$AL245*N$232/N$249,0)</f>
        <v>0</v>
      </c>
      <c r="O252" s="613">
        <f ca="1">IF(O$249&gt;0,Drivers2!$W89*O245/$AL245*O$232/O$249,0)</f>
        <v>0</v>
      </c>
      <c r="P252" s="613">
        <f ca="1">IF(P$249&gt;0,Drivers2!$W89*P245/$AL245*P$232/P$249,0)</f>
        <v>0</v>
      </c>
      <c r="Q252" s="613">
        <f ca="1">IF(Q$249&gt;0,Drivers2!$W89*Q245/$AL245*Q$232/Q$249,0)</f>
        <v>0</v>
      </c>
      <c r="R252" s="613">
        <f ca="1">IF(R$249&gt;0,Drivers2!$W89*R245/$AL245*R$232/R$249,0)</f>
        <v>0</v>
      </c>
      <c r="S252" s="613">
        <f ca="1">IF(S$249&gt;0,Drivers2!$W89*S245/$AL245*S$232/S$249,0)</f>
        <v>0</v>
      </c>
      <c r="T252" s="613">
        <f ca="1">IF(T$249&gt;0,Drivers2!$W89*T245/$AL245*T$232/T$249,0)</f>
        <v>0</v>
      </c>
      <c r="U252" s="613">
        <f ca="1">IF(U$249&gt;0,Drivers2!$W89*U245/$AL245*U$232/U$249,0)</f>
        <v>0</v>
      </c>
      <c r="V252" s="613">
        <f ca="1">IF(V$249&gt;0,Drivers2!$W89*V245/$AL245*V$232/V$249,0)</f>
        <v>0</v>
      </c>
      <c r="W252" s="613">
        <f ca="1">IF(W$249&gt;0,Drivers2!$W89*W245/$AL245*W$232/W$249,0)</f>
        <v>0</v>
      </c>
      <c r="X252" s="613">
        <f ca="1">IF(X$249&gt;0,Drivers2!$W89*X245/$AL245*X$232/X$249,0)</f>
        <v>0</v>
      </c>
      <c r="Y252" s="613">
        <f ca="1">IF(Y$249&gt;0,Drivers2!$W89*Y245/$AL245*Y$232/Y$249,0)</f>
        <v>0</v>
      </c>
      <c r="Z252" s="613">
        <f ca="1">IF(Z$249&gt;0,Drivers2!$W89*Z245/$AL245*Z$232/Z$249,0)</f>
        <v>0</v>
      </c>
      <c r="AA252" s="613">
        <f ca="1">IF(AA$249&gt;0,Drivers2!$W89*AA245/$AL245*AA$232/AA$249,0)</f>
        <v>0</v>
      </c>
      <c r="AB252" s="613">
        <f ca="1">IF(AB$249&gt;0,Drivers2!$W89*AB245/$AL245*AB$232/AB$249,0)</f>
        <v>0</v>
      </c>
      <c r="AC252" s="613">
        <f ca="1">IF(AC$249&gt;0,Drivers2!$W89*AC245/$AL245*AC$232/AC$249,0)</f>
        <v>0</v>
      </c>
      <c r="AD252" s="613">
        <f ca="1">IF(AD$249&gt;0,Drivers2!$W89*AD245/$AL245*AD$232/AD$249,0)</f>
        <v>0</v>
      </c>
      <c r="AE252" s="613">
        <f ca="1">IF(AE$249&gt;0,Drivers2!$W89*AE245/$AL245*AE$232/AE$249,0)</f>
        <v>0</v>
      </c>
      <c r="AF252" s="613">
        <f ca="1">IF(AF$249&gt;0,Drivers2!$W89*AF245/$AL245*AF$232/AF$249,0)</f>
        <v>0</v>
      </c>
      <c r="AG252" s="613">
        <f ca="1">IF(AG$249&gt;0,Drivers2!$W89*AG245/$AL245*AG$232/AG$249,0)</f>
        <v>0</v>
      </c>
      <c r="AH252" s="613">
        <f ca="1">IF(AH$249&gt;0,Drivers2!$W89*AH245/$AL245*AH$232/AH$249,0)</f>
        <v>0</v>
      </c>
      <c r="AI252" s="613">
        <f ca="1">IF(AI$249&gt;0,Drivers2!$W89*AI245/$AL245*AI$232/AI$249,0)</f>
        <v>0</v>
      </c>
      <c r="AJ252" s="613">
        <f ca="1">IF(AJ$249&gt;0,Drivers2!$W89*AJ245/$AL245*AJ$232/AJ$249,0)</f>
        <v>0</v>
      </c>
      <c r="AK252" s="613">
        <f ca="1">IF(AK$249&gt;0,Drivers2!$W89*AK245/$AL245*AK$232/AK$249,0)</f>
        <v>0</v>
      </c>
      <c r="AL252" s="681">
        <f>SUM(C252:AK252)</f>
        <v>0</v>
      </c>
      <c r="AM252" s="681">
        <f ca="1">SUMPRODUCT($D$233:$AK$233,$D252:$AK252)*$AM245/MAX(Tiny,$AL252)</f>
        <v>0</v>
      </c>
    </row>
    <row r="253" spans="1:39" hidden="1">
      <c r="B253" s="613" t="s">
        <v>358</v>
      </c>
      <c r="C253" s="613">
        <f ca="1">IF(C$249&gt;0,Drivers2!$W90*C246/$AL246*C$232/C$249,0)</f>
        <v>0</v>
      </c>
      <c r="D253" s="613">
        <f ca="1">IF(D$249&gt;0,Drivers2!$W90*D246/$AL246*D$232/D$249,0)</f>
        <v>0</v>
      </c>
      <c r="E253" s="613">
        <f ca="1">IF(E$249&gt;0,Drivers2!$W90*E246/$AL246*E$232/E$249,0)</f>
        <v>0</v>
      </c>
      <c r="F253" s="613">
        <f ca="1">IF(F$249&gt;0,Drivers2!$W90*F246/$AL246*F$232/F$249,0)</f>
        <v>0</v>
      </c>
      <c r="G253" s="613">
        <f ca="1">IF(G$249&gt;0,Drivers2!$W90*G246/$AL246*G$232/G$249,0)</f>
        <v>0</v>
      </c>
      <c r="H253" s="613">
        <f ca="1">IF(H$249&gt;0,Drivers2!$W90*H246/$AL246*H$232/H$249,0)</f>
        <v>0</v>
      </c>
      <c r="I253" s="613">
        <f ca="1">IF(I$249&gt;0,Drivers2!$W90*I246/$AL246*I$232/I$249,0)</f>
        <v>0</v>
      </c>
      <c r="J253" s="613">
        <f ca="1">IF(J$249&gt;0,Drivers2!$W90*J246/$AL246*J$232/J$249,0)</f>
        <v>0</v>
      </c>
      <c r="K253" s="613">
        <f ca="1">IF(K$249&gt;0,Drivers2!$W90*K246/$AL246*K$232/K$249,0)</f>
        <v>0</v>
      </c>
      <c r="L253" s="613">
        <f ca="1">IF(L$249&gt;0,Drivers2!$W90*L246/$AL246*L$232/L$249,0)</f>
        <v>0</v>
      </c>
      <c r="M253" s="613">
        <f ca="1">IF(M$249&gt;0,Drivers2!$W90*M246/$AL246*M$232/M$249,0)</f>
        <v>0</v>
      </c>
      <c r="N253" s="613">
        <f ca="1">IF(N$249&gt;0,Drivers2!$W90*N246/$AL246*N$232/N$249,0)</f>
        <v>0</v>
      </c>
      <c r="O253" s="613">
        <f ca="1">IF(O$249&gt;0,Drivers2!$W90*O246/$AL246*O$232/O$249,0)</f>
        <v>0</v>
      </c>
      <c r="P253" s="613">
        <f ca="1">IF(P$249&gt;0,Drivers2!$W90*P246/$AL246*P$232/P$249,0)</f>
        <v>0</v>
      </c>
      <c r="Q253" s="613">
        <f ca="1">IF(Q$249&gt;0,Drivers2!$W90*Q246/$AL246*Q$232/Q$249,0)</f>
        <v>0</v>
      </c>
      <c r="R253" s="613">
        <f ca="1">IF(R$249&gt;0,Drivers2!$W90*R246/$AL246*R$232/R$249,0)</f>
        <v>0</v>
      </c>
      <c r="S253" s="613">
        <f ca="1">IF(S$249&gt;0,Drivers2!$W90*S246/$AL246*S$232/S$249,0)</f>
        <v>0</v>
      </c>
      <c r="T253" s="613">
        <f ca="1">IF(T$249&gt;0,Drivers2!$W90*T246/$AL246*T$232/T$249,0)</f>
        <v>0</v>
      </c>
      <c r="U253" s="613">
        <f ca="1">IF(U$249&gt;0,Drivers2!$W90*U246/$AL246*U$232/U$249,0)</f>
        <v>0</v>
      </c>
      <c r="V253" s="613">
        <f ca="1">IF(V$249&gt;0,Drivers2!$W90*V246/$AL246*V$232/V$249,0)</f>
        <v>0</v>
      </c>
      <c r="W253" s="613">
        <f ca="1">IF(W$249&gt;0,Drivers2!$W90*W246/$AL246*W$232/W$249,0)</f>
        <v>0</v>
      </c>
      <c r="X253" s="613">
        <f ca="1">IF(X$249&gt;0,Drivers2!$W90*X246/$AL246*X$232/X$249,0)</f>
        <v>0</v>
      </c>
      <c r="Y253" s="613">
        <f ca="1">IF(Y$249&gt;0,Drivers2!$W90*Y246/$AL246*Y$232/Y$249,0)</f>
        <v>0</v>
      </c>
      <c r="Z253" s="613">
        <f ca="1">IF(Z$249&gt;0,Drivers2!$W90*Z246/$AL246*Z$232/Z$249,0)</f>
        <v>0</v>
      </c>
      <c r="AA253" s="613">
        <f ca="1">IF(AA$249&gt;0,Drivers2!$W90*AA246/$AL246*AA$232/AA$249,0)</f>
        <v>0</v>
      </c>
      <c r="AB253" s="613">
        <f ca="1">IF(AB$249&gt;0,Drivers2!$W90*AB246/$AL246*AB$232/AB$249,0)</f>
        <v>0</v>
      </c>
      <c r="AC253" s="613">
        <f ca="1">IF(AC$249&gt;0,Drivers2!$W90*AC246/$AL246*AC$232/AC$249,0)</f>
        <v>0</v>
      </c>
      <c r="AD253" s="613">
        <f ca="1">IF(AD$249&gt;0,Drivers2!$W90*AD246/$AL246*AD$232/AD$249,0)</f>
        <v>0</v>
      </c>
      <c r="AE253" s="613">
        <f ca="1">IF(AE$249&gt;0,Drivers2!$W90*AE246/$AL246*AE$232/AE$249,0)</f>
        <v>0</v>
      </c>
      <c r="AF253" s="613">
        <f ca="1">IF(AF$249&gt;0,Drivers2!$W90*AF246/$AL246*AF$232/AF$249,0)</f>
        <v>0</v>
      </c>
      <c r="AG253" s="613">
        <f ca="1">IF(AG$249&gt;0,Drivers2!$W90*AG246/$AL246*AG$232/AG$249,0)</f>
        <v>0</v>
      </c>
      <c r="AH253" s="613">
        <f ca="1">IF(AH$249&gt;0,Drivers2!$W90*AH246/$AL246*AH$232/AH$249,0)</f>
        <v>0</v>
      </c>
      <c r="AI253" s="613">
        <f ca="1">IF(AI$249&gt;0,Drivers2!$W90*AI246/$AL246*AI$232/AI$249,0)</f>
        <v>0</v>
      </c>
      <c r="AJ253" s="613">
        <f ca="1">IF(AJ$249&gt;0,Drivers2!$W90*AJ246/$AL246*AJ$232/AJ$249,0)</f>
        <v>0</v>
      </c>
      <c r="AK253" s="613">
        <f ca="1">IF(AK$249&gt;0,Drivers2!$W90*AK246/$AL246*AK$232/AK$249,0)</f>
        <v>0</v>
      </c>
      <c r="AL253" s="681">
        <f>SUM(C253:AK253)</f>
        <v>0</v>
      </c>
      <c r="AM253" s="681">
        <f ca="1">SUMPRODUCT($D$233:$AK$233,$D253:$AK253)*$AM246/MAX(Tiny,$AL253)</f>
        <v>0</v>
      </c>
    </row>
    <row r="254" spans="1:39" hidden="1">
      <c r="B254" s="613" t="s">
        <v>356</v>
      </c>
      <c r="C254" s="613">
        <f ca="1">IF(C$249&gt;0,Drivers2!$W91*C247/$AL247*C$232/C$249,0)</f>
        <v>0</v>
      </c>
      <c r="D254" s="613">
        <f ca="1">IF(D$249&gt;0,Drivers2!$W91*D247/$AL247*D$232/D$249,0)</f>
        <v>0</v>
      </c>
      <c r="E254" s="613">
        <f ca="1">IF(E$249&gt;0,Drivers2!$W91*E247/$AL247*E$232/E$249,0)</f>
        <v>0</v>
      </c>
      <c r="F254" s="613">
        <f ca="1">IF(F$249&gt;0,Drivers2!$W91*F247/$AL247*F$232/F$249,0)</f>
        <v>0</v>
      </c>
      <c r="G254" s="613">
        <f ca="1">IF(G$249&gt;0,Drivers2!$W91*G247/$AL247*G$232/G$249,0)</f>
        <v>0</v>
      </c>
      <c r="H254" s="613">
        <f ca="1">IF(H$249&gt;0,Drivers2!$W91*H247/$AL247*H$232/H$249,0)</f>
        <v>0</v>
      </c>
      <c r="I254" s="613">
        <f ca="1">IF(I$249&gt;0,Drivers2!$W91*I247/$AL247*I$232/I$249,0)</f>
        <v>0</v>
      </c>
      <c r="J254" s="613">
        <f ca="1">IF(J$249&gt;0,Drivers2!$W91*J247/$AL247*J$232/J$249,0)</f>
        <v>0</v>
      </c>
      <c r="K254" s="613">
        <f ca="1">IF(K$249&gt;0,Drivers2!$W91*K247/$AL247*K$232/K$249,0)</f>
        <v>0</v>
      </c>
      <c r="L254" s="613">
        <f ca="1">IF(L$249&gt;0,Drivers2!$W91*L247/$AL247*L$232/L$249,0)</f>
        <v>0</v>
      </c>
      <c r="M254" s="613">
        <f ca="1">IF(M$249&gt;0,Drivers2!$W91*M247/$AL247*M$232/M$249,0)</f>
        <v>0</v>
      </c>
      <c r="N254" s="613">
        <f ca="1">IF(N$249&gt;0,Drivers2!$W91*N247/$AL247*N$232/N$249,0)</f>
        <v>0</v>
      </c>
      <c r="O254" s="613">
        <f ca="1">IF(O$249&gt;0,Drivers2!$W91*O247/$AL247*O$232/O$249,0)</f>
        <v>0</v>
      </c>
      <c r="P254" s="613">
        <f ca="1">IF(P$249&gt;0,Drivers2!$W91*P247/$AL247*P$232/P$249,0)</f>
        <v>0</v>
      </c>
      <c r="Q254" s="613">
        <f ca="1">IF(Q$249&gt;0,Drivers2!$W91*Q247/$AL247*Q$232/Q$249,0)</f>
        <v>0</v>
      </c>
      <c r="R254" s="613">
        <f ca="1">IF(R$249&gt;0,Drivers2!$W91*R247/$AL247*R$232/R$249,0)</f>
        <v>0</v>
      </c>
      <c r="S254" s="613">
        <f ca="1">IF(S$249&gt;0,Drivers2!$W91*S247/$AL247*S$232/S$249,0)</f>
        <v>0</v>
      </c>
      <c r="T254" s="613">
        <f ca="1">IF(T$249&gt;0,Drivers2!$W91*T247/$AL247*T$232/T$249,0)</f>
        <v>0</v>
      </c>
      <c r="U254" s="613">
        <f ca="1">IF(U$249&gt;0,Drivers2!$W91*U247/$AL247*U$232/U$249,0)</f>
        <v>0</v>
      </c>
      <c r="V254" s="613">
        <f ca="1">IF(V$249&gt;0,Drivers2!$W91*V247/$AL247*V$232/V$249,0)</f>
        <v>0</v>
      </c>
      <c r="W254" s="613">
        <f ca="1">IF(W$249&gt;0,Drivers2!$W91*W247/$AL247*W$232/W$249,0)</f>
        <v>0</v>
      </c>
      <c r="X254" s="613">
        <f ca="1">IF(X$249&gt;0,Drivers2!$W91*X247/$AL247*X$232/X$249,0)</f>
        <v>0</v>
      </c>
      <c r="Y254" s="613">
        <f ca="1">IF(Y$249&gt;0,Drivers2!$W91*Y247/$AL247*Y$232/Y$249,0)</f>
        <v>0</v>
      </c>
      <c r="Z254" s="613">
        <f ca="1">IF(Z$249&gt;0,Drivers2!$W91*Z247/$AL247*Z$232/Z$249,0)</f>
        <v>0</v>
      </c>
      <c r="AA254" s="613">
        <f ca="1">IF(AA$249&gt;0,Drivers2!$W91*AA247/$AL247*AA$232/AA$249,0)</f>
        <v>0</v>
      </c>
      <c r="AB254" s="613">
        <f ca="1">IF(AB$249&gt;0,Drivers2!$W91*AB247/$AL247*AB$232/AB$249,0)</f>
        <v>0</v>
      </c>
      <c r="AC254" s="613">
        <f ca="1">IF(AC$249&gt;0,Drivers2!$W91*AC247/$AL247*AC$232/AC$249,0)</f>
        <v>0</v>
      </c>
      <c r="AD254" s="613">
        <f ca="1">IF(AD$249&gt;0,Drivers2!$W91*AD247/$AL247*AD$232/AD$249,0)</f>
        <v>0</v>
      </c>
      <c r="AE254" s="613">
        <f ca="1">IF(AE$249&gt;0,Drivers2!$W91*AE247/$AL247*AE$232/AE$249,0)</f>
        <v>0</v>
      </c>
      <c r="AF254" s="613">
        <f ca="1">IF(AF$249&gt;0,Drivers2!$W91*AF247/$AL247*AF$232/AF$249,0)</f>
        <v>0</v>
      </c>
      <c r="AG254" s="613">
        <f ca="1">IF(AG$249&gt;0,Drivers2!$W91*AG247/$AL247*AG$232/AG$249,0)</f>
        <v>0</v>
      </c>
      <c r="AH254" s="613">
        <f ca="1">IF(AH$249&gt;0,Drivers2!$W91*AH247/$AL247*AH$232/AH$249,0)</f>
        <v>0</v>
      </c>
      <c r="AI254" s="613">
        <f ca="1">IF(AI$249&gt;0,Drivers2!$W91*AI247/$AL247*AI$232/AI$249,0)</f>
        <v>0</v>
      </c>
      <c r="AJ254" s="613">
        <f ca="1">IF(AJ$249&gt;0,Drivers2!$W91*AJ247/$AL247*AJ$232/AJ$249,0)</f>
        <v>0</v>
      </c>
      <c r="AK254" s="613">
        <f ca="1">IF(AK$249&gt;0,Drivers2!$W91*AK247/$AL247*AK$232/AK$249,0)</f>
        <v>0</v>
      </c>
      <c r="AL254" s="681">
        <f>SUM(C254:AK254)</f>
        <v>0</v>
      </c>
      <c r="AM254" s="681">
        <f ca="1">SUMPRODUCT($D$233:$AK$233,$D254:$AK254)*$AM247/MAX(Tiny,$AL254)</f>
        <v>0</v>
      </c>
    </row>
    <row r="255" spans="1:39" hidden="1">
      <c r="B255" s="613" t="s">
        <v>536</v>
      </c>
      <c r="C255" s="613">
        <f ca="1">IF(C$249&gt;0,Drivers2!$W92*C248/$AL248*C$232/C$249,0)</f>
        <v>0</v>
      </c>
      <c r="D255" s="613">
        <f ca="1">IF(D$249&gt;0,Drivers2!$W92*D248/$AL248*D$232/D$249,0)</f>
        <v>0</v>
      </c>
      <c r="E255" s="613">
        <f ca="1">IF(E$249&gt;0,Drivers2!$W92*E248/$AL248*E$232/E$249,0)</f>
        <v>0</v>
      </c>
      <c r="F255" s="613">
        <f ca="1">IF(F$249&gt;0,Drivers2!$W92*F248/$AL248*F$232/F$249,0)</f>
        <v>0</v>
      </c>
      <c r="G255" s="613">
        <f ca="1">IF(G$249&gt;0,Drivers2!$W92*G248/$AL248*G$232/G$249,0)</f>
        <v>0</v>
      </c>
      <c r="H255" s="613">
        <f ca="1">IF(H$249&gt;0,Drivers2!$W92*H248/$AL248*H$232/H$249,0)</f>
        <v>0</v>
      </c>
      <c r="I255" s="613">
        <f ca="1">IF(I$249&gt;0,Drivers2!$W92*I248/$AL248*I$232/I$249,0)</f>
        <v>0</v>
      </c>
      <c r="J255" s="613">
        <f ca="1">IF(J$249&gt;0,Drivers2!$W92*J248/$AL248*J$232/J$249,0)</f>
        <v>0</v>
      </c>
      <c r="K255" s="613">
        <f ca="1">IF(K$249&gt;0,Drivers2!$W92*K248/$AL248*K$232/K$249,0)</f>
        <v>0</v>
      </c>
      <c r="L255" s="613">
        <f ca="1">IF(L$249&gt;0,Drivers2!$W92*L248/$AL248*L$232/L$249,0)</f>
        <v>0</v>
      </c>
      <c r="M255" s="613">
        <f ca="1">IF(M$249&gt;0,Drivers2!$W92*M248/$AL248*M$232/M$249,0)</f>
        <v>0</v>
      </c>
      <c r="N255" s="613">
        <f ca="1">IF(N$249&gt;0,Drivers2!$W92*N248/$AL248*N$232/N$249,0)</f>
        <v>0</v>
      </c>
      <c r="O255" s="613">
        <f ca="1">IF(O$249&gt;0,Drivers2!$W92*O248/$AL248*O$232/O$249,0)</f>
        <v>0</v>
      </c>
      <c r="P255" s="613">
        <f ca="1">IF(P$249&gt;0,Drivers2!$W92*P248/$AL248*P$232/P$249,0)</f>
        <v>0</v>
      </c>
      <c r="Q255" s="613">
        <f ca="1">IF(Q$249&gt;0,Drivers2!$W92*Q248/$AL248*Q$232/Q$249,0)</f>
        <v>0</v>
      </c>
      <c r="R255" s="613">
        <f ca="1">IF(R$249&gt;0,Drivers2!$W92*R248/$AL248*R$232/R$249,0)</f>
        <v>0</v>
      </c>
      <c r="S255" s="613">
        <f ca="1">IF(S$249&gt;0,Drivers2!$W92*S248/$AL248*S$232/S$249,0)</f>
        <v>0</v>
      </c>
      <c r="T255" s="613">
        <f ca="1">IF(T$249&gt;0,Drivers2!$W92*T248/$AL248*T$232/T$249,0)</f>
        <v>0</v>
      </c>
      <c r="U255" s="613">
        <f ca="1">IF(U$249&gt;0,Drivers2!$W92*U248/$AL248*U$232/U$249,0)</f>
        <v>0</v>
      </c>
      <c r="V255" s="613">
        <f ca="1">IF(V$249&gt;0,Drivers2!$W92*V248/$AL248*V$232/V$249,0)</f>
        <v>0</v>
      </c>
      <c r="W255" s="613">
        <f ca="1">IF(W$249&gt;0,Drivers2!$W92*W248/$AL248*W$232/W$249,0)</f>
        <v>0.30499999999999999</v>
      </c>
      <c r="X255" s="613">
        <f ca="1">IF(X$249&gt;0,Drivers2!$W92*X248/$AL248*X$232/X$249,0)</f>
        <v>0</v>
      </c>
      <c r="Y255" s="613">
        <f ca="1">IF(Y$249&gt;0,Drivers2!$W92*Y248/$AL248*Y$232/Y$249,0)</f>
        <v>0</v>
      </c>
      <c r="Z255" s="613">
        <f ca="1">IF(Z$249&gt;0,Drivers2!$W92*Z248/$AL248*Z$232/Z$249,0)</f>
        <v>0</v>
      </c>
      <c r="AA255" s="613">
        <f ca="1">IF(AA$249&gt;0,Drivers2!$W92*AA248/$AL248*AA$232/AA$249,0)</f>
        <v>0</v>
      </c>
      <c r="AB255" s="613">
        <f ca="1">IF(AB$249&gt;0,Drivers2!$W92*AB248/$AL248*AB$232/AB$249,0)</f>
        <v>0</v>
      </c>
      <c r="AC255" s="613">
        <f ca="1">IF(AC$249&gt;0,Drivers2!$W92*AC248/$AL248*AC$232/AC$249,0)</f>
        <v>0</v>
      </c>
      <c r="AD255" s="613">
        <f ca="1">IF(AD$249&gt;0,Drivers2!$W92*AD248/$AL248*AD$232/AD$249,0)</f>
        <v>0</v>
      </c>
      <c r="AE255" s="613">
        <f ca="1">IF(AE$249&gt;0,Drivers2!$W92*AE248/$AL248*AE$232/AE$249,0)</f>
        <v>0</v>
      </c>
      <c r="AF255" s="613">
        <f ca="1">IF(AF$249&gt;0,Drivers2!$W92*AF248/$AL248*AF$232/AF$249,0)</f>
        <v>0</v>
      </c>
      <c r="AG255" s="613">
        <f ca="1">IF(AG$249&gt;0,Drivers2!$W92*AG248/$AL248*AG$232/AG$249,0)</f>
        <v>0</v>
      </c>
      <c r="AH255" s="613">
        <f ca="1">IF(AH$249&gt;0,Drivers2!$W92*AH248/$AL248*AH$232/AH$249,0)</f>
        <v>0</v>
      </c>
      <c r="AI255" s="613">
        <f ca="1">IF(AI$249&gt;0,Drivers2!$W92*AI248/$AL248*AI$232/AI$249,0)</f>
        <v>0</v>
      </c>
      <c r="AJ255" s="613">
        <f ca="1">IF(AJ$249&gt;0,Drivers2!$W92*AJ248/$AL248*AJ$232/AJ$249,0)</f>
        <v>0</v>
      </c>
      <c r="AK255" s="613">
        <f ca="1">IF(AK$249&gt;0,Drivers2!$W92*AK248/$AL248*AK$232/AK$249,0)</f>
        <v>0</v>
      </c>
      <c r="AL255" s="681">
        <f>SUM(C255:AK255)</f>
        <v>0.30499999999999999</v>
      </c>
      <c r="AM255" s="681">
        <f ca="1">SUMPRODUCT($D$233:$AK$233,$D255:$AK255)*$AM248/MAX(Tiny,$AL255)</f>
        <v>18.324999999999999</v>
      </c>
    </row>
    <row r="256" spans="1:39" hidden="1">
      <c r="C256" s="613">
        <f t="shared" ref="C256:AK256" si="68">SUM(C251:C255)</f>
        <v>0</v>
      </c>
      <c r="D256" s="613">
        <f t="shared" si="68"/>
        <v>0</v>
      </c>
      <c r="E256" s="613">
        <f t="shared" si="68"/>
        <v>0</v>
      </c>
      <c r="F256" s="613">
        <f t="shared" si="68"/>
        <v>0</v>
      </c>
      <c r="G256" s="613">
        <f t="shared" si="68"/>
        <v>0</v>
      </c>
      <c r="H256" s="613">
        <f t="shared" si="68"/>
        <v>0</v>
      </c>
      <c r="I256" s="613">
        <f t="shared" si="68"/>
        <v>0</v>
      </c>
      <c r="J256" s="613">
        <f t="shared" si="68"/>
        <v>0</v>
      </c>
      <c r="K256" s="613">
        <f t="shared" si="68"/>
        <v>0</v>
      </c>
      <c r="L256" s="613">
        <f t="shared" si="68"/>
        <v>0</v>
      </c>
      <c r="M256" s="613">
        <f t="shared" si="68"/>
        <v>0</v>
      </c>
      <c r="N256" s="613">
        <f t="shared" si="68"/>
        <v>0</v>
      </c>
      <c r="O256" s="613">
        <f t="shared" si="68"/>
        <v>0</v>
      </c>
      <c r="P256" s="613">
        <f t="shared" si="68"/>
        <v>0</v>
      </c>
      <c r="Q256" s="613">
        <f t="shared" si="68"/>
        <v>0</v>
      </c>
      <c r="R256" s="613">
        <f t="shared" si="68"/>
        <v>0</v>
      </c>
      <c r="S256" s="613">
        <f t="shared" si="68"/>
        <v>0</v>
      </c>
      <c r="T256" s="613">
        <f t="shared" si="68"/>
        <v>0</v>
      </c>
      <c r="U256" s="613">
        <f t="shared" si="68"/>
        <v>0</v>
      </c>
      <c r="V256" s="613">
        <f t="shared" ref="V256:AA256" si="69">SUM(V251:V255)</f>
        <v>0</v>
      </c>
      <c r="W256" s="613">
        <f t="shared" si="69"/>
        <v>0.30499999999999999</v>
      </c>
      <c r="X256" s="613">
        <f t="shared" si="69"/>
        <v>0</v>
      </c>
      <c r="Y256" s="613">
        <f t="shared" si="69"/>
        <v>0</v>
      </c>
      <c r="Z256" s="613">
        <f t="shared" si="69"/>
        <v>0</v>
      </c>
      <c r="AA256" s="613">
        <f t="shared" si="69"/>
        <v>0</v>
      </c>
      <c r="AB256" s="613">
        <f t="shared" si="68"/>
        <v>0</v>
      </c>
      <c r="AC256" s="613">
        <f t="shared" si="68"/>
        <v>0</v>
      </c>
      <c r="AD256" s="613">
        <f t="shared" si="68"/>
        <v>0</v>
      </c>
      <c r="AE256" s="613">
        <f t="shared" si="68"/>
        <v>0</v>
      </c>
      <c r="AF256" s="613">
        <f t="shared" si="68"/>
        <v>0</v>
      </c>
      <c r="AG256" s="613">
        <f t="shared" si="68"/>
        <v>0</v>
      </c>
      <c r="AH256" s="613">
        <f t="shared" si="68"/>
        <v>0</v>
      </c>
      <c r="AI256" s="613">
        <f t="shared" si="68"/>
        <v>0</v>
      </c>
      <c r="AJ256" s="613">
        <f t="shared" si="68"/>
        <v>0</v>
      </c>
      <c r="AK256" s="613">
        <f t="shared" si="68"/>
        <v>0</v>
      </c>
      <c r="AL256" s="681">
        <f>SUM(AL251:AL255)</f>
        <v>0.30499999999999999</v>
      </c>
    </row>
    <row r="257" spans="2:37" hidden="1">
      <c r="B257" s="613" t="s">
        <v>184</v>
      </c>
      <c r="D257" s="657">
        <f t="shared" ref="D257:AK257" ca="1" si="70">(SUMPRODUCT(D251:D255,$AM$244:$AM$248)+Tiny)*D$233/(D$256+Tiny)</f>
        <v>56.1</v>
      </c>
      <c r="E257" s="655">
        <f t="shared" ca="1" si="70"/>
        <v>63.1</v>
      </c>
      <c r="F257" s="655">
        <f t="shared" ca="1" si="70"/>
        <v>64.2</v>
      </c>
      <c r="G257" s="655">
        <f t="shared" ca="1" si="70"/>
        <v>94.6</v>
      </c>
      <c r="H257" s="655">
        <f t="shared" ca="1" si="70"/>
        <v>104.5</v>
      </c>
      <c r="I257" s="655">
        <f t="shared" ca="1" si="70"/>
        <v>104.86</v>
      </c>
      <c r="J257" s="655">
        <f t="shared" ca="1" si="70"/>
        <v>104.86</v>
      </c>
      <c r="K257" s="655">
        <f t="shared" ca="1" si="70"/>
        <v>44.4</v>
      </c>
      <c r="L257" s="655">
        <f t="shared" ca="1" si="70"/>
        <v>0</v>
      </c>
      <c r="M257" s="655">
        <f t="shared" ca="1" si="70"/>
        <v>0</v>
      </c>
      <c r="N257" s="655">
        <f t="shared" ca="1" si="70"/>
        <v>44.4</v>
      </c>
      <c r="O257" s="655">
        <f t="shared" ca="1" si="70"/>
        <v>57.6</v>
      </c>
      <c r="P257" s="655">
        <f t="shared" ca="1" si="70"/>
        <v>73.3</v>
      </c>
      <c r="Q257" s="655">
        <f t="shared" ca="1" si="70"/>
        <v>77.400000000000006</v>
      </c>
      <c r="R257" s="655">
        <f t="shared" ca="1" si="70"/>
        <v>74.099999999999994</v>
      </c>
      <c r="S257" s="655">
        <f t="shared" ca="1" si="70"/>
        <v>71.900000000000006</v>
      </c>
      <c r="T257" s="655">
        <f t="shared" ca="1" si="70"/>
        <v>69.3</v>
      </c>
      <c r="U257" s="655">
        <f t="shared" ca="1" si="70"/>
        <v>73.3</v>
      </c>
      <c r="V257" s="655">
        <f t="shared" ref="V257:AA257" ca="1" si="71">(SUMPRODUCT(V251:V255,$AM$244:$AM$248)+Tiny)*V$233/(V$256+Tiny)</f>
        <v>61.600000000000009</v>
      </c>
      <c r="W257" s="655">
        <f t="shared" ca="1" si="71"/>
        <v>18.325000180245901</v>
      </c>
      <c r="X257" s="655">
        <f t="shared" ca="1" si="71"/>
        <v>97.5</v>
      </c>
      <c r="Y257" s="655">
        <f t="shared" ca="1" si="71"/>
        <v>0</v>
      </c>
      <c r="Z257" s="655">
        <f t="shared" ca="1" si="71"/>
        <v>0</v>
      </c>
      <c r="AA257" s="655">
        <f t="shared" ca="1" si="71"/>
        <v>0</v>
      </c>
      <c r="AB257" s="655">
        <f t="shared" ca="1" si="70"/>
        <v>0</v>
      </c>
      <c r="AC257" s="655">
        <f t="shared" ca="1" si="70"/>
        <v>27.51</v>
      </c>
      <c r="AD257" s="655">
        <f t="shared" ca="1" si="70"/>
        <v>85.85</v>
      </c>
      <c r="AE257" s="655">
        <f t="shared" ca="1" si="70"/>
        <v>0</v>
      </c>
      <c r="AF257" s="655">
        <f t="shared" ca="1" si="70"/>
        <v>0</v>
      </c>
      <c r="AG257" s="655">
        <f t="shared" ca="1" si="70"/>
        <v>71.5</v>
      </c>
      <c r="AH257" s="655">
        <f t="shared" ca="1" si="70"/>
        <v>73.3</v>
      </c>
      <c r="AI257" s="655">
        <f t="shared" ca="1" si="70"/>
        <v>37.049999999999997</v>
      </c>
      <c r="AJ257" s="655">
        <f t="shared" ca="1" si="70"/>
        <v>0</v>
      </c>
      <c r="AK257" s="658">
        <f t="shared" ca="1" si="70"/>
        <v>80.7</v>
      </c>
    </row>
    <row r="258" spans="2:37" hidden="1"/>
    <row r="259" spans="2:37" ht="18" hidden="1">
      <c r="B259" s="728" t="s">
        <v>381</v>
      </c>
      <c r="C259" s="729"/>
      <c r="D259" s="708"/>
      <c r="E259" s="729"/>
      <c r="F259" s="708"/>
      <c r="G259" s="708"/>
      <c r="V259" s="728" t="s">
        <v>1088</v>
      </c>
      <c r="W259" s="728"/>
      <c r="X259" s="728"/>
      <c r="Y259" s="728"/>
    </row>
    <row r="260" spans="2:37" hidden="1">
      <c r="C260" s="613" t="s">
        <v>905</v>
      </c>
      <c r="D260" s="613" t="s">
        <v>906</v>
      </c>
      <c r="E260" s="613" t="s">
        <v>907</v>
      </c>
      <c r="F260" s="613" t="s">
        <v>908</v>
      </c>
      <c r="G260" s="613" t="s">
        <v>909</v>
      </c>
      <c r="H260" s="613" t="s">
        <v>910</v>
      </c>
      <c r="I260" s="613" t="s">
        <v>911</v>
      </c>
      <c r="J260" s="613" t="s">
        <v>912</v>
      </c>
      <c r="K260" s="613" t="s">
        <v>1150</v>
      </c>
      <c r="L260" s="613" t="s">
        <v>913</v>
      </c>
      <c r="M260" s="613" t="s">
        <v>826</v>
      </c>
      <c r="N260" s="613" t="s">
        <v>914</v>
      </c>
      <c r="O260" s="613" t="s">
        <v>915</v>
      </c>
      <c r="P260" s="613" t="s">
        <v>916</v>
      </c>
      <c r="Q260" s="613" t="s">
        <v>917</v>
      </c>
      <c r="R260" s="613" t="s">
        <v>950</v>
      </c>
      <c r="S260" s="613" t="s">
        <v>946</v>
      </c>
      <c r="T260" s="613" t="s">
        <v>888</v>
      </c>
      <c r="W260" s="613" t="s">
        <v>749</v>
      </c>
      <c r="X260" s="613" t="s">
        <v>1089</v>
      </c>
      <c r="Y260" s="613" t="s">
        <v>1090</v>
      </c>
    </row>
    <row r="261" spans="2:37" hidden="1">
      <c r="B261" s="613" t="s">
        <v>568</v>
      </c>
      <c r="C261" s="738">
        <f t="shared" ref="C261:L265" si="72">SUMIF($A$172:$A$206,$B261,C$172:C$206)</f>
        <v>7.286781894794557E-2</v>
      </c>
      <c r="D261" s="738">
        <f t="shared" si="72"/>
        <v>1.2999999999999999E-2</v>
      </c>
      <c r="E261" s="738">
        <f t="shared" si="72"/>
        <v>3.2000000000000001E-2</v>
      </c>
      <c r="F261" s="738">
        <f t="shared" si="72"/>
        <v>0</v>
      </c>
      <c r="G261" s="738">
        <f t="shared" si="72"/>
        <v>0</v>
      </c>
      <c r="H261" s="738">
        <f t="shared" si="72"/>
        <v>0</v>
      </c>
      <c r="I261" s="738">
        <f t="shared" si="72"/>
        <v>0</v>
      </c>
      <c r="J261" s="738">
        <f t="shared" si="72"/>
        <v>0</v>
      </c>
      <c r="K261" s="738">
        <f t="shared" si="72"/>
        <v>0</v>
      </c>
      <c r="L261" s="738">
        <f t="shared" si="72"/>
        <v>1.3999999999999999E-2</v>
      </c>
      <c r="M261" s="738">
        <f t="shared" ref="M261:T265" si="73">SUMIF($A$172:$A$206,$B261,M$172:M$206)</f>
        <v>9.999999999999998E-4</v>
      </c>
      <c r="N261" s="738">
        <f t="shared" si="73"/>
        <v>0</v>
      </c>
      <c r="O261" s="738">
        <f t="shared" si="73"/>
        <v>0</v>
      </c>
      <c r="P261" s="738">
        <f t="shared" si="73"/>
        <v>0</v>
      </c>
      <c r="Q261" s="738">
        <f t="shared" si="73"/>
        <v>0</v>
      </c>
      <c r="R261" s="738">
        <f t="shared" si="73"/>
        <v>0</v>
      </c>
      <c r="S261" s="738">
        <f t="shared" si="73"/>
        <v>1.1117755853547424E-2</v>
      </c>
      <c r="T261" s="738">
        <f t="shared" si="73"/>
        <v>0.14398557480149299</v>
      </c>
      <c r="V261" s="613" t="s">
        <v>568</v>
      </c>
      <c r="W261" s="651">
        <f ca="1">IEAData2!AD12</f>
        <v>8.9999999999999993E-3</v>
      </c>
      <c r="X261" s="651">
        <f ca="1">IEAData2!BJ34</f>
        <v>9.1165597999088872E-3</v>
      </c>
      <c r="Y261" s="651">
        <f>S261*U$47</f>
        <v>9.1165597999088872E-3</v>
      </c>
    </row>
    <row r="262" spans="2:37" hidden="1">
      <c r="B262" s="613" t="s">
        <v>879</v>
      </c>
      <c r="C262" s="738">
        <f t="shared" si="72"/>
        <v>0.18568245875165196</v>
      </c>
      <c r="D262" s="738">
        <f t="shared" si="72"/>
        <v>0.09</v>
      </c>
      <c r="E262" s="738">
        <f t="shared" si="72"/>
        <v>4.4999999999999998E-2</v>
      </c>
      <c r="F262" s="738">
        <f t="shared" si="72"/>
        <v>0</v>
      </c>
      <c r="G262" s="738">
        <f t="shared" si="72"/>
        <v>0.19500000000000001</v>
      </c>
      <c r="H262" s="738">
        <f t="shared" si="72"/>
        <v>0</v>
      </c>
      <c r="I262" s="738">
        <f t="shared" si="72"/>
        <v>0</v>
      </c>
      <c r="J262" s="738">
        <f t="shared" si="72"/>
        <v>0</v>
      </c>
      <c r="K262" s="738">
        <f t="shared" si="72"/>
        <v>1E-3</v>
      </c>
      <c r="L262" s="738">
        <f t="shared" si="72"/>
        <v>2.1999999999999995E-2</v>
      </c>
      <c r="M262" s="738">
        <f t="shared" si="73"/>
        <v>2.3E-2</v>
      </c>
      <c r="N262" s="738">
        <f t="shared" si="73"/>
        <v>0</v>
      </c>
      <c r="O262" s="738">
        <f t="shared" si="73"/>
        <v>0</v>
      </c>
      <c r="P262" s="738">
        <f t="shared" si="73"/>
        <v>5.3999999999999999E-2</v>
      </c>
      <c r="Q262" s="738">
        <f t="shared" si="73"/>
        <v>0.01</v>
      </c>
      <c r="R262" s="738">
        <f t="shared" si="73"/>
        <v>0</v>
      </c>
      <c r="S262" s="738">
        <f t="shared" si="73"/>
        <v>5.7454481064933241E-2</v>
      </c>
      <c r="T262" s="738">
        <f t="shared" si="73"/>
        <v>0.68313693981658519</v>
      </c>
      <c r="V262" s="613" t="s">
        <v>880</v>
      </c>
      <c r="W262" s="651">
        <f ca="1">IEAData2!AD13</f>
        <v>2.4E-2</v>
      </c>
      <c r="X262" s="651">
        <f ca="1">IEAData2!BJ35</f>
        <v>2.4230470513456212E-2</v>
      </c>
      <c r="Y262" s="651">
        <f>S263*U$47</f>
        <v>2.4230470513456219E-2</v>
      </c>
    </row>
    <row r="263" spans="2:37" hidden="1">
      <c r="B263" s="613" t="s">
        <v>880</v>
      </c>
      <c r="C263" s="738">
        <f t="shared" si="72"/>
        <v>7.2867818947945584E-2</v>
      </c>
      <c r="D263" s="738">
        <f t="shared" si="72"/>
        <v>1E-3</v>
      </c>
      <c r="E263" s="738">
        <f t="shared" si="72"/>
        <v>5.0000000000000001E-3</v>
      </c>
      <c r="F263" s="738">
        <f t="shared" si="72"/>
        <v>0</v>
      </c>
      <c r="G263" s="738">
        <f t="shared" si="72"/>
        <v>0</v>
      </c>
      <c r="H263" s="738">
        <f t="shared" si="72"/>
        <v>0</v>
      </c>
      <c r="I263" s="738">
        <f t="shared" si="72"/>
        <v>0</v>
      </c>
      <c r="J263" s="738">
        <f t="shared" si="72"/>
        <v>0</v>
      </c>
      <c r="K263" s="738">
        <f t="shared" si="72"/>
        <v>0</v>
      </c>
      <c r="L263" s="738">
        <f t="shared" si="72"/>
        <v>5.000000000000001E-3</v>
      </c>
      <c r="M263" s="738">
        <f t="shared" si="73"/>
        <v>2.9999999999999996E-3</v>
      </c>
      <c r="N263" s="738">
        <f t="shared" si="73"/>
        <v>0</v>
      </c>
      <c r="O263" s="738">
        <f t="shared" si="73"/>
        <v>0</v>
      </c>
      <c r="P263" s="738">
        <f t="shared" si="73"/>
        <v>0</v>
      </c>
      <c r="Q263" s="738">
        <f t="shared" si="73"/>
        <v>4.0000000000000001E-3</v>
      </c>
      <c r="R263" s="738">
        <f t="shared" si="73"/>
        <v>0</v>
      </c>
      <c r="S263" s="738">
        <f t="shared" si="73"/>
        <v>2.9549354284702706E-2</v>
      </c>
      <c r="T263" s="738">
        <f t="shared" si="73"/>
        <v>0.12041717323264828</v>
      </c>
      <c r="V263" s="613" t="s">
        <v>787</v>
      </c>
      <c r="W263" s="651">
        <f ca="1">IEAData2!AD14</f>
        <v>0.30399999999999999</v>
      </c>
      <c r="X263" s="651">
        <f ca="1">IEAData2!BJ36</f>
        <v>0.31058717384438034</v>
      </c>
      <c r="Y263" s="651">
        <f>S264*U$47</f>
        <v>0.31058717384438034</v>
      </c>
    </row>
    <row r="264" spans="2:37" hidden="1">
      <c r="B264" s="613" t="s">
        <v>787</v>
      </c>
      <c r="C264" s="738">
        <f t="shared" si="72"/>
        <v>0.36717810067276463</v>
      </c>
      <c r="D264" s="738">
        <f t="shared" si="72"/>
        <v>0.27399999999999997</v>
      </c>
      <c r="E264" s="738">
        <f t="shared" si="72"/>
        <v>0.12</v>
      </c>
      <c r="F264" s="738">
        <f t="shared" si="72"/>
        <v>0</v>
      </c>
      <c r="G264" s="738">
        <f t="shared" si="72"/>
        <v>0</v>
      </c>
      <c r="H264" s="738">
        <f t="shared" si="72"/>
        <v>0</v>
      </c>
      <c r="I264" s="738">
        <f t="shared" si="72"/>
        <v>0</v>
      </c>
      <c r="J264" s="738">
        <f t="shared" si="72"/>
        <v>0</v>
      </c>
      <c r="K264" s="738">
        <f t="shared" si="72"/>
        <v>0</v>
      </c>
      <c r="L264" s="738">
        <f t="shared" si="72"/>
        <v>6.6000000000000003E-2</v>
      </c>
      <c r="M264" s="738">
        <f t="shared" si="73"/>
        <v>4.0000000000000001E-3</v>
      </c>
      <c r="N264" s="738">
        <f t="shared" si="73"/>
        <v>0</v>
      </c>
      <c r="O264" s="738">
        <f t="shared" si="73"/>
        <v>0</v>
      </c>
      <c r="P264" s="738">
        <f t="shared" si="73"/>
        <v>0</v>
      </c>
      <c r="Q264" s="738">
        <f t="shared" si="73"/>
        <v>6.9999999999999993E-3</v>
      </c>
      <c r="R264" s="738">
        <f t="shared" si="73"/>
        <v>0</v>
      </c>
      <c r="S264" s="738">
        <f t="shared" si="73"/>
        <v>0.37876484615168338</v>
      </c>
      <c r="T264" s="738">
        <f t="shared" si="73"/>
        <v>1.2169429468244479</v>
      </c>
      <c r="V264" s="613" t="s">
        <v>978</v>
      </c>
      <c r="W264" s="651">
        <f ca="1">IEAData2!AD15</f>
        <v>6.0000000000000001E-3</v>
      </c>
      <c r="X264" s="651">
        <f ca="1">IEAData2!BJ37</f>
        <v>9.1833187778147217E-3</v>
      </c>
      <c r="Y264" s="651">
        <f>S265*U$47</f>
        <v>9.1833187778147217E-3</v>
      </c>
    </row>
    <row r="265" spans="2:37" hidden="1">
      <c r="B265" s="613" t="s">
        <v>978</v>
      </c>
      <c r="C265" s="738">
        <f>SUMIF($A$172:$A$206,$B265,C$172:C$206)</f>
        <v>8.9428686890660469E-2</v>
      </c>
      <c r="D265" s="738">
        <f t="shared" si="72"/>
        <v>2.5000000000000001E-2</v>
      </c>
      <c r="E265" s="738">
        <f t="shared" si="72"/>
        <v>2.9999999999999996E-3</v>
      </c>
      <c r="F265" s="738">
        <f t="shared" si="72"/>
        <v>0</v>
      </c>
      <c r="G265" s="738">
        <f t="shared" si="72"/>
        <v>1E-3</v>
      </c>
      <c r="H265" s="738">
        <f t="shared" si="72"/>
        <v>0</v>
      </c>
      <c r="I265" s="738">
        <f t="shared" si="72"/>
        <v>0</v>
      </c>
      <c r="J265" s="738">
        <f t="shared" si="72"/>
        <v>0</v>
      </c>
      <c r="K265" s="738">
        <f t="shared" si="72"/>
        <v>0.01</v>
      </c>
      <c r="L265" s="738">
        <f t="shared" si="72"/>
        <v>6.0000000000000001E-3</v>
      </c>
      <c r="M265" s="738">
        <f t="shared" si="73"/>
        <v>0</v>
      </c>
      <c r="N265" s="738">
        <f t="shared" si="73"/>
        <v>0</v>
      </c>
      <c r="O265" s="738">
        <f t="shared" si="73"/>
        <v>0</v>
      </c>
      <c r="P265" s="738">
        <f t="shared" si="73"/>
        <v>0</v>
      </c>
      <c r="Q265" s="738">
        <f t="shared" si="73"/>
        <v>0.14200000000000002</v>
      </c>
      <c r="R265" s="738">
        <f t="shared" si="73"/>
        <v>0</v>
      </c>
      <c r="S265" s="738">
        <f t="shared" si="73"/>
        <v>1.1199169241237466E-2</v>
      </c>
      <c r="T265" s="738">
        <f t="shared" si="73"/>
        <v>0.28762785613189795</v>
      </c>
      <c r="V265" s="613" t="s">
        <v>879</v>
      </c>
      <c r="W265" s="651">
        <f ca="1">IEAData2!AD16</f>
        <v>4.7E-2</v>
      </c>
      <c r="X265" s="651">
        <f ca="1">IEAData2!BJ38</f>
        <v>4.7112674473245256E-2</v>
      </c>
      <c r="Y265" s="651">
        <f>S262*U$47</f>
        <v>4.7112674473245256E-2</v>
      </c>
    </row>
    <row r="266" spans="2:37" hidden="1">
      <c r="V266" s="613" t="s">
        <v>722</v>
      </c>
      <c r="W266" s="651">
        <f ca="1">IEAData2!AD17*0.5</f>
        <v>2.1561605612982571</v>
      </c>
      <c r="X266" s="651">
        <f ca="1">IEAData2!BJ39</f>
        <v>1.7328255796438299</v>
      </c>
      <c r="Y266" s="651">
        <f>X266*S$95</f>
        <v>1.7328255796438299</v>
      </c>
    </row>
    <row r="267" spans="2:37" hidden="1">
      <c r="B267" s="613" t="s">
        <v>568</v>
      </c>
      <c r="C267" s="730">
        <f ca="1">IF(VLOOKUP($B267,Calibration2!$B$99:$T$103,C$4,FALSE)&lt;&gt;0,C261/VLOOKUP($B267,Calibration2!$B$99:$T$103,C$4,FALSE),1)</f>
        <v>1</v>
      </c>
      <c r="D267" s="730">
        <f ca="1">IF(VLOOKUP($B267,Calibration2!$B$99:$T$103,D$4,FALSE)&lt;&gt;0,D261/VLOOKUP($B267,Calibration2!$B$99:$T$103,D$4,FALSE),1)</f>
        <v>1</v>
      </c>
      <c r="E267" s="730">
        <f ca="1">IF(VLOOKUP($B267,Calibration2!$B$99:$T$103,E$4,FALSE)&lt;&gt;0,E261/VLOOKUP($B267,Calibration2!$B$99:$T$103,E$4,FALSE),1)</f>
        <v>1</v>
      </c>
      <c r="F267" s="730">
        <f ca="1">IF(VLOOKUP($B267,Calibration2!$B$99:$T$103,F$4,FALSE)&lt;&gt;0,F261/VLOOKUP($B267,Calibration2!$B$99:$T$103,F$4,FALSE),1)</f>
        <v>1</v>
      </c>
      <c r="G267" s="730">
        <f ca="1">IF(VLOOKUP($B267,Calibration2!$B$99:$T$103,G$4,FALSE)&lt;&gt;0,G261/VLOOKUP($B267,Calibration2!$B$99:$T$103,G$4,FALSE),1)</f>
        <v>1</v>
      </c>
      <c r="H267" s="730">
        <f ca="1">IF(VLOOKUP($B267,Calibration2!$B$99:$T$103,H$4,FALSE)&lt;&gt;0,H261/VLOOKUP($B267,Calibration2!$B$99:$T$103,H$4,FALSE),1)</f>
        <v>1</v>
      </c>
      <c r="I267" s="730">
        <f ca="1">IF(VLOOKUP($B267,Calibration2!$B$99:$T$103,I$4,FALSE)&lt;&gt;0,I261/VLOOKUP($B267,Calibration2!$B$99:$T$103,I$4,FALSE),1)</f>
        <v>1</v>
      </c>
      <c r="J267" s="730">
        <f ca="1">IF(VLOOKUP($B267,Calibration2!$B$99:$T$103,J$4,FALSE)&lt;&gt;0,J261/VLOOKUP($B267,Calibration2!$B$99:$T$103,J$4,FALSE),1)</f>
        <v>1</v>
      </c>
      <c r="K267" s="730">
        <f ca="1">IF(VLOOKUP($B267,Calibration2!$B$99:$T$103,K$4,FALSE)&lt;&gt;0,K261/VLOOKUP($B267,Calibration2!$B$99:$T$103,K$4,FALSE),1)</f>
        <v>1</v>
      </c>
      <c r="L267" s="730">
        <f ca="1">IF(VLOOKUP($B267,Calibration2!$B$99:$T$103,L$4,FALSE)&lt;&gt;0,L261/VLOOKUP($B267,Calibration2!$B$99:$T$103,L$4,FALSE),1)</f>
        <v>0.99999999999999989</v>
      </c>
      <c r="M267" s="730">
        <f ca="1">IF(VLOOKUP($B267,Calibration2!$B$99:$T$103,M$4,FALSE)&lt;&gt;0,M261/VLOOKUP($B267,Calibration2!$B$99:$T$103,M$4,FALSE),1)</f>
        <v>0.99999999999999978</v>
      </c>
      <c r="N267" s="730">
        <f ca="1">IF(VLOOKUP($B267,Calibration2!$B$99:$T$103,N$4,FALSE)&lt;&gt;0,N261/VLOOKUP($B267,Calibration2!$B$99:$T$103,N$4,FALSE),1)</f>
        <v>1</v>
      </c>
      <c r="O267" s="730">
        <f ca="1">IF(VLOOKUP($B267,Calibration2!$B$99:$T$103,O$4,FALSE)&lt;&gt;0,O261/VLOOKUP($B267,Calibration2!$B$99:$T$103,O$4,FALSE),1)</f>
        <v>1</v>
      </c>
      <c r="P267" s="730">
        <f ca="1">IF(VLOOKUP($B267,Calibration2!$B$99:$T$103,P$4,FALSE)&lt;&gt;0,P261/VLOOKUP($B267,Calibration2!$B$99:$T$103,P$4,FALSE),1)</f>
        <v>1</v>
      </c>
      <c r="Q267" s="730">
        <f ca="1">IF(VLOOKUP($B267,Calibration2!$B$99:$T$103,Q$4,FALSE)&lt;&gt;0,Q261/VLOOKUP($B267,Calibration2!$B$99:$T$103,Q$4,FALSE),1)</f>
        <v>1</v>
      </c>
      <c r="R267" s="730">
        <f ca="1">IF(VLOOKUP($B267,Calibration2!$B$99:$T$103,R$4,FALSE)&lt;&gt;0,R261/VLOOKUP($B267,Calibration2!$B$99:$T$103,R$4,FALSE),1)</f>
        <v>1</v>
      </c>
      <c r="S267" s="730">
        <f ca="1">IF(VLOOKUP($B267,Calibration2!$B$99:$T$103,S$4,FALSE)&lt;&gt;0,S261/VLOOKUP($B267,Calibration2!$B$99:$T$103,S$4,FALSE),1)</f>
        <v>1</v>
      </c>
      <c r="T267" s="730">
        <f ca="1">IF(VLOOKUP($B267,Calibration2!$B$99:$T$103,T$4,FALSE)&lt;&gt;0,T261/VLOOKUP($B267,Calibration2!$B$99:$T$103,T$4,FALSE),1)</f>
        <v>0.99999999999999978</v>
      </c>
      <c r="V267" s="613" t="s">
        <v>722</v>
      </c>
      <c r="W267" s="651">
        <f ca="1">IEAData2!AD17*0.5</f>
        <v>2.1561605612982571</v>
      </c>
      <c r="X267" s="651">
        <f ca="1">W267</f>
        <v>2.1561605612982571</v>
      </c>
      <c r="Y267" s="651">
        <f>X267*S$95</f>
        <v>2.1561605612982571</v>
      </c>
    </row>
    <row r="268" spans="2:37" hidden="1">
      <c r="B268" s="613" t="s">
        <v>879</v>
      </c>
      <c r="C268" s="730">
        <f ca="1">IF(VLOOKUP($B268,Calibration2!$B$99:$T$103,C$4,FALSE)&lt;&gt;0,C262/VLOOKUP($B268,Calibration2!$B$99:$T$103,C$4,FALSE),1)</f>
        <v>1</v>
      </c>
      <c r="D268" s="730">
        <f ca="1">IF(VLOOKUP($B268,Calibration2!$B$99:$T$103,D$4,FALSE)&lt;&gt;0,D262/VLOOKUP($B268,Calibration2!$B$99:$T$103,D$4,FALSE),1)</f>
        <v>1</v>
      </c>
      <c r="E268" s="730">
        <f ca="1">IF(VLOOKUP($B268,Calibration2!$B$99:$T$103,E$4,FALSE)&lt;&gt;0,E262/VLOOKUP($B268,Calibration2!$B$99:$T$103,E$4,FALSE),1)</f>
        <v>1</v>
      </c>
      <c r="F268" s="730">
        <f ca="1">IF(VLOOKUP($B268,Calibration2!$B$99:$T$103,F$4,FALSE)&lt;&gt;0,F262/VLOOKUP($B268,Calibration2!$B$99:$T$103,F$4,FALSE),1)</f>
        <v>1</v>
      </c>
      <c r="G268" s="730">
        <f ca="1">IF(VLOOKUP($B268,Calibration2!$B$99:$T$103,G$4,FALSE)&lt;&gt;0,G262/VLOOKUP($B268,Calibration2!$B$99:$T$103,G$4,FALSE),1)</f>
        <v>1</v>
      </c>
      <c r="H268" s="730">
        <f ca="1">IF(VLOOKUP($B268,Calibration2!$B$99:$T$103,H$4,FALSE)&lt;&gt;0,H262/VLOOKUP($B268,Calibration2!$B$99:$T$103,H$4,FALSE),1)</f>
        <v>1</v>
      </c>
      <c r="I268" s="730">
        <f ca="1">IF(VLOOKUP($B268,Calibration2!$B$99:$T$103,I$4,FALSE)&lt;&gt;0,I262/VLOOKUP($B268,Calibration2!$B$99:$T$103,I$4,FALSE),1)</f>
        <v>1</v>
      </c>
      <c r="J268" s="730">
        <f ca="1">IF(VLOOKUP($B268,Calibration2!$B$99:$T$103,J$4,FALSE)&lt;&gt;0,J262/VLOOKUP($B268,Calibration2!$B$99:$T$103,J$4,FALSE),1)</f>
        <v>1</v>
      </c>
      <c r="K268" s="730">
        <f ca="1">IF(VLOOKUP($B268,Calibration2!$B$99:$T$103,K$4,FALSE)&lt;&gt;0,K262/VLOOKUP($B268,Calibration2!$B$99:$T$103,K$4,FALSE),1)</f>
        <v>1</v>
      </c>
      <c r="L268" s="730">
        <f ca="1">IF(VLOOKUP($B268,Calibration2!$B$99:$T$103,L$4,FALSE)&lt;&gt;0,L262/VLOOKUP($B268,Calibration2!$B$99:$T$103,L$4,FALSE),1)</f>
        <v>0.99999999999999989</v>
      </c>
      <c r="M268" s="730">
        <f ca="1">IF(VLOOKUP($B268,Calibration2!$B$99:$T$103,M$4,FALSE)&lt;&gt;0,M262/VLOOKUP($B268,Calibration2!$B$99:$T$103,M$4,FALSE),1)</f>
        <v>1</v>
      </c>
      <c r="N268" s="730">
        <f ca="1">IF(VLOOKUP($B268,Calibration2!$B$99:$T$103,N$4,FALSE)&lt;&gt;0,N262/VLOOKUP($B268,Calibration2!$B$99:$T$103,N$4,FALSE),1)</f>
        <v>1</v>
      </c>
      <c r="O268" s="730">
        <f ca="1">IF(VLOOKUP($B268,Calibration2!$B$99:$T$103,O$4,FALSE)&lt;&gt;0,O262/VLOOKUP($B268,Calibration2!$B$99:$T$103,O$4,FALSE),1)</f>
        <v>1</v>
      </c>
      <c r="P268" s="730">
        <f ca="1">IF(VLOOKUP($B268,Calibration2!$B$99:$T$103,P$4,FALSE)&lt;&gt;0,P262/VLOOKUP($B268,Calibration2!$B$99:$T$103,P$4,FALSE),1)</f>
        <v>1</v>
      </c>
      <c r="Q268" s="730">
        <f ca="1">IF(VLOOKUP($B268,Calibration2!$B$99:$T$103,Q$4,FALSE)&lt;&gt;0,Q262/VLOOKUP($B268,Calibration2!$B$99:$T$103,Q$4,FALSE),1)</f>
        <v>1</v>
      </c>
      <c r="R268" s="730">
        <f ca="1">IF(VLOOKUP($B268,Calibration2!$B$99:$T$103,R$4,FALSE)&lt;&gt;0,R262/VLOOKUP($B268,Calibration2!$B$99:$T$103,R$4,FALSE),1)</f>
        <v>1</v>
      </c>
      <c r="S268" s="730">
        <f ca="1">IF(VLOOKUP($B268,Calibration2!$B$99:$T$103,S$4,FALSE)&lt;&gt;0,S262/VLOOKUP($B268,Calibration2!$B$99:$T$103,S$4,FALSE),1)</f>
        <v>1</v>
      </c>
      <c r="T268" s="730">
        <f ca="1">IF(VLOOKUP($B268,Calibration2!$B$99:$T$103,T$4,FALSE)&lt;&gt;0,T262/VLOOKUP($B268,Calibration2!$B$99:$T$103,T$4,FALSE),1)</f>
        <v>0.99999999999999989</v>
      </c>
      <c r="V268" s="613" t="s">
        <v>151</v>
      </c>
      <c r="W268" s="651">
        <f ca="1">IEAData2!R36</f>
        <v>0</v>
      </c>
      <c r="X268" s="651">
        <f ca="1">W268</f>
        <v>0</v>
      </c>
      <c r="Y268" s="651">
        <f>X268*S$94</f>
        <v>0</v>
      </c>
    </row>
    <row r="269" spans="2:37" hidden="1">
      <c r="B269" s="613" t="s">
        <v>880</v>
      </c>
      <c r="C269" s="730">
        <f ca="1">IF(VLOOKUP($B269,Calibration2!$B$99:$T$103,C$4,FALSE)&lt;&gt;0,C263/VLOOKUP($B269,Calibration2!$B$99:$T$103,C$4,FALSE),1)</f>
        <v>1.0000000000000002</v>
      </c>
      <c r="D269" s="730">
        <f ca="1">IF(VLOOKUP($B269,Calibration2!$B$99:$T$103,D$4,FALSE)&lt;&gt;0,D263/VLOOKUP($B269,Calibration2!$B$99:$T$103,D$4,FALSE),1)</f>
        <v>1</v>
      </c>
      <c r="E269" s="730">
        <f ca="1">IF(VLOOKUP($B269,Calibration2!$B$99:$T$103,E$4,FALSE)&lt;&gt;0,E263/VLOOKUP($B269,Calibration2!$B$99:$T$103,E$4,FALSE),1)</f>
        <v>1</v>
      </c>
      <c r="F269" s="730">
        <f ca="1">IF(VLOOKUP($B269,Calibration2!$B$99:$T$103,F$4,FALSE)&lt;&gt;0,F263/VLOOKUP($B269,Calibration2!$B$99:$T$103,F$4,FALSE),1)</f>
        <v>1</v>
      </c>
      <c r="G269" s="730">
        <f ca="1">IF(VLOOKUP($B269,Calibration2!$B$99:$T$103,G$4,FALSE)&lt;&gt;0,G263/VLOOKUP($B269,Calibration2!$B$99:$T$103,G$4,FALSE),1)</f>
        <v>1</v>
      </c>
      <c r="H269" s="730">
        <f ca="1">IF(VLOOKUP($B269,Calibration2!$B$99:$T$103,H$4,FALSE)&lt;&gt;0,H263/VLOOKUP($B269,Calibration2!$B$99:$T$103,H$4,FALSE),1)</f>
        <v>1</v>
      </c>
      <c r="I269" s="730">
        <f ca="1">IF(VLOOKUP($B269,Calibration2!$B$99:$T$103,I$4,FALSE)&lt;&gt;0,I263/VLOOKUP($B269,Calibration2!$B$99:$T$103,I$4,FALSE),1)</f>
        <v>1</v>
      </c>
      <c r="J269" s="730">
        <f ca="1">IF(VLOOKUP($B269,Calibration2!$B$99:$T$103,J$4,FALSE)&lt;&gt;0,J263/VLOOKUP($B269,Calibration2!$B$99:$T$103,J$4,FALSE),1)</f>
        <v>1</v>
      </c>
      <c r="K269" s="730">
        <f ca="1">IF(VLOOKUP($B269,Calibration2!$B$99:$T$103,K$4,FALSE)&lt;&gt;0,K263/VLOOKUP($B269,Calibration2!$B$99:$T$103,K$4,FALSE),1)</f>
        <v>1</v>
      </c>
      <c r="L269" s="730">
        <f ca="1">IF(VLOOKUP($B269,Calibration2!$B$99:$T$103,L$4,FALSE)&lt;&gt;0,L263/VLOOKUP($B269,Calibration2!$B$99:$T$103,L$4,FALSE),1)</f>
        <v>1.0000000000000002</v>
      </c>
      <c r="M269" s="730">
        <f ca="1">IF(VLOOKUP($B269,Calibration2!$B$99:$T$103,M$4,FALSE)&lt;&gt;0,M263/VLOOKUP($B269,Calibration2!$B$99:$T$103,M$4,FALSE),1)</f>
        <v>0.99999999999999989</v>
      </c>
      <c r="N269" s="730">
        <f ca="1">IF(VLOOKUP($B269,Calibration2!$B$99:$T$103,N$4,FALSE)&lt;&gt;0,N263/VLOOKUP($B269,Calibration2!$B$99:$T$103,N$4,FALSE),1)</f>
        <v>1</v>
      </c>
      <c r="O269" s="730">
        <f ca="1">IF(VLOOKUP($B269,Calibration2!$B$99:$T$103,O$4,FALSE)&lt;&gt;0,O263/VLOOKUP($B269,Calibration2!$B$99:$T$103,O$4,FALSE),1)</f>
        <v>1</v>
      </c>
      <c r="P269" s="730">
        <f ca="1">IF(VLOOKUP($B269,Calibration2!$B$99:$T$103,P$4,FALSE)&lt;&gt;0,P263/VLOOKUP($B269,Calibration2!$B$99:$T$103,P$4,FALSE),1)</f>
        <v>1</v>
      </c>
      <c r="Q269" s="730">
        <f ca="1">IF(VLOOKUP($B269,Calibration2!$B$99:$T$103,Q$4,FALSE)&lt;&gt;0,Q263/VLOOKUP($B269,Calibration2!$B$99:$T$103,Q$4,FALSE),1)</f>
        <v>1</v>
      </c>
      <c r="R269" s="730">
        <f ca="1">IF(VLOOKUP($B269,Calibration2!$B$99:$T$103,R$4,FALSE)&lt;&gt;0,R263/VLOOKUP($B269,Calibration2!$B$99:$T$103,R$4,FALSE),1)</f>
        <v>1</v>
      </c>
      <c r="S269" s="730">
        <f ca="1">IF(VLOOKUP($B269,Calibration2!$B$99:$T$103,S$4,FALSE)&lt;&gt;0,S263/VLOOKUP($B269,Calibration2!$B$99:$T$103,S$4,FALSE),1)</f>
        <v>1.0000000000000002</v>
      </c>
      <c r="T269" s="730">
        <f ca="1">IF(VLOOKUP($B269,Calibration2!$B$99:$T$103,T$4,FALSE)&lt;&gt;0,T263/VLOOKUP($B269,Calibration2!$B$99:$T$103,T$4,FALSE),1)</f>
        <v>1</v>
      </c>
      <c r="V269" s="613" t="s">
        <v>1091</v>
      </c>
      <c r="W269" s="651">
        <f>SUM(W261:W266)</f>
        <v>2.5461605612982572</v>
      </c>
      <c r="X269" s="651">
        <f>SUM(X261:X266)</f>
        <v>2.1330557770526353</v>
      </c>
      <c r="Y269" s="651">
        <f>SUM(Y261:Y266)</f>
        <v>2.1330557770526353</v>
      </c>
    </row>
    <row r="270" spans="2:37" hidden="1">
      <c r="B270" s="613" t="s">
        <v>787</v>
      </c>
      <c r="C270" s="730">
        <f ca="1">IF(VLOOKUP($B270,Calibration2!$B$99:$T$103,C$4,FALSE)&lt;&gt;0,C264/VLOOKUP($B270,Calibration2!$B$99:$T$103,C$4,FALSE),1)</f>
        <v>1</v>
      </c>
      <c r="D270" s="730">
        <f ca="1">IF(VLOOKUP($B270,Calibration2!$B$99:$T$103,D$4,FALSE)&lt;&gt;0,D264/VLOOKUP($B270,Calibration2!$B$99:$T$103,D$4,FALSE),1)</f>
        <v>0.99999999999999978</v>
      </c>
      <c r="E270" s="730">
        <f ca="1">IF(VLOOKUP($B270,Calibration2!$B$99:$T$103,E$4,FALSE)&lt;&gt;0,E264/VLOOKUP($B270,Calibration2!$B$99:$T$103,E$4,FALSE),1)</f>
        <v>1</v>
      </c>
      <c r="F270" s="730">
        <f ca="1">IF(VLOOKUP($B270,Calibration2!$B$99:$T$103,F$4,FALSE)&lt;&gt;0,F264/VLOOKUP($B270,Calibration2!$B$99:$T$103,F$4,FALSE),1)</f>
        <v>1</v>
      </c>
      <c r="G270" s="730">
        <f ca="1">IF(VLOOKUP($B270,Calibration2!$B$99:$T$103,G$4,FALSE)&lt;&gt;0,G264/VLOOKUP($B270,Calibration2!$B$99:$T$103,G$4,FALSE),1)</f>
        <v>1</v>
      </c>
      <c r="H270" s="730">
        <f ca="1">IF(VLOOKUP($B270,Calibration2!$B$99:$T$103,H$4,FALSE)&lt;&gt;0,H264/VLOOKUP($B270,Calibration2!$B$99:$T$103,H$4,FALSE),1)</f>
        <v>1</v>
      </c>
      <c r="I270" s="730">
        <f ca="1">IF(VLOOKUP($B270,Calibration2!$B$99:$T$103,I$4,FALSE)&lt;&gt;0,I264/VLOOKUP($B270,Calibration2!$B$99:$T$103,I$4,FALSE),1)</f>
        <v>1</v>
      </c>
      <c r="J270" s="730">
        <f ca="1">IF(VLOOKUP($B270,Calibration2!$B$99:$T$103,J$4,FALSE)&lt;&gt;0,J264/VLOOKUP($B270,Calibration2!$B$99:$T$103,J$4,FALSE),1)</f>
        <v>1</v>
      </c>
      <c r="K270" s="730">
        <f ca="1">IF(VLOOKUP($B270,Calibration2!$B$99:$T$103,K$4,FALSE)&lt;&gt;0,K264/VLOOKUP($B270,Calibration2!$B$99:$T$103,K$4,FALSE),1)</f>
        <v>1</v>
      </c>
      <c r="L270" s="730">
        <f ca="1">IF(VLOOKUP($B270,Calibration2!$B$99:$T$103,L$4,FALSE)&lt;&gt;0,L264/VLOOKUP($B270,Calibration2!$B$99:$T$103,L$4,FALSE),1)</f>
        <v>1</v>
      </c>
      <c r="M270" s="730">
        <f ca="1">IF(VLOOKUP($B270,Calibration2!$B$99:$T$103,M$4,FALSE)&lt;&gt;0,M264/VLOOKUP($B270,Calibration2!$B$99:$T$103,M$4,FALSE),1)</f>
        <v>1</v>
      </c>
      <c r="N270" s="730">
        <f ca="1">IF(VLOOKUP($B270,Calibration2!$B$99:$T$103,N$4,FALSE)&lt;&gt;0,N264/VLOOKUP($B270,Calibration2!$B$99:$T$103,N$4,FALSE),1)</f>
        <v>1</v>
      </c>
      <c r="O270" s="730">
        <f ca="1">IF(VLOOKUP($B270,Calibration2!$B$99:$T$103,O$4,FALSE)&lt;&gt;0,O264/VLOOKUP($B270,Calibration2!$B$99:$T$103,O$4,FALSE),1)</f>
        <v>1</v>
      </c>
      <c r="P270" s="730">
        <f ca="1">IF(VLOOKUP($B270,Calibration2!$B$99:$T$103,P$4,FALSE)&lt;&gt;0,P264/VLOOKUP($B270,Calibration2!$B$99:$T$103,P$4,FALSE),1)</f>
        <v>1</v>
      </c>
      <c r="Q270" s="730">
        <f ca="1">IF(VLOOKUP($B270,Calibration2!$B$99:$T$103,Q$4,FALSE)&lt;&gt;0,Q264/VLOOKUP($B270,Calibration2!$B$99:$T$103,Q$4,FALSE),1)</f>
        <v>0.99999999999999989</v>
      </c>
      <c r="R270" s="730">
        <f ca="1">IF(VLOOKUP($B270,Calibration2!$B$99:$T$103,R$4,FALSE)&lt;&gt;0,R264/VLOOKUP($B270,Calibration2!$B$99:$T$103,R$4,FALSE),1)</f>
        <v>1</v>
      </c>
      <c r="S270" s="730">
        <f ca="1">IF(VLOOKUP($B270,Calibration2!$B$99:$T$103,S$4,FALSE)&lt;&gt;0,S264/VLOOKUP($B270,Calibration2!$B$99:$T$103,S$4,FALSE),1)</f>
        <v>1</v>
      </c>
      <c r="T270" s="730">
        <f ca="1">IF(VLOOKUP($B270,Calibration2!$B$99:$T$103,T$4,FALSE)&lt;&gt;0,T264/VLOOKUP($B270,Calibration2!$B$99:$T$103,T$4,FALSE),1)</f>
        <v>1</v>
      </c>
      <c r="V270" s="613" t="s">
        <v>1092</v>
      </c>
      <c r="W270" s="651">
        <f>SUM(W267:W268)</f>
        <v>2.1561605612982571</v>
      </c>
      <c r="X270" s="651">
        <f>SUM(X267:X268)</f>
        <v>2.1561605612982571</v>
      </c>
      <c r="Y270" s="651">
        <f>SUM(Y267:Y268)</f>
        <v>2.1561605612982571</v>
      </c>
    </row>
    <row r="271" spans="2:37" hidden="1">
      <c r="B271" s="613" t="s">
        <v>978</v>
      </c>
      <c r="C271" s="730">
        <f ca="1">IF(VLOOKUP($B271,Calibration2!$B$99:$T$103,C$4,FALSE)&lt;&gt;0,C265/VLOOKUP($B271,Calibration2!$B$99:$T$103,C$4,FALSE),1)</f>
        <v>1</v>
      </c>
      <c r="D271" s="730">
        <f ca="1">IF(VLOOKUP($B271,Calibration2!$B$99:$T$103,D$4,FALSE)&lt;&gt;0,D265/VLOOKUP($B271,Calibration2!$B$99:$T$103,D$4,FALSE),1)</f>
        <v>1</v>
      </c>
      <c r="E271" s="730">
        <f ca="1">IF(VLOOKUP($B271,Calibration2!$B$99:$T$103,E$4,FALSE)&lt;&gt;0,E265/VLOOKUP($B271,Calibration2!$B$99:$T$103,E$4,FALSE),1)</f>
        <v>0.99999999999999989</v>
      </c>
      <c r="F271" s="730">
        <f ca="1">IF(VLOOKUP($B271,Calibration2!$B$99:$T$103,F$4,FALSE)&lt;&gt;0,F265/VLOOKUP($B271,Calibration2!$B$99:$T$103,F$4,FALSE),1)</f>
        <v>1</v>
      </c>
      <c r="G271" s="730">
        <f ca="1">IF(VLOOKUP($B271,Calibration2!$B$99:$T$103,G$4,FALSE)&lt;&gt;0,G265/VLOOKUP($B271,Calibration2!$B$99:$T$103,G$4,FALSE),1)</f>
        <v>1</v>
      </c>
      <c r="H271" s="730">
        <f ca="1">IF(VLOOKUP($B271,Calibration2!$B$99:$T$103,H$4,FALSE)&lt;&gt;0,H265/VLOOKUP($B271,Calibration2!$B$99:$T$103,H$4,FALSE),1)</f>
        <v>1</v>
      </c>
      <c r="I271" s="730">
        <f ca="1">IF(VLOOKUP($B271,Calibration2!$B$99:$T$103,I$4,FALSE)&lt;&gt;0,I265/VLOOKUP($B271,Calibration2!$B$99:$T$103,I$4,FALSE),1)</f>
        <v>1</v>
      </c>
      <c r="J271" s="730">
        <f ca="1">IF(VLOOKUP($B271,Calibration2!$B$99:$T$103,J$4,FALSE)&lt;&gt;0,J265/VLOOKUP($B271,Calibration2!$B$99:$T$103,J$4,FALSE),1)</f>
        <v>1</v>
      </c>
      <c r="K271" s="730">
        <f ca="1">IF(VLOOKUP($B271,Calibration2!$B$99:$T$103,K$4,FALSE)&lt;&gt;0,K265/VLOOKUP($B271,Calibration2!$B$99:$T$103,K$4,FALSE),1)</f>
        <v>1</v>
      </c>
      <c r="L271" s="730">
        <f ca="1">IF(VLOOKUP($B271,Calibration2!$B$99:$T$103,L$4,FALSE)&lt;&gt;0,L265/VLOOKUP($B271,Calibration2!$B$99:$T$103,L$4,FALSE),1)</f>
        <v>1</v>
      </c>
      <c r="M271" s="730">
        <f ca="1">IF(VLOOKUP($B271,Calibration2!$B$99:$T$103,M$4,FALSE)&lt;&gt;0,M265/VLOOKUP($B271,Calibration2!$B$99:$T$103,M$4,FALSE),1)</f>
        <v>1</v>
      </c>
      <c r="N271" s="730">
        <f ca="1">IF(VLOOKUP($B271,Calibration2!$B$99:$T$103,N$4,FALSE)&lt;&gt;0,N265/VLOOKUP($B271,Calibration2!$B$99:$T$103,N$4,FALSE),1)</f>
        <v>1</v>
      </c>
      <c r="O271" s="730">
        <f ca="1">IF(VLOOKUP($B271,Calibration2!$B$99:$T$103,O$4,FALSE)&lt;&gt;0,O265/VLOOKUP($B271,Calibration2!$B$99:$T$103,O$4,FALSE),1)</f>
        <v>1</v>
      </c>
      <c r="P271" s="730">
        <f ca="1">IF(VLOOKUP($B271,Calibration2!$B$99:$T$103,P$4,FALSE)&lt;&gt;0,P265/VLOOKUP($B271,Calibration2!$B$99:$T$103,P$4,FALSE),1)</f>
        <v>1</v>
      </c>
      <c r="Q271" s="730">
        <f ca="1">IF(VLOOKUP($B271,Calibration2!$B$99:$T$103,Q$4,FALSE)&lt;&gt;0,Q265/VLOOKUP($B271,Calibration2!$B$99:$T$103,Q$4,FALSE),1)</f>
        <v>1</v>
      </c>
      <c r="R271" s="730">
        <f ca="1">IF(VLOOKUP($B271,Calibration2!$B$99:$T$103,R$4,FALSE)&lt;&gt;0,R265/VLOOKUP($B271,Calibration2!$B$99:$T$103,R$4,FALSE),1)</f>
        <v>1</v>
      </c>
      <c r="S271" s="730">
        <f ca="1">IF(VLOOKUP($B271,Calibration2!$B$99:$T$103,S$4,FALSE)&lt;&gt;0,S265/VLOOKUP($B271,Calibration2!$B$99:$T$103,S$4,FALSE),1)</f>
        <v>1</v>
      </c>
      <c r="T271" s="730">
        <f ca="1">IF(VLOOKUP($B271,Calibration2!$B$99:$T$103,T$4,FALSE)&lt;&gt;0,T265/VLOOKUP($B271,Calibration2!$B$99:$T$103,T$4,FALSE),1)</f>
        <v>1</v>
      </c>
      <c r="V271" s="613" t="s">
        <v>796</v>
      </c>
      <c r="W271" s="651">
        <f>SUM(W261:W267)</f>
        <v>4.7023211225965138</v>
      </c>
      <c r="X271" s="651">
        <f>SUM(X261:X267)</f>
        <v>4.2892163383508919</v>
      </c>
      <c r="Y271" s="651">
        <f>SUM(Y261:Y267)</f>
        <v>4.2892163383508919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V90"/>
  <sheetViews>
    <sheetView topLeftCell="AC1" zoomScale="75" workbookViewId="0">
      <selection activeCell="AQ51" sqref="AQ51:AV88"/>
    </sheetView>
  </sheetViews>
  <sheetFormatPr defaultColWidth="8.85546875" defaultRowHeight="12.75"/>
  <cols>
    <col min="1" max="1" width="17.42578125" customWidth="1"/>
    <col min="2" max="2" width="8.85546875" customWidth="1"/>
    <col min="3" max="3" width="21.85546875" bestFit="1" customWidth="1"/>
    <col min="4" max="5" width="12" customWidth="1"/>
    <col min="6" max="6" width="10.85546875" customWidth="1"/>
    <col min="7" max="7" width="12.7109375" customWidth="1"/>
    <col min="8" max="8" width="12" customWidth="1"/>
    <col min="9" max="9" width="11" customWidth="1"/>
    <col min="10" max="10" width="10.85546875" customWidth="1"/>
    <col min="11" max="11" width="9.42578125" customWidth="1"/>
    <col min="12" max="12" width="9.5703125" customWidth="1"/>
    <col min="13" max="14" width="12" customWidth="1"/>
    <col min="15" max="15" width="10.28515625" customWidth="1"/>
    <col min="16" max="16" width="9.28515625" customWidth="1"/>
    <col min="17" max="17" width="10" customWidth="1"/>
    <col min="18" max="18" width="9.5703125" customWidth="1"/>
    <col min="19" max="19" width="12.28515625" customWidth="1"/>
    <col min="20" max="20" width="10.42578125" customWidth="1"/>
    <col min="21" max="21" width="10.7109375" customWidth="1"/>
    <col min="22" max="22" width="9.42578125" customWidth="1"/>
    <col min="23" max="23" width="8.85546875" customWidth="1"/>
    <col min="24" max="25" width="11.5703125" customWidth="1"/>
    <col min="26" max="26" width="10.42578125" customWidth="1"/>
    <col min="27" max="27" width="10" customWidth="1"/>
    <col min="28" max="28" width="9.28515625" customWidth="1"/>
    <col min="29" max="29" width="8.42578125" customWidth="1"/>
    <col min="30" max="31" width="8.5703125" customWidth="1"/>
    <col min="32" max="33" width="9.28515625" customWidth="1"/>
    <col min="34" max="34" width="8.42578125" customWidth="1"/>
    <col min="35" max="35" width="8.85546875" customWidth="1"/>
    <col min="36" max="36" width="9" customWidth="1"/>
    <col min="37" max="37" width="7.7109375" customWidth="1"/>
    <col min="38" max="38" width="8.85546875" customWidth="1"/>
    <col min="39" max="39" width="10.85546875" customWidth="1"/>
    <col min="40" max="40" width="8.85546875" customWidth="1"/>
    <col min="41" max="41" width="11" customWidth="1"/>
    <col min="42" max="47" width="8.85546875" customWidth="1"/>
    <col min="48" max="48" width="9.5703125" customWidth="1"/>
    <col min="49" max="50" width="8.85546875" customWidth="1"/>
    <col min="51" max="51" width="9.7109375" customWidth="1"/>
    <col min="52" max="70" width="8.85546875" customWidth="1"/>
    <col min="71" max="71" width="22.85546875" customWidth="1"/>
    <col min="72" max="72" width="8.85546875" customWidth="1"/>
    <col min="73" max="73" width="26.5703125" customWidth="1"/>
  </cols>
  <sheetData>
    <row r="1" spans="1:256" ht="18">
      <c r="A1" s="202" t="s">
        <v>873</v>
      </c>
      <c r="B1" s="203"/>
      <c r="C1" s="214" t="s">
        <v>808</v>
      </c>
      <c r="D1" s="38" t="str">
        <f>Region</f>
        <v>FIM</v>
      </c>
      <c r="E1" s="203"/>
      <c r="F1" s="203"/>
      <c r="G1" s="203"/>
      <c r="H1" s="20" t="s">
        <v>749</v>
      </c>
      <c r="I1" s="20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X1" s="317" t="s">
        <v>573</v>
      </c>
      <c r="AY1" s="317" t="str">
        <f ca="1">MID(CELL("filename",AX1),FIND("VT_",CELL("filename",AX1))+3,3)</f>
        <v>FI_</v>
      </c>
      <c r="AZ1" s="317" t="s">
        <v>829</v>
      </c>
      <c r="BA1" s="318">
        <v>1.0000000000000001E-9</v>
      </c>
    </row>
    <row r="2" spans="1:256">
      <c r="A2" s="203"/>
      <c r="B2" s="203"/>
      <c r="C2" s="214" t="s">
        <v>809</v>
      </c>
      <c r="D2" s="39">
        <v>2017</v>
      </c>
      <c r="E2" s="203"/>
      <c r="F2" s="203"/>
      <c r="G2" s="203"/>
      <c r="H2" s="60" t="s">
        <v>750</v>
      </c>
      <c r="I2" s="60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</row>
    <row r="3" spans="1:256" ht="18">
      <c r="A3" s="203"/>
      <c r="B3" s="203"/>
      <c r="C3" s="214" t="s">
        <v>810</v>
      </c>
      <c r="D3" s="42">
        <v>4.1868000000000002E-2</v>
      </c>
      <c r="E3" s="208" t="s">
        <v>985</v>
      </c>
      <c r="F3" s="203"/>
      <c r="G3" s="203"/>
      <c r="H3" s="177" t="s">
        <v>751</v>
      </c>
      <c r="I3" s="177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Q3" s="87" t="s">
        <v>732</v>
      </c>
      <c r="AR3" s="89"/>
      <c r="AS3" s="467"/>
      <c r="AT3" s="95"/>
      <c r="AU3" s="91"/>
      <c r="AV3" s="91"/>
      <c r="AX3" s="87" t="s">
        <v>733</v>
      </c>
      <c r="AY3" s="89"/>
      <c r="AZ3" s="467"/>
      <c r="BA3" s="95"/>
      <c r="BB3" s="14"/>
      <c r="BE3" s="86" t="s">
        <v>734</v>
      </c>
      <c r="BF3" s="89"/>
      <c r="BG3" s="467"/>
      <c r="BH3" s="95"/>
      <c r="BI3" s="91"/>
      <c r="BJ3" s="91"/>
      <c r="BK3" s="91"/>
      <c r="BL3" s="91"/>
      <c r="BM3" s="91"/>
    </row>
    <row r="4" spans="1:256">
      <c r="A4" s="203"/>
      <c r="B4" s="203"/>
      <c r="C4" s="203"/>
      <c r="D4" s="203"/>
      <c r="F4" s="203"/>
      <c r="G4" s="203"/>
      <c r="H4" s="271" t="s">
        <v>752</v>
      </c>
      <c r="I4" s="271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Q4" s="169" t="s">
        <v>1296</v>
      </c>
      <c r="AR4" s="394">
        <v>4.5637313924872913E-2</v>
      </c>
      <c r="AS4" s="241" t="s">
        <v>581</v>
      </c>
      <c r="AT4" s="241" t="s">
        <v>582</v>
      </c>
      <c r="AU4" s="241" t="s">
        <v>583</v>
      </c>
      <c r="AX4" s="291" t="s">
        <v>996</v>
      </c>
      <c r="AY4" s="291"/>
      <c r="AZ4" s="292">
        <f>AR4</f>
        <v>4.5637313924872913E-2</v>
      </c>
      <c r="BA4" s="96" t="s">
        <v>1005</v>
      </c>
      <c r="BB4" s="108"/>
    </row>
    <row r="5" spans="1:256" ht="13.5" thickBot="1">
      <c r="A5" s="203"/>
      <c r="B5" s="203"/>
      <c r="C5" s="203"/>
      <c r="D5" s="203"/>
      <c r="E5" s="203"/>
      <c r="F5" s="203"/>
      <c r="G5" s="203"/>
      <c r="H5" s="9" t="s">
        <v>753</v>
      </c>
      <c r="I5" s="9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Q5" s="446"/>
      <c r="AR5" s="100"/>
      <c r="AS5" s="269">
        <v>-4.1868000000000002E-2</v>
      </c>
      <c r="AT5" s="270">
        <v>3.5999999999999999E-3</v>
      </c>
      <c r="AU5" s="270">
        <v>1E-3</v>
      </c>
      <c r="AX5" s="96"/>
      <c r="AY5" s="96"/>
      <c r="AZ5" s="96"/>
      <c r="BA5" s="96"/>
      <c r="BB5" s="108"/>
      <c r="BH5" s="284" t="s">
        <v>1074</v>
      </c>
      <c r="BI5" s="245"/>
      <c r="BJ5" s="245" t="s">
        <v>1163</v>
      </c>
    </row>
    <row r="6" spans="1:256" ht="13.5" thickBot="1">
      <c r="A6" s="203"/>
      <c r="B6" s="203"/>
      <c r="C6" s="203"/>
      <c r="D6" s="203"/>
      <c r="E6" s="203"/>
      <c r="F6" s="203"/>
      <c r="G6" s="203"/>
      <c r="H6" s="272" t="s">
        <v>754</v>
      </c>
      <c r="I6" s="272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Q6" s="468"/>
      <c r="AR6" s="242" t="s">
        <v>585</v>
      </c>
      <c r="AS6" s="243" t="s">
        <v>586</v>
      </c>
      <c r="AT6" s="243" t="s">
        <v>587</v>
      </c>
      <c r="AU6" s="243" t="s">
        <v>588</v>
      </c>
      <c r="AX6" s="244"/>
      <c r="AY6" s="245" t="s">
        <v>581</v>
      </c>
      <c r="AZ6" s="245" t="s">
        <v>582</v>
      </c>
      <c r="BA6" s="245" t="s">
        <v>583</v>
      </c>
      <c r="BB6" s="245" t="s">
        <v>1493</v>
      </c>
      <c r="BC6" s="245" t="s">
        <v>1494</v>
      </c>
      <c r="BE6" s="379">
        <v>4.4000000000000004</v>
      </c>
      <c r="BF6" t="s">
        <v>1075</v>
      </c>
      <c r="BG6" t="s">
        <v>1076</v>
      </c>
      <c r="BH6" t="s">
        <v>264</v>
      </c>
      <c r="BI6" s="380">
        <v>5681.2116898800004</v>
      </c>
      <c r="BJ6">
        <v>0.5</v>
      </c>
    </row>
    <row r="7" spans="1:256">
      <c r="A7" s="203"/>
      <c r="B7" s="203"/>
      <c r="C7" s="203"/>
      <c r="D7" s="203"/>
      <c r="E7" s="203"/>
      <c r="F7" s="203"/>
      <c r="G7" s="203"/>
      <c r="H7" s="273" t="s">
        <v>755</v>
      </c>
      <c r="I7" s="27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Q7" s="99" t="s">
        <v>832</v>
      </c>
      <c r="AR7" s="100" t="s">
        <v>591</v>
      </c>
      <c r="AS7" s="101">
        <v>0</v>
      </c>
      <c r="AT7" s="101">
        <v>0</v>
      </c>
      <c r="AU7" s="101">
        <v>0</v>
      </c>
      <c r="AX7" s="184" t="str">
        <f>$C$38</f>
        <v>INDNGA</v>
      </c>
      <c r="AY7" s="456">
        <f>AS7+AS11</f>
        <v>0</v>
      </c>
      <c r="AZ7" s="456">
        <f>AT7+AT11</f>
        <v>0</v>
      </c>
      <c r="BA7" s="456">
        <f>AU7+AU11</f>
        <v>0</v>
      </c>
      <c r="BB7" s="595">
        <f t="shared" ref="BB7:BB22" si="0">IF(AY7=0,0,AZ7/AY7)</f>
        <v>0</v>
      </c>
      <c r="BC7" s="595">
        <f t="shared" ref="BC7:BC22" si="1">IF(BA7=0,0,AZ7/BA7)</f>
        <v>0</v>
      </c>
      <c r="BE7" s="381">
        <v>1.6</v>
      </c>
      <c r="BF7" t="s">
        <v>1077</v>
      </c>
      <c r="BH7" t="s">
        <v>265</v>
      </c>
      <c r="BI7" s="382">
        <v>1638.0532616400001</v>
      </c>
      <c r="BJ7">
        <v>0.5</v>
      </c>
    </row>
    <row r="8" spans="1:256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Q8" s="99" t="s">
        <v>830</v>
      </c>
      <c r="AR8" s="100" t="s">
        <v>801</v>
      </c>
      <c r="AS8" s="101">
        <v>0</v>
      </c>
      <c r="AT8" s="101">
        <v>0</v>
      </c>
      <c r="AU8" s="101">
        <v>0</v>
      </c>
      <c r="AX8" s="184" t="str">
        <f>$D$38</f>
        <v>INDLPG</v>
      </c>
      <c r="AY8" s="456">
        <f>AS13</f>
        <v>0</v>
      </c>
      <c r="AZ8" s="456">
        <f>AT13</f>
        <v>0</v>
      </c>
      <c r="BA8" s="456">
        <f>AU13</f>
        <v>0</v>
      </c>
      <c r="BB8" s="595">
        <f t="shared" si="0"/>
        <v>0</v>
      </c>
      <c r="BC8" s="595">
        <f t="shared" si="1"/>
        <v>0</v>
      </c>
      <c r="BE8" s="383">
        <f>VLOOKUP(Region,$BH$6:$BI$23,2,0)</f>
        <v>10</v>
      </c>
      <c r="BF8" t="s">
        <v>1082</v>
      </c>
      <c r="BH8" t="s">
        <v>266</v>
      </c>
      <c r="BI8" s="382">
        <v>4121.1413463600002</v>
      </c>
      <c r="BJ8">
        <v>0.5</v>
      </c>
    </row>
    <row r="9" spans="1:256">
      <c r="A9" s="203"/>
      <c r="B9" s="203"/>
      <c r="C9" s="214"/>
      <c r="D9" s="214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Q9" s="99" t="s">
        <v>956</v>
      </c>
      <c r="AR9" s="100" t="s">
        <v>800</v>
      </c>
      <c r="AS9" s="101">
        <v>0</v>
      </c>
      <c r="AT9" s="101">
        <v>0</v>
      </c>
      <c r="AU9" s="101">
        <v>0</v>
      </c>
      <c r="AX9" s="184" t="str">
        <f>$E$38</f>
        <v>INDNGL</v>
      </c>
      <c r="AY9" s="456">
        <f>AS20</f>
        <v>0</v>
      </c>
      <c r="AZ9" s="456">
        <f>AT20</f>
        <v>0</v>
      </c>
      <c r="BA9" s="456">
        <f>AU20</f>
        <v>0</v>
      </c>
      <c r="BB9" s="595">
        <f t="shared" si="0"/>
        <v>0</v>
      </c>
      <c r="BC9" s="595">
        <f t="shared" si="1"/>
        <v>0</v>
      </c>
      <c r="BE9" s="384">
        <f>BE8*BE6/1000</f>
        <v>4.3999999999999997E-2</v>
      </c>
      <c r="BF9" t="s">
        <v>1078</v>
      </c>
      <c r="BH9" t="s">
        <v>267</v>
      </c>
      <c r="BI9" s="382">
        <v>12158.67654</v>
      </c>
      <c r="BJ9">
        <v>0.5</v>
      </c>
    </row>
    <row r="10" spans="1:256" ht="18">
      <c r="A10" s="215" t="s">
        <v>584</v>
      </c>
      <c r="B10" s="86" t="s">
        <v>986</v>
      </c>
      <c r="C10" s="88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Q10" s="99" t="s">
        <v>831</v>
      </c>
      <c r="AR10" s="100" t="s">
        <v>592</v>
      </c>
      <c r="AS10" s="101">
        <v>0</v>
      </c>
      <c r="AT10" s="101">
        <v>0</v>
      </c>
      <c r="AU10" s="101">
        <v>0</v>
      </c>
      <c r="AX10" s="184" t="str">
        <f>$F$38</f>
        <v>INDCOA</v>
      </c>
      <c r="AY10" s="456">
        <f t="shared" ref="AY10:BA11" si="2">AS33</f>
        <v>7.6480044277440623E-2</v>
      </c>
      <c r="AZ10" s="456">
        <f t="shared" si="2"/>
        <v>4.0500784351468512E-2</v>
      </c>
      <c r="BA10" s="456">
        <f t="shared" si="2"/>
        <v>2.547651033086247E-2</v>
      </c>
      <c r="BB10" s="595">
        <f t="shared" si="0"/>
        <v>0.52956015826229141</v>
      </c>
      <c r="BC10" s="595">
        <f t="shared" si="1"/>
        <v>1.5897304546614259</v>
      </c>
      <c r="BE10" s="384">
        <f>BE9/BE7</f>
        <v>2.7499999999999997E-2</v>
      </c>
      <c r="BF10" t="s">
        <v>1079</v>
      </c>
      <c r="BH10" t="s">
        <v>1094</v>
      </c>
      <c r="BI10" s="382">
        <v>10986.901332840001</v>
      </c>
      <c r="BJ10">
        <v>0.5</v>
      </c>
      <c r="BS10" s="33"/>
      <c r="BT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</row>
    <row r="11" spans="1:256" s="33" customFormat="1" ht="38.25" customHeight="1">
      <c r="A11" s="204" t="s">
        <v>811</v>
      </c>
      <c r="B11" s="209" t="s">
        <v>797</v>
      </c>
      <c r="C11" s="209" t="s">
        <v>798</v>
      </c>
      <c r="D11" s="209" t="s">
        <v>881</v>
      </c>
      <c r="E11" s="209" t="s">
        <v>562</v>
      </c>
      <c r="F11" s="209" t="s">
        <v>598</v>
      </c>
      <c r="G11" s="210" t="s">
        <v>194</v>
      </c>
      <c r="H11" s="209" t="s">
        <v>799</v>
      </c>
      <c r="I11" s="209" t="s">
        <v>812</v>
      </c>
      <c r="J11" s="209" t="s">
        <v>800</v>
      </c>
      <c r="K11" s="209" t="s">
        <v>801</v>
      </c>
      <c r="L11" s="209" t="s">
        <v>592</v>
      </c>
      <c r="M11" s="209" t="s">
        <v>591</v>
      </c>
      <c r="N11" s="209" t="s">
        <v>891</v>
      </c>
      <c r="O11" s="209" t="s">
        <v>892</v>
      </c>
      <c r="P11" s="209" t="s">
        <v>802</v>
      </c>
      <c r="Q11" s="209" t="s">
        <v>803</v>
      </c>
      <c r="R11" s="209" t="s">
        <v>890</v>
      </c>
      <c r="S11" s="209" t="s">
        <v>322</v>
      </c>
      <c r="T11" s="209" t="s">
        <v>594</v>
      </c>
      <c r="U11" s="209" t="s">
        <v>804</v>
      </c>
      <c r="V11" s="209" t="s">
        <v>805</v>
      </c>
      <c r="W11" s="209" t="s">
        <v>806</v>
      </c>
      <c r="X11" s="209" t="s">
        <v>947</v>
      </c>
      <c r="Y11" s="209" t="s">
        <v>323</v>
      </c>
      <c r="Z11" s="209" t="s">
        <v>1374</v>
      </c>
      <c r="AA11" s="211" t="s">
        <v>1375</v>
      </c>
      <c r="AB11" s="209" t="s">
        <v>745</v>
      </c>
      <c r="AC11" s="209" t="s">
        <v>595</v>
      </c>
      <c r="AD11" s="209" t="s">
        <v>807</v>
      </c>
      <c r="AE11" s="209" t="s">
        <v>604</v>
      </c>
      <c r="AF11" s="209" t="s">
        <v>948</v>
      </c>
      <c r="AG11" s="212" t="s">
        <v>748</v>
      </c>
      <c r="AH11" s="212" t="s">
        <v>95</v>
      </c>
      <c r="AI11" s="212" t="s">
        <v>96</v>
      </c>
      <c r="AJ11" s="212" t="s">
        <v>97</v>
      </c>
      <c r="AK11" s="209" t="s">
        <v>888</v>
      </c>
      <c r="AL11" s="212"/>
      <c r="AM11" s="212"/>
      <c r="AN11" s="212"/>
      <c r="AP11"/>
      <c r="AQ11" s="99" t="s">
        <v>951</v>
      </c>
      <c r="AR11" s="100" t="s">
        <v>798</v>
      </c>
      <c r="AS11" s="101">
        <v>0</v>
      </c>
      <c r="AT11" s="101">
        <v>0</v>
      </c>
      <c r="AU11" s="101">
        <v>0</v>
      </c>
      <c r="AV11"/>
      <c r="AW11"/>
      <c r="AX11" s="184" t="str">
        <f>$G$38</f>
        <v>INDCOK</v>
      </c>
      <c r="AY11" s="456">
        <f t="shared" si="2"/>
        <v>0</v>
      </c>
      <c r="AZ11" s="456">
        <f t="shared" si="2"/>
        <v>0</v>
      </c>
      <c r="BA11" s="456">
        <f t="shared" si="2"/>
        <v>0</v>
      </c>
      <c r="BB11" s="595">
        <f t="shared" si="0"/>
        <v>0</v>
      </c>
      <c r="BC11" s="595">
        <f t="shared" si="1"/>
        <v>0</v>
      </c>
      <c r="BD11"/>
      <c r="BE11"/>
      <c r="BF11"/>
      <c r="BG11"/>
      <c r="BH11" s="33" t="s">
        <v>268</v>
      </c>
      <c r="BI11" s="382">
        <v>3451.4162128799999</v>
      </c>
      <c r="BJ11" s="33">
        <v>0.5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>
      <c r="A12" s="205" t="s">
        <v>791</v>
      </c>
      <c r="B12" s="36">
        <v>2.3313240334398473E-2</v>
      </c>
      <c r="C12" s="36">
        <v>4.0000000000000001E-3</v>
      </c>
      <c r="D12" s="36">
        <v>7.0000000000000001E-3</v>
      </c>
      <c r="E12" s="36">
        <v>0</v>
      </c>
      <c r="F12" s="36">
        <v>2E-3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36">
        <v>0</v>
      </c>
      <c r="AD12" s="36">
        <v>2E-3</v>
      </c>
      <c r="AE12" s="36">
        <v>0</v>
      </c>
      <c r="AF12" s="36">
        <v>0</v>
      </c>
      <c r="AG12" s="105">
        <v>0</v>
      </c>
      <c r="AH12" s="105">
        <v>0</v>
      </c>
      <c r="AI12" s="105">
        <v>0</v>
      </c>
      <c r="AJ12" s="105">
        <v>0</v>
      </c>
      <c r="AK12" s="36">
        <v>3.831324033439848E-2</v>
      </c>
      <c r="AL12" s="213">
        <v>7.4625015849567697E-2</v>
      </c>
      <c r="AM12" s="203" t="s">
        <v>791</v>
      </c>
      <c r="AN12" s="203" t="s">
        <v>443</v>
      </c>
      <c r="AO12">
        <v>0</v>
      </c>
      <c r="AQ12" s="99" t="s">
        <v>833</v>
      </c>
      <c r="AR12" s="100" t="s">
        <v>891</v>
      </c>
      <c r="AS12" s="101">
        <v>0</v>
      </c>
      <c r="AT12" s="101">
        <v>0</v>
      </c>
      <c r="AU12" s="101">
        <v>0</v>
      </c>
      <c r="AX12" s="184" t="str">
        <f>$H$38</f>
        <v>INDCOG</v>
      </c>
      <c r="AY12" s="456">
        <f>AS9</f>
        <v>0</v>
      </c>
      <c r="AZ12" s="456">
        <f>AT9</f>
        <v>0</v>
      </c>
      <c r="BA12" s="456">
        <f>AU9</f>
        <v>0</v>
      </c>
      <c r="BB12" s="595">
        <f t="shared" si="0"/>
        <v>0</v>
      </c>
      <c r="BC12" s="595">
        <f t="shared" si="1"/>
        <v>0</v>
      </c>
      <c r="BH12" t="s">
        <v>269</v>
      </c>
      <c r="BI12" s="382">
        <v>5567.2465751999998</v>
      </c>
      <c r="BJ12">
        <v>0.5</v>
      </c>
    </row>
    <row r="13" spans="1:256">
      <c r="A13" s="203" t="s">
        <v>793</v>
      </c>
      <c r="B13" s="36">
        <v>2.3313240334398473E-2</v>
      </c>
      <c r="C13" s="36">
        <v>0</v>
      </c>
      <c r="D13" s="36">
        <v>3.0000000000000001E-3</v>
      </c>
      <c r="E13" s="37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1E-3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36">
        <v>0</v>
      </c>
      <c r="AD13" s="36">
        <v>8.9999999999999993E-3</v>
      </c>
      <c r="AE13" s="36">
        <v>0</v>
      </c>
      <c r="AF13" s="36">
        <v>0</v>
      </c>
      <c r="AG13" s="105">
        <v>0</v>
      </c>
      <c r="AH13" s="105">
        <v>0</v>
      </c>
      <c r="AI13" s="105">
        <v>0</v>
      </c>
      <c r="AJ13" s="105">
        <v>0</v>
      </c>
      <c r="AK13" s="36">
        <v>3.6313240334398471E-2</v>
      </c>
      <c r="AL13" s="213">
        <v>2.4003592342312141E-2</v>
      </c>
      <c r="AM13" s="203" t="s">
        <v>793</v>
      </c>
      <c r="AN13" s="203"/>
      <c r="AQ13" s="99" t="s">
        <v>1297</v>
      </c>
      <c r="AR13" s="100" t="s">
        <v>663</v>
      </c>
      <c r="AS13" s="101">
        <v>0</v>
      </c>
      <c r="AT13" s="101">
        <v>0</v>
      </c>
      <c r="AU13" s="101">
        <v>0</v>
      </c>
      <c r="AX13" s="184" t="str">
        <f>$I$38</f>
        <v>INDBFG</v>
      </c>
      <c r="AY13" s="456">
        <f>AS8+AS10</f>
        <v>0</v>
      </c>
      <c r="AZ13" s="456">
        <f>AT8+AT10</f>
        <v>0</v>
      </c>
      <c r="BA13" s="456">
        <f>AU8+AU10</f>
        <v>0</v>
      </c>
      <c r="BB13" s="595">
        <f t="shared" si="0"/>
        <v>0</v>
      </c>
      <c r="BC13" s="595">
        <f t="shared" si="1"/>
        <v>0</v>
      </c>
      <c r="BH13" t="s">
        <v>1095</v>
      </c>
      <c r="BI13" s="382">
        <v>14002.61192352</v>
      </c>
      <c r="BJ13">
        <v>0.5</v>
      </c>
    </row>
    <row r="14" spans="1:256">
      <c r="A14" s="203" t="s">
        <v>792</v>
      </c>
      <c r="B14" s="36">
        <v>0.26883496568466353</v>
      </c>
      <c r="C14" s="36">
        <v>9.1999999999999998E-2</v>
      </c>
      <c r="D14" s="36">
        <v>0.505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4.8000000000000001E-2</v>
      </c>
      <c r="Q14" s="36">
        <v>3.0000000000000001E-3</v>
      </c>
      <c r="R14" s="36">
        <v>0</v>
      </c>
      <c r="S14" s="36">
        <v>0</v>
      </c>
      <c r="T14" s="36">
        <v>0</v>
      </c>
      <c r="U14" s="36">
        <v>0</v>
      </c>
      <c r="V14" s="36">
        <v>0.21299999999999999</v>
      </c>
      <c r="W14" s="36">
        <v>0</v>
      </c>
      <c r="X14" s="44">
        <v>5.0000000000000001E-3</v>
      </c>
      <c r="Y14" s="44">
        <v>0</v>
      </c>
      <c r="Z14" s="44">
        <v>0</v>
      </c>
      <c r="AA14" s="44">
        <v>0</v>
      </c>
      <c r="AB14" s="44">
        <v>0</v>
      </c>
      <c r="AC14" s="36">
        <v>8.0000000000000002E-3</v>
      </c>
      <c r="AD14" s="36">
        <v>0.19400000000000001</v>
      </c>
      <c r="AE14" s="36">
        <v>0</v>
      </c>
      <c r="AF14" s="36">
        <v>0</v>
      </c>
      <c r="AG14" s="105">
        <v>0</v>
      </c>
      <c r="AH14" s="105">
        <v>0</v>
      </c>
      <c r="AI14" s="105">
        <v>0</v>
      </c>
      <c r="AJ14" s="105">
        <v>0</v>
      </c>
      <c r="AK14" s="36">
        <v>1.3368349656846634</v>
      </c>
      <c r="AL14" s="213">
        <v>0.17029984209030313</v>
      </c>
      <c r="AM14" s="203" t="s">
        <v>792</v>
      </c>
      <c r="AN14" s="203"/>
      <c r="AQ14" s="109" t="s">
        <v>843</v>
      </c>
      <c r="AR14" s="110" t="s">
        <v>804</v>
      </c>
      <c r="AS14" s="101">
        <v>0</v>
      </c>
      <c r="AT14" s="101">
        <v>0</v>
      </c>
      <c r="AU14" s="101">
        <v>0</v>
      </c>
      <c r="AX14" s="184" t="str">
        <f>$J$38</f>
        <v>INDBCO</v>
      </c>
      <c r="AY14" s="456">
        <f>AS32</f>
        <v>0</v>
      </c>
      <c r="AZ14" s="456">
        <f>AT32</f>
        <v>0</v>
      </c>
      <c r="BA14" s="456">
        <f>AU32</f>
        <v>0</v>
      </c>
      <c r="BB14" s="595">
        <f t="shared" si="0"/>
        <v>0</v>
      </c>
      <c r="BC14" s="595">
        <f t="shared" si="1"/>
        <v>0</v>
      </c>
      <c r="BH14" t="s">
        <v>1096</v>
      </c>
      <c r="BI14" s="382">
        <v>14105.901116880001</v>
      </c>
      <c r="BJ14">
        <v>0.5</v>
      </c>
    </row>
    <row r="15" spans="1:256">
      <c r="A15" s="203" t="s">
        <v>795</v>
      </c>
      <c r="B15" s="36">
        <v>2.0722880297243083E-2</v>
      </c>
      <c r="C15" s="36">
        <v>6.0000000000000001E-3</v>
      </c>
      <c r="D15" s="36">
        <v>1E-3</v>
      </c>
      <c r="E15" s="36">
        <v>0</v>
      </c>
      <c r="F15" s="36">
        <v>1E-3</v>
      </c>
      <c r="G15" s="36">
        <v>2E-3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1E-3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44">
        <v>4.8000000000000001E-2</v>
      </c>
      <c r="Y15" s="44">
        <v>0</v>
      </c>
      <c r="Z15" s="44">
        <v>0</v>
      </c>
      <c r="AA15" s="44">
        <v>0</v>
      </c>
      <c r="AB15" s="44">
        <v>1E-3</v>
      </c>
      <c r="AC15" s="36">
        <v>0</v>
      </c>
      <c r="AD15" s="36">
        <v>3.0000000000000001E-3</v>
      </c>
      <c r="AE15" s="36">
        <v>0</v>
      </c>
      <c r="AF15" s="36">
        <v>0</v>
      </c>
      <c r="AG15" s="105">
        <v>0</v>
      </c>
      <c r="AH15" s="105">
        <v>0</v>
      </c>
      <c r="AI15" s="105">
        <v>0</v>
      </c>
      <c r="AJ15" s="105">
        <v>0</v>
      </c>
      <c r="AK15" s="36">
        <v>8.3722880297243091E-2</v>
      </c>
      <c r="AL15" s="213">
        <v>0.47805764435380371</v>
      </c>
      <c r="AM15" s="203" t="s">
        <v>795</v>
      </c>
      <c r="AN15" s="203"/>
      <c r="AQ15" s="99" t="s">
        <v>902</v>
      </c>
      <c r="AR15" s="100" t="s">
        <v>902</v>
      </c>
      <c r="AS15" s="131">
        <v>0</v>
      </c>
      <c r="AT15" s="131">
        <v>0</v>
      </c>
      <c r="AU15" s="131">
        <v>0</v>
      </c>
      <c r="AX15" s="184" t="str">
        <f>$K$38</f>
        <v>INDHFO</v>
      </c>
      <c r="AY15" s="456">
        <f>AS24+AS16+AS21+AS22</f>
        <v>0.20591120366977145</v>
      </c>
      <c r="AZ15" s="456">
        <f>AT24+AT16+AT21+AT22</f>
        <v>1.9668012460337652E-2</v>
      </c>
      <c r="BA15" s="456">
        <f>AU24+AU16+AU21+AU22</f>
        <v>0.16985620336767743</v>
      </c>
      <c r="BB15" s="595">
        <f t="shared" si="0"/>
        <v>9.551696124257561E-2</v>
      </c>
      <c r="BC15" s="595">
        <f t="shared" si="1"/>
        <v>0.11579213517308813</v>
      </c>
      <c r="BH15" t="s">
        <v>270</v>
      </c>
      <c r="BI15" s="382">
        <v>13859.407035</v>
      </c>
      <c r="BJ15">
        <v>0.5</v>
      </c>
    </row>
    <row r="16" spans="1:256">
      <c r="A16" s="203" t="s">
        <v>794</v>
      </c>
      <c r="B16" s="36">
        <v>8.3539111198261198E-2</v>
      </c>
      <c r="C16" s="36">
        <v>0.03</v>
      </c>
      <c r="D16" s="36">
        <v>2.1999999999999999E-2</v>
      </c>
      <c r="E16" s="36">
        <v>0</v>
      </c>
      <c r="F16" s="36">
        <v>5.0999999999999997E-2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3.0000000000000001E-3</v>
      </c>
      <c r="Q16" s="36">
        <v>0.01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0.05</v>
      </c>
      <c r="X16" s="44">
        <v>5.0000000000000001E-3</v>
      </c>
      <c r="Y16" s="44">
        <v>0</v>
      </c>
      <c r="Z16" s="44">
        <v>0</v>
      </c>
      <c r="AA16" s="44">
        <v>2E-3</v>
      </c>
      <c r="AB16" s="44">
        <v>4.8000000000000001E-2</v>
      </c>
      <c r="AC16" s="36">
        <v>0</v>
      </c>
      <c r="AD16" s="36">
        <v>2.4E-2</v>
      </c>
      <c r="AE16" s="36">
        <v>0</v>
      </c>
      <c r="AF16" s="36">
        <v>0</v>
      </c>
      <c r="AG16" s="105">
        <v>0</v>
      </c>
      <c r="AH16" s="105">
        <v>0</v>
      </c>
      <c r="AI16" s="105">
        <v>0</v>
      </c>
      <c r="AJ16" s="105">
        <v>0</v>
      </c>
      <c r="AK16" s="36">
        <v>0.32853911119826124</v>
      </c>
      <c r="AL16" s="213">
        <v>2.7031168033792838E-2</v>
      </c>
      <c r="AM16" s="203" t="s">
        <v>794</v>
      </c>
      <c r="AN16" s="203"/>
      <c r="AQ16" s="99" t="s">
        <v>834</v>
      </c>
      <c r="AR16" s="100" t="s">
        <v>892</v>
      </c>
      <c r="AS16" s="101">
        <v>0</v>
      </c>
      <c r="AT16" s="101">
        <v>0</v>
      </c>
      <c r="AU16" s="101">
        <v>0</v>
      </c>
      <c r="AX16" s="184" t="str">
        <f>$L$38</f>
        <v>INDOIL</v>
      </c>
      <c r="AY16" s="456">
        <f>AS17+AS18+AS23</f>
        <v>0</v>
      </c>
      <c r="AZ16" s="456">
        <f>AT17+AT18+AT23</f>
        <v>0</v>
      </c>
      <c r="BA16" s="456">
        <f>AU17+AU18+AU23</f>
        <v>0</v>
      </c>
      <c r="BB16" s="595">
        <f t="shared" si="0"/>
        <v>0</v>
      </c>
      <c r="BC16" s="595">
        <f t="shared" si="1"/>
        <v>0</v>
      </c>
      <c r="BH16" t="s">
        <v>271</v>
      </c>
      <c r="BI16" s="382">
        <v>11096.639454240001</v>
      </c>
      <c r="BJ16">
        <v>0.5</v>
      </c>
    </row>
    <row r="17" spans="1:65">
      <c r="A17" s="203" t="s">
        <v>904</v>
      </c>
      <c r="B17" s="63">
        <v>2.432038229788124</v>
      </c>
      <c r="C17" s="63">
        <v>0.11636668854450752</v>
      </c>
      <c r="D17" s="63">
        <v>0.33413585665964007</v>
      </c>
      <c r="E17" s="63">
        <v>0</v>
      </c>
      <c r="F17" s="63">
        <v>3.60473799350872E-2</v>
      </c>
      <c r="G17" s="63">
        <v>5.0867124218388956E-3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9.9129423162309771E-2</v>
      </c>
      <c r="Q17" s="63">
        <v>1.6532295894464109</v>
      </c>
      <c r="R17" s="63">
        <v>0</v>
      </c>
      <c r="S17" s="63">
        <v>7.5200430254700936E-3</v>
      </c>
      <c r="T17" s="63">
        <v>0</v>
      </c>
      <c r="U17" s="63">
        <v>0</v>
      </c>
      <c r="V17" s="63">
        <v>0</v>
      </c>
      <c r="W17" s="63">
        <v>0</v>
      </c>
      <c r="X17" s="63">
        <v>0.88618685016436038</v>
      </c>
      <c r="Y17" s="63">
        <v>0</v>
      </c>
      <c r="Z17" s="63">
        <v>1.9356815772359262E-4</v>
      </c>
      <c r="AA17" s="63">
        <v>8.0327495369170356E-3</v>
      </c>
      <c r="AB17" s="63">
        <v>6.8366622282938338E-3</v>
      </c>
      <c r="AC17" s="63">
        <v>1.7946778863419683E-3</v>
      </c>
      <c r="AD17" s="63">
        <v>2.8118151462469374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8.3984135772039643</v>
      </c>
      <c r="AL17" s="213">
        <v>0.22598282159401265</v>
      </c>
      <c r="AM17" s="203" t="s">
        <v>904</v>
      </c>
      <c r="AN17" s="209" t="s">
        <v>888</v>
      </c>
      <c r="AO17" s="209" t="s">
        <v>797</v>
      </c>
      <c r="AQ17" s="99" t="s">
        <v>836</v>
      </c>
      <c r="AR17" s="100" t="s">
        <v>803</v>
      </c>
      <c r="AS17" s="101">
        <v>0</v>
      </c>
      <c r="AT17" s="101">
        <v>0</v>
      </c>
      <c r="AU17" s="101">
        <v>0</v>
      </c>
      <c r="AX17" s="184" t="str">
        <f>$M$38</f>
        <v>INDETH</v>
      </c>
      <c r="AY17" s="456">
        <f>AS12+AS14</f>
        <v>0</v>
      </c>
      <c r="AZ17" s="456">
        <f>AT12+AT14</f>
        <v>0</v>
      </c>
      <c r="BA17" s="456">
        <f>AU12+AU14</f>
        <v>0</v>
      </c>
      <c r="BB17" s="595">
        <f t="shared" si="0"/>
        <v>0</v>
      </c>
      <c r="BC17" s="595">
        <f t="shared" si="1"/>
        <v>0</v>
      </c>
      <c r="BH17" t="s">
        <v>563</v>
      </c>
      <c r="BI17" s="382">
        <v>34882.570383840008</v>
      </c>
      <c r="BJ17">
        <v>0.5</v>
      </c>
    </row>
    <row r="18" spans="1:65">
      <c r="A18" s="203" t="s">
        <v>796</v>
      </c>
      <c r="B18" s="36">
        <v>2.8517616676370885</v>
      </c>
      <c r="C18" s="36">
        <v>0.24836668854450752</v>
      </c>
      <c r="D18" s="36">
        <v>0.87213585665964011</v>
      </c>
      <c r="E18" s="36">
        <v>0</v>
      </c>
      <c r="F18" s="36">
        <v>9.0047379935087199E-2</v>
      </c>
      <c r="G18" s="36">
        <v>7.0867124218388956E-3</v>
      </c>
      <c r="H18" s="36">
        <v>0</v>
      </c>
      <c r="I18" s="36">
        <v>0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0.15212942316230976</v>
      </c>
      <c r="Q18" s="36">
        <v>1.6662295894464108</v>
      </c>
      <c r="R18" s="36">
        <v>0</v>
      </c>
      <c r="S18" s="36">
        <v>7.5200430254700936E-3</v>
      </c>
      <c r="T18" s="36">
        <v>0</v>
      </c>
      <c r="U18" s="36">
        <v>0</v>
      </c>
      <c r="V18" s="36">
        <v>0.21299999999999999</v>
      </c>
      <c r="W18" s="36">
        <v>0.05</v>
      </c>
      <c r="X18" s="44">
        <v>0.94418685016436044</v>
      </c>
      <c r="Y18" s="279">
        <v>0</v>
      </c>
      <c r="Z18" s="279">
        <v>1.9356815772359262E-4</v>
      </c>
      <c r="AA18" s="44">
        <v>1.0032749536917036E-2</v>
      </c>
      <c r="AB18" s="44">
        <v>5.5836662228293837E-2</v>
      </c>
      <c r="AC18" s="36">
        <v>9.7946778863419685E-3</v>
      </c>
      <c r="AD18" s="36">
        <v>3.0438151462469376</v>
      </c>
      <c r="AE18" s="36">
        <v>0</v>
      </c>
      <c r="AF18" s="36">
        <v>0</v>
      </c>
      <c r="AG18" s="105">
        <v>0</v>
      </c>
      <c r="AH18" s="105">
        <v>0</v>
      </c>
      <c r="AI18" s="105">
        <v>0</v>
      </c>
      <c r="AJ18" s="105">
        <v>0</v>
      </c>
      <c r="AK18" s="36">
        <v>10.222137015052928</v>
      </c>
      <c r="AL18" s="213">
        <v>1</v>
      </c>
      <c r="AM18" s="203" t="s">
        <v>1100</v>
      </c>
      <c r="AN18" s="93">
        <v>0.1448112283291913</v>
      </c>
      <c r="AO18" s="93">
        <v>6.46109803553329E-2</v>
      </c>
      <c r="AQ18" s="99" t="s">
        <v>838</v>
      </c>
      <c r="AR18" s="100" t="s">
        <v>593</v>
      </c>
      <c r="AS18" s="101">
        <v>0</v>
      </c>
      <c r="AT18" s="101">
        <v>0</v>
      </c>
      <c r="AU18" s="101">
        <v>0</v>
      </c>
      <c r="AX18" s="184" t="str">
        <f>$O$38</f>
        <v>INDPTC</v>
      </c>
      <c r="AY18" s="456">
        <f>AS35</f>
        <v>0</v>
      </c>
      <c r="AZ18" s="456">
        <f>AT35</f>
        <v>0</v>
      </c>
      <c r="BA18" s="456">
        <f>AU35</f>
        <v>0</v>
      </c>
      <c r="BB18" s="595">
        <f t="shared" si="0"/>
        <v>0</v>
      </c>
      <c r="BC18" s="595">
        <f t="shared" si="1"/>
        <v>0</v>
      </c>
      <c r="BH18" t="s">
        <v>705</v>
      </c>
      <c r="BI18" s="382">
        <v>26445.782779560002</v>
      </c>
      <c r="BJ18">
        <v>0.5</v>
      </c>
    </row>
    <row r="19" spans="1:65">
      <c r="A19" s="203" t="s">
        <v>1014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36">
        <v>0</v>
      </c>
      <c r="AD19" s="36">
        <v>0</v>
      </c>
      <c r="AE19" s="36">
        <v>0</v>
      </c>
      <c r="AF19" s="36">
        <v>0</v>
      </c>
      <c r="AG19" s="105">
        <v>0</v>
      </c>
      <c r="AH19" s="105">
        <v>0</v>
      </c>
      <c r="AI19" s="105">
        <v>0</v>
      </c>
      <c r="AJ19" s="105">
        <v>0</v>
      </c>
      <c r="AK19" s="36">
        <v>0</v>
      </c>
      <c r="AL19" s="213"/>
      <c r="AM19" s="203" t="s">
        <v>1101</v>
      </c>
      <c r="AN19" s="93">
        <v>1.2607480824512634</v>
      </c>
      <c r="AO19" s="93">
        <v>0.80097632863183321</v>
      </c>
      <c r="AQ19" s="99" t="s">
        <v>841</v>
      </c>
      <c r="AR19" s="100" t="s">
        <v>805</v>
      </c>
      <c r="AS19" s="101">
        <v>0</v>
      </c>
      <c r="AT19" s="101">
        <v>0</v>
      </c>
      <c r="AU19" s="101">
        <v>0</v>
      </c>
      <c r="AX19" s="184" t="str">
        <f>$P$38</f>
        <v>INDBIO</v>
      </c>
      <c r="AY19" s="456">
        <f>SUM(AS26:AS28)</f>
        <v>0</v>
      </c>
      <c r="AZ19" s="456">
        <f>SUM(AT26:AT28)</f>
        <v>0</v>
      </c>
      <c r="BA19" s="456">
        <f>SUM(AU26:AU28)</f>
        <v>0</v>
      </c>
      <c r="BB19" s="595">
        <f t="shared" si="0"/>
        <v>0</v>
      </c>
      <c r="BC19" s="595">
        <f t="shared" si="1"/>
        <v>0</v>
      </c>
      <c r="BH19" t="s">
        <v>1097</v>
      </c>
      <c r="BI19" s="382">
        <v>332.16270875999999</v>
      </c>
      <c r="BJ19" s="2">
        <v>1</v>
      </c>
    </row>
    <row r="20" spans="1:65">
      <c r="A20" s="206" t="s">
        <v>594</v>
      </c>
      <c r="B20" s="36">
        <v>0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36">
        <v>0</v>
      </c>
      <c r="AD20" s="36">
        <v>0</v>
      </c>
      <c r="AE20" s="36">
        <v>0</v>
      </c>
      <c r="AF20" s="36">
        <v>0</v>
      </c>
      <c r="AG20" s="105">
        <v>0</v>
      </c>
      <c r="AH20" s="105">
        <v>0</v>
      </c>
      <c r="AI20" s="105">
        <v>0</v>
      </c>
      <c r="AJ20" s="105">
        <v>0</v>
      </c>
      <c r="AK20" s="36">
        <v>0</v>
      </c>
      <c r="AL20" s="213"/>
      <c r="AM20" s="203" t="s">
        <v>1102</v>
      </c>
      <c r="AN20" s="93">
        <v>1.3496377091207948E-2</v>
      </c>
      <c r="AO20" s="93">
        <v>9.4363115639231887E-3</v>
      </c>
      <c r="AQ20" s="99" t="s">
        <v>756</v>
      </c>
      <c r="AR20" s="100" t="s">
        <v>562</v>
      </c>
      <c r="AS20" s="101">
        <v>0</v>
      </c>
      <c r="AT20" s="101">
        <v>0</v>
      </c>
      <c r="AU20" s="101">
        <v>0</v>
      </c>
      <c r="AX20" s="184" t="str">
        <f>$P$38</f>
        <v>INDBIO</v>
      </c>
      <c r="AY20" s="456">
        <f>SUM(AS26:AS30)-AY19</f>
        <v>0</v>
      </c>
      <c r="AZ20" s="456">
        <f>SUM(AT26:AT30)-AZ19</f>
        <v>0</v>
      </c>
      <c r="BA20" s="456">
        <f>SUM(AU26:AU30)-BA19</f>
        <v>0</v>
      </c>
      <c r="BB20" s="595">
        <f t="shared" si="0"/>
        <v>0</v>
      </c>
      <c r="BC20" s="595">
        <f t="shared" si="1"/>
        <v>0</v>
      </c>
      <c r="BH20" t="s">
        <v>86</v>
      </c>
      <c r="BI20" s="382">
        <v>508.92982344000001</v>
      </c>
      <c r="BJ20" s="285">
        <f>0.384999605483794*0+0.24</f>
        <v>0.24</v>
      </c>
    </row>
    <row r="21" spans="1:65">
      <c r="A21" s="203" t="s">
        <v>903</v>
      </c>
      <c r="B21" s="36">
        <v>0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36">
        <v>0</v>
      </c>
      <c r="AD21" s="36">
        <v>0</v>
      </c>
      <c r="AE21" s="36">
        <v>0</v>
      </c>
      <c r="AF21" s="36">
        <v>0</v>
      </c>
      <c r="AG21" s="105">
        <v>0</v>
      </c>
      <c r="AH21" s="105">
        <v>0</v>
      </c>
      <c r="AI21" s="105">
        <v>0</v>
      </c>
      <c r="AJ21" s="105">
        <v>0</v>
      </c>
      <c r="AK21" s="36">
        <v>0</v>
      </c>
      <c r="AL21" s="213"/>
      <c r="AM21" s="203" t="s">
        <v>1103</v>
      </c>
      <c r="AN21" s="93">
        <v>2.1656869090142186</v>
      </c>
      <c r="AO21" s="93">
        <v>0.86592035527765743</v>
      </c>
      <c r="AQ21" s="99" t="s">
        <v>840</v>
      </c>
      <c r="AR21" s="100" t="s">
        <v>893</v>
      </c>
      <c r="AS21" s="101">
        <v>0</v>
      </c>
      <c r="AT21" s="101">
        <v>0</v>
      </c>
      <c r="AU21" s="101">
        <v>0</v>
      </c>
      <c r="AX21" s="184" t="str">
        <f>$Q$38</f>
        <v>INDGEO</v>
      </c>
      <c r="AY21" s="456">
        <f>AS39</f>
        <v>0</v>
      </c>
      <c r="AZ21" s="456">
        <f>AT39</f>
        <v>0</v>
      </c>
      <c r="BA21" s="456">
        <f>AU39</f>
        <v>0</v>
      </c>
      <c r="BB21" s="595">
        <f t="shared" si="0"/>
        <v>0</v>
      </c>
      <c r="BC21" s="595">
        <f t="shared" si="1"/>
        <v>0</v>
      </c>
      <c r="BH21" t="s">
        <v>1098</v>
      </c>
      <c r="BI21" s="382">
        <v>672.59016071999997</v>
      </c>
      <c r="BJ21" s="2">
        <v>1</v>
      </c>
    </row>
    <row r="22" spans="1:65">
      <c r="A22" s="207" t="s">
        <v>19</v>
      </c>
      <c r="B22" s="36">
        <v>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36">
        <v>0</v>
      </c>
      <c r="AD22" s="36">
        <v>0</v>
      </c>
      <c r="AE22" s="36">
        <v>0</v>
      </c>
      <c r="AF22" s="36">
        <v>0</v>
      </c>
      <c r="AG22" s="44">
        <v>0</v>
      </c>
      <c r="AH22" s="44">
        <v>0</v>
      </c>
      <c r="AI22" s="44">
        <v>0</v>
      </c>
      <c r="AJ22" s="44">
        <v>0</v>
      </c>
      <c r="AK22" s="36">
        <v>0</v>
      </c>
      <c r="AL22" s="213"/>
      <c r="AM22" s="203" t="s">
        <v>1104</v>
      </c>
      <c r="AN22" s="93">
        <v>0.37628021253939903</v>
      </c>
      <c r="AO22" s="93">
        <v>8.3539111198261198E-2</v>
      </c>
      <c r="AQ22" s="99" t="s">
        <v>839</v>
      </c>
      <c r="AR22" s="100" t="s">
        <v>594</v>
      </c>
      <c r="AS22" s="101">
        <v>0</v>
      </c>
      <c r="AT22" s="101">
        <v>0</v>
      </c>
      <c r="AU22" s="101">
        <v>0</v>
      </c>
      <c r="AX22" s="111" t="s">
        <v>590</v>
      </c>
      <c r="AY22" s="2">
        <f>SUM(AY7:AY21)</f>
        <v>0.28239124794721204</v>
      </c>
      <c r="AZ22" s="2">
        <f>SUM(AZ7:AZ21)</f>
        <v>6.0168796811806161E-2</v>
      </c>
      <c r="BA22" s="2">
        <f>SUM(BA7:BA21)</f>
        <v>0.19533271369853988</v>
      </c>
      <c r="BB22" s="2">
        <f t="shared" si="0"/>
        <v>0.21306891502194725</v>
      </c>
      <c r="BC22" s="2">
        <f t="shared" si="1"/>
        <v>0.30803236013331403</v>
      </c>
      <c r="BH22" t="s">
        <v>1099</v>
      </c>
      <c r="BI22" s="382">
        <v>872.9683153200001</v>
      </c>
      <c r="BJ22" s="2">
        <v>0.9</v>
      </c>
    </row>
    <row r="23" spans="1:65">
      <c r="A23" s="203" t="s">
        <v>20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36">
        <v>0</v>
      </c>
      <c r="AD23" s="36">
        <v>0</v>
      </c>
      <c r="AE23" s="36">
        <v>0</v>
      </c>
      <c r="AF23" s="36">
        <v>0</v>
      </c>
      <c r="AG23" s="44">
        <v>0</v>
      </c>
      <c r="AH23" s="44">
        <v>0</v>
      </c>
      <c r="AI23" s="44">
        <v>0</v>
      </c>
      <c r="AJ23" s="44">
        <v>0</v>
      </c>
      <c r="AK23" s="36">
        <v>0</v>
      </c>
      <c r="AL23" s="213"/>
      <c r="AM23" s="203" t="s">
        <v>1105</v>
      </c>
      <c r="AN23" s="93">
        <v>3.6380378995561027</v>
      </c>
      <c r="AO23" s="93">
        <v>0.40709087999999999</v>
      </c>
      <c r="AQ23" s="99" t="s">
        <v>837</v>
      </c>
      <c r="AR23" s="100" t="s">
        <v>890</v>
      </c>
      <c r="AS23" s="101">
        <v>0</v>
      </c>
      <c r="AT23" s="101">
        <v>0</v>
      </c>
      <c r="AU23" s="101">
        <v>0</v>
      </c>
      <c r="AZ23" s="2">
        <f t="array" ref="AZ23">MAX(0.01,SUM(IF($AY7:$AY21&gt;0,AZ7:AZ21,0)))</f>
        <v>6.0168796811806161E-2</v>
      </c>
      <c r="BA23" s="2">
        <f t="array" ref="BA23">MAX(0.01,SUM(IF($AY7:$AY21&gt;0,BA7:BA21,0)))</f>
        <v>0.19533271369853988</v>
      </c>
      <c r="BH23" t="s">
        <v>1341</v>
      </c>
      <c r="BI23" s="382">
        <v>10</v>
      </c>
      <c r="BJ23" s="105">
        <v>0.6</v>
      </c>
    </row>
    <row r="24" spans="1:65" ht="13.5" thickBot="1">
      <c r="A24" s="203"/>
      <c r="B24" s="43" t="s">
        <v>557</v>
      </c>
      <c r="C24" s="43" t="s">
        <v>951</v>
      </c>
      <c r="D24" s="43" t="s">
        <v>1084</v>
      </c>
      <c r="E24" s="43" t="s">
        <v>756</v>
      </c>
      <c r="F24" s="43" t="s">
        <v>952</v>
      </c>
      <c r="G24" s="43" t="s">
        <v>953</v>
      </c>
      <c r="H24" s="43" t="s">
        <v>954</v>
      </c>
      <c r="I24" s="43" t="s">
        <v>955</v>
      </c>
      <c r="J24" s="43" t="s">
        <v>956</v>
      </c>
      <c r="K24" s="43" t="s">
        <v>830</v>
      </c>
      <c r="L24" s="43" t="s">
        <v>831</v>
      </c>
      <c r="M24" s="43" t="s">
        <v>832</v>
      </c>
      <c r="N24" s="43" t="s">
        <v>833</v>
      </c>
      <c r="O24" s="43" t="s">
        <v>834</v>
      </c>
      <c r="P24" s="43" t="s">
        <v>835</v>
      </c>
      <c r="Q24" s="43" t="s">
        <v>836</v>
      </c>
      <c r="R24" s="43" t="s">
        <v>837</v>
      </c>
      <c r="S24" s="43" t="s">
        <v>838</v>
      </c>
      <c r="T24" s="43" t="s">
        <v>839</v>
      </c>
      <c r="U24" s="43" t="s">
        <v>843</v>
      </c>
      <c r="V24" s="43" t="s">
        <v>841</v>
      </c>
      <c r="W24" s="43" t="s">
        <v>842</v>
      </c>
      <c r="X24" s="43" t="s">
        <v>606</v>
      </c>
      <c r="Y24" s="43" t="s">
        <v>846</v>
      </c>
      <c r="Z24" s="43" t="s">
        <v>1289</v>
      </c>
      <c r="AA24" s="145" t="s">
        <v>847</v>
      </c>
      <c r="AB24" s="43" t="s">
        <v>608</v>
      </c>
      <c r="AC24" s="43" t="s">
        <v>609</v>
      </c>
      <c r="AD24" s="43" t="s">
        <v>844</v>
      </c>
      <c r="AE24" s="43" t="s">
        <v>845</v>
      </c>
      <c r="AF24" s="43" t="s">
        <v>757</v>
      </c>
      <c r="AG24" s="94" t="s">
        <v>310</v>
      </c>
      <c r="AH24" s="94" t="s">
        <v>311</v>
      </c>
      <c r="AI24" s="94" t="s">
        <v>312</v>
      </c>
      <c r="AJ24" s="94" t="s">
        <v>313</v>
      </c>
      <c r="AK24" s="43"/>
      <c r="AL24" s="203"/>
      <c r="AM24" s="203"/>
      <c r="AN24" s="203"/>
      <c r="AQ24" s="99" t="s">
        <v>835</v>
      </c>
      <c r="AR24" s="100" t="s">
        <v>802</v>
      </c>
      <c r="AS24" s="101">
        <v>0.20591120366977145</v>
      </c>
      <c r="AT24" s="101">
        <v>1.9668012460337652E-2</v>
      </c>
      <c r="AU24" s="101">
        <v>0.16985620336767743</v>
      </c>
      <c r="AX24" s="245"/>
      <c r="AY24" s="284" t="s">
        <v>997</v>
      </c>
      <c r="AZ24" s="284" t="s">
        <v>999</v>
      </c>
      <c r="BA24" s="284" t="s">
        <v>1000</v>
      </c>
      <c r="BB24" s="284" t="s">
        <v>998</v>
      </c>
      <c r="BC24" s="284" t="s">
        <v>739</v>
      </c>
      <c r="BD24" s="385">
        <f>SUMPRODUCT(AY7:AY21,AZ25:AZ39,BC25:BC39)</f>
        <v>3.0886680550465716E-3</v>
      </c>
    </row>
    <row r="25" spans="1:65">
      <c r="A25" s="203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40"/>
      <c r="AB25" s="239"/>
      <c r="AC25" s="239"/>
      <c r="AD25" s="239"/>
      <c r="AE25" s="239"/>
      <c r="AF25" s="239"/>
      <c r="AG25" s="237"/>
      <c r="AH25" s="237"/>
      <c r="AI25" s="237"/>
      <c r="AJ25" s="237"/>
      <c r="AK25" s="239"/>
      <c r="AL25" s="203"/>
      <c r="AM25" s="203"/>
      <c r="AN25" s="203"/>
      <c r="AQ25" s="99" t="s">
        <v>902</v>
      </c>
      <c r="AR25" s="100" t="s">
        <v>902</v>
      </c>
      <c r="AS25" s="131">
        <v>0.20591120366977145</v>
      </c>
      <c r="AT25" s="131">
        <v>1.9668012460337652E-2</v>
      </c>
      <c r="AU25" s="131">
        <v>0.16985620336767743</v>
      </c>
      <c r="AX25" s="184" t="str">
        <f>$C$38</f>
        <v>INDNGA</v>
      </c>
      <c r="AY25" s="469">
        <v>0.84</v>
      </c>
      <c r="AZ25" s="470">
        <f t="shared" ref="AZ25:AZ39" si="3">MAX(0.15,BB7*AZ$22/AZ$23*(1-AZ$4))</f>
        <v>0.15</v>
      </c>
      <c r="BA25" s="285">
        <f t="shared" ref="BA25:BA39" ca="1" si="4">MAX(0.01,(MAX(AY25,MIN(1,AZ25+BA7/(AY7+Tiny)*BA$22/BA$23))-AZ25)/AZ25)</f>
        <v>4.5999999999999996</v>
      </c>
      <c r="BB25" s="471">
        <f t="shared" ref="BB25:BB39" si="5">AZ25*BA25*AY7</f>
        <v>0</v>
      </c>
      <c r="BC25" s="129">
        <v>0.1</v>
      </c>
      <c r="BD25" s="471">
        <f t="shared" ref="BD25:BD39" si="6">IF(BD$24&gt;0,AZ25*AY7*BC25*$BE$10/$BD$24*BA25)</f>
        <v>0</v>
      </c>
    </row>
    <row r="26" spans="1:65" ht="18">
      <c r="A26" s="86" t="s">
        <v>957</v>
      </c>
      <c r="B26" s="88"/>
      <c r="C26" s="88"/>
      <c r="D26" s="88"/>
      <c r="E26" s="88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Q26" s="99" t="s">
        <v>607</v>
      </c>
      <c r="AR26" s="100" t="s">
        <v>652</v>
      </c>
      <c r="AS26" s="101">
        <v>0</v>
      </c>
      <c r="AT26" s="101">
        <v>0</v>
      </c>
      <c r="AU26" s="101">
        <v>0</v>
      </c>
      <c r="AX26" s="184" t="str">
        <f>$D$38</f>
        <v>INDLPG</v>
      </c>
      <c r="AY26" s="469">
        <v>0.84</v>
      </c>
      <c r="AZ26" s="470">
        <f t="shared" si="3"/>
        <v>0.15</v>
      </c>
      <c r="BA26" s="285">
        <f t="shared" ca="1" si="4"/>
        <v>4.5999999999999996</v>
      </c>
      <c r="BB26" s="471">
        <f t="shared" si="5"/>
        <v>0</v>
      </c>
      <c r="BC26" s="129">
        <v>0.1</v>
      </c>
      <c r="BD26" s="471">
        <f t="shared" si="6"/>
        <v>0</v>
      </c>
    </row>
    <row r="27" spans="1:65">
      <c r="A27" s="203"/>
      <c r="B27" s="41" t="s">
        <v>781</v>
      </c>
      <c r="C27" s="41" t="s">
        <v>894</v>
      </c>
      <c r="D27" s="41" t="s">
        <v>663</v>
      </c>
      <c r="E27" s="41" t="s">
        <v>562</v>
      </c>
      <c r="F27" s="41" t="s">
        <v>545</v>
      </c>
      <c r="G27" s="41" t="s">
        <v>561</v>
      </c>
      <c r="H27" s="41" t="s">
        <v>898</v>
      </c>
      <c r="I27" s="41" t="s">
        <v>897</v>
      </c>
      <c r="J27" s="41" t="s">
        <v>1149</v>
      </c>
      <c r="K27" s="41" t="s">
        <v>895</v>
      </c>
      <c r="L27" s="41" t="s">
        <v>544</v>
      </c>
      <c r="M27" s="41" t="s">
        <v>779</v>
      </c>
      <c r="N27" s="41" t="s">
        <v>780</v>
      </c>
      <c r="O27" s="41" t="s">
        <v>899</v>
      </c>
      <c r="P27" s="41" t="s">
        <v>900</v>
      </c>
      <c r="Q27" s="41" t="s">
        <v>949</v>
      </c>
      <c r="R27" s="41" t="s">
        <v>901</v>
      </c>
      <c r="S27" s="41" t="s">
        <v>782</v>
      </c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Q27" s="99" t="s">
        <v>609</v>
      </c>
      <c r="AR27" s="100" t="s">
        <v>595</v>
      </c>
      <c r="AS27" s="101">
        <v>0</v>
      </c>
      <c r="AT27" s="101">
        <v>0</v>
      </c>
      <c r="AU27" s="101">
        <v>0</v>
      </c>
      <c r="AX27" s="184" t="str">
        <f>$E$38</f>
        <v>INDNGL</v>
      </c>
      <c r="AY27" s="469">
        <v>0.82</v>
      </c>
      <c r="AZ27" s="470">
        <f t="shared" si="3"/>
        <v>0.15</v>
      </c>
      <c r="BA27" s="285">
        <f t="shared" ca="1" si="4"/>
        <v>4.4666666666666668</v>
      </c>
      <c r="BB27" s="471">
        <f t="shared" si="5"/>
        <v>0</v>
      </c>
      <c r="BC27" s="129">
        <v>0.1</v>
      </c>
      <c r="BD27" s="471">
        <f t="shared" si="6"/>
        <v>0</v>
      </c>
    </row>
    <row r="28" spans="1:65">
      <c r="A28" s="237" t="s">
        <v>568</v>
      </c>
      <c r="B28" s="40">
        <f t="shared" ref="B28:B37" si="7">$B12</f>
        <v>2.3313240334398473E-2</v>
      </c>
      <c r="C28" s="40">
        <f t="shared" ref="C28:C37" si="8">$C12+$M12</f>
        <v>4.0000000000000001E-3</v>
      </c>
      <c r="D28" s="40">
        <f t="shared" ref="D28:D37" si="9">$D12</f>
        <v>7.0000000000000001E-3</v>
      </c>
      <c r="E28" s="40">
        <f t="shared" ref="E28:E37" si="10">MAX(0,$E12)</f>
        <v>0</v>
      </c>
      <c r="F28" s="40">
        <f t="shared" ref="F28:F37" si="11">$F12</f>
        <v>2E-3</v>
      </c>
      <c r="G28" s="40">
        <f t="shared" ref="G28:G37" si="12">$H12</f>
        <v>0</v>
      </c>
      <c r="H28" s="40">
        <f t="shared" ref="H28:H37" si="13">$J12</f>
        <v>0</v>
      </c>
      <c r="I28" s="40">
        <f t="shared" ref="I28:I37" si="14">MAX(0,$K12+$I12+$L12)</f>
        <v>0</v>
      </c>
      <c r="J28" s="40">
        <f t="shared" ref="J28:J37" si="15">MAX(0,$G12)</f>
        <v>0</v>
      </c>
      <c r="K28" s="40">
        <f>$P12+$O12+$T12</f>
        <v>0</v>
      </c>
      <c r="L28" s="40">
        <f t="shared" ref="L28:L35" si="16">$Q12+$R12+$S12+$AF12</f>
        <v>0</v>
      </c>
      <c r="M28" s="40">
        <f>$U12+$N12</f>
        <v>0</v>
      </c>
      <c r="N28" s="40">
        <f t="shared" ref="N28:N37" si="17">$V12</f>
        <v>0</v>
      </c>
      <c r="O28" s="40">
        <f>$W12</f>
        <v>0</v>
      </c>
      <c r="P28" s="40">
        <f>SUM(X12:AC12)</f>
        <v>0</v>
      </c>
      <c r="Q28" s="40">
        <f t="shared" ref="Q28:Q37" si="18">$AE12</f>
        <v>0</v>
      </c>
      <c r="R28" s="40">
        <f t="shared" ref="R28:R37" si="19">$AD12</f>
        <v>2E-3</v>
      </c>
      <c r="S28" s="40">
        <f t="shared" ref="S28:S37" si="20">SUM(B28:R28)</f>
        <v>3.831324033439848E-2</v>
      </c>
      <c r="T28" s="203" t="str">
        <f t="shared" ref="T28:T34" si="21">A28</f>
        <v>IIS</v>
      </c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Q28" s="99" t="s">
        <v>608</v>
      </c>
      <c r="AR28" s="100" t="s">
        <v>178</v>
      </c>
      <c r="AS28" s="101">
        <v>0</v>
      </c>
      <c r="AT28" s="101">
        <v>0</v>
      </c>
      <c r="AU28" s="101">
        <v>0</v>
      </c>
      <c r="AX28" s="184" t="str">
        <f>$F$38</f>
        <v>INDCOA</v>
      </c>
      <c r="AY28" s="105">
        <v>0.81</v>
      </c>
      <c r="AZ28" s="470">
        <f t="shared" si="3"/>
        <v>0.5053924550775698</v>
      </c>
      <c r="BA28" s="285">
        <f t="shared" ca="1" si="4"/>
        <v>0.65911781377333722</v>
      </c>
      <c r="BB28" s="471">
        <f t="shared" si="5"/>
        <v>2.5476509997749298E-2</v>
      </c>
      <c r="BC28" s="129">
        <v>0</v>
      </c>
      <c r="BD28" s="471">
        <f t="shared" si="6"/>
        <v>0</v>
      </c>
    </row>
    <row r="29" spans="1:65">
      <c r="A29" s="237" t="s">
        <v>880</v>
      </c>
      <c r="B29" s="40">
        <f t="shared" si="7"/>
        <v>2.3313240334398473E-2</v>
      </c>
      <c r="C29" s="40">
        <f t="shared" si="8"/>
        <v>0</v>
      </c>
      <c r="D29" s="40">
        <f t="shared" si="9"/>
        <v>3.0000000000000001E-3</v>
      </c>
      <c r="E29" s="40">
        <f t="shared" si="10"/>
        <v>0</v>
      </c>
      <c r="F29" s="40">
        <f t="shared" si="11"/>
        <v>0</v>
      </c>
      <c r="G29" s="40">
        <f t="shared" si="12"/>
        <v>0</v>
      </c>
      <c r="H29" s="40">
        <f t="shared" si="13"/>
        <v>0</v>
      </c>
      <c r="I29" s="40">
        <f t="shared" si="14"/>
        <v>0</v>
      </c>
      <c r="J29" s="40">
        <f t="shared" si="15"/>
        <v>0</v>
      </c>
      <c r="K29" s="40">
        <f t="shared" ref="K29:K37" si="22">$P13+$O13+$T13</f>
        <v>1E-3</v>
      </c>
      <c r="L29" s="40">
        <f t="shared" si="16"/>
        <v>0</v>
      </c>
      <c r="M29" s="40">
        <f t="shared" ref="M29:M37" si="23">$U13+$N13</f>
        <v>0</v>
      </c>
      <c r="N29" s="40">
        <f t="shared" si="17"/>
        <v>0</v>
      </c>
      <c r="O29" s="40">
        <f t="shared" ref="O29:O37" si="24">$W13</f>
        <v>0</v>
      </c>
      <c r="P29" s="40">
        <f t="shared" ref="P29:P37" si="25">SUM(X13:AC13)</f>
        <v>0</v>
      </c>
      <c r="Q29" s="40">
        <f t="shared" si="18"/>
        <v>0</v>
      </c>
      <c r="R29" s="40">
        <f t="shared" si="19"/>
        <v>8.9999999999999993E-3</v>
      </c>
      <c r="S29" s="40">
        <f t="shared" si="20"/>
        <v>3.6313240334398471E-2</v>
      </c>
      <c r="T29" s="203" t="str">
        <f t="shared" si="21"/>
        <v>INF</v>
      </c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Q29" s="99" t="s">
        <v>606</v>
      </c>
      <c r="AR29" s="100" t="s">
        <v>947</v>
      </c>
      <c r="AS29" s="101">
        <v>0</v>
      </c>
      <c r="AT29" s="101">
        <v>0</v>
      </c>
      <c r="AU29" s="101">
        <v>0</v>
      </c>
      <c r="AX29" s="184" t="str">
        <f>$G$38</f>
        <v>INDCOK</v>
      </c>
      <c r="AY29" s="105">
        <v>0.8</v>
      </c>
      <c r="AZ29" s="470">
        <f t="shared" si="3"/>
        <v>0.15</v>
      </c>
      <c r="BA29" s="285">
        <f t="shared" ca="1" si="4"/>
        <v>4.3333333333333339</v>
      </c>
      <c r="BB29" s="471">
        <f t="shared" si="5"/>
        <v>0</v>
      </c>
      <c r="BC29" s="129">
        <v>0.1</v>
      </c>
      <c r="BD29" s="471">
        <f t="shared" si="6"/>
        <v>0</v>
      </c>
    </row>
    <row r="30" spans="1:65">
      <c r="A30" s="237" t="s">
        <v>787</v>
      </c>
      <c r="B30" s="40">
        <f t="shared" si="7"/>
        <v>0.26883496568466353</v>
      </c>
      <c r="C30" s="40">
        <f t="shared" si="8"/>
        <v>9.1999999999999998E-2</v>
      </c>
      <c r="D30" s="40">
        <f t="shared" si="9"/>
        <v>0.505</v>
      </c>
      <c r="E30" s="40">
        <f t="shared" si="10"/>
        <v>0</v>
      </c>
      <c r="F30" s="40">
        <f t="shared" si="11"/>
        <v>0</v>
      </c>
      <c r="G30" s="40">
        <f t="shared" si="12"/>
        <v>0</v>
      </c>
      <c r="H30" s="40">
        <f t="shared" si="13"/>
        <v>0</v>
      </c>
      <c r="I30" s="40">
        <f t="shared" si="14"/>
        <v>0</v>
      </c>
      <c r="J30" s="40">
        <f t="shared" si="15"/>
        <v>0</v>
      </c>
      <c r="K30" s="40">
        <f t="shared" si="22"/>
        <v>4.8000000000000001E-2</v>
      </c>
      <c r="L30" s="40">
        <f t="shared" si="16"/>
        <v>3.0000000000000001E-3</v>
      </c>
      <c r="M30" s="40">
        <f t="shared" si="23"/>
        <v>0</v>
      </c>
      <c r="N30" s="40">
        <f t="shared" si="17"/>
        <v>0.21299999999999999</v>
      </c>
      <c r="O30" s="40">
        <f t="shared" si="24"/>
        <v>0</v>
      </c>
      <c r="P30" s="40">
        <f t="shared" si="25"/>
        <v>1.3000000000000001E-2</v>
      </c>
      <c r="Q30" s="40">
        <f t="shared" si="18"/>
        <v>0</v>
      </c>
      <c r="R30" s="40">
        <f t="shared" si="19"/>
        <v>0.19400000000000001</v>
      </c>
      <c r="S30" s="40">
        <f t="shared" si="20"/>
        <v>1.3368349656846634</v>
      </c>
      <c r="T30" s="203" t="str">
        <f t="shared" si="21"/>
        <v>ICH</v>
      </c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Q30" s="99" t="s">
        <v>596</v>
      </c>
      <c r="AR30" s="100" t="s">
        <v>597</v>
      </c>
      <c r="AS30" s="101">
        <v>0</v>
      </c>
      <c r="AT30" s="101">
        <v>0</v>
      </c>
      <c r="AU30" s="101">
        <v>0</v>
      </c>
      <c r="AX30" s="184" t="str">
        <f>$H$38</f>
        <v>INDCOG</v>
      </c>
      <c r="AY30" s="105">
        <v>0.8</v>
      </c>
      <c r="AZ30" s="470">
        <f t="shared" si="3"/>
        <v>0.15</v>
      </c>
      <c r="BA30" s="285">
        <f t="shared" ca="1" si="4"/>
        <v>4.3333333333333339</v>
      </c>
      <c r="BB30" s="471">
        <f t="shared" si="5"/>
        <v>0</v>
      </c>
      <c r="BC30" s="129">
        <v>0.1</v>
      </c>
      <c r="BD30" s="471">
        <f t="shared" si="6"/>
        <v>0</v>
      </c>
      <c r="BM30" s="472"/>
    </row>
    <row r="31" spans="1:65">
      <c r="A31" s="237" t="s">
        <v>978</v>
      </c>
      <c r="B31" s="40">
        <f t="shared" si="7"/>
        <v>2.0722880297243083E-2</v>
      </c>
      <c r="C31" s="40">
        <f t="shared" si="8"/>
        <v>6.0000000000000001E-3</v>
      </c>
      <c r="D31" s="40">
        <f t="shared" si="9"/>
        <v>1E-3</v>
      </c>
      <c r="E31" s="40">
        <f t="shared" si="10"/>
        <v>0</v>
      </c>
      <c r="F31" s="40">
        <f t="shared" si="11"/>
        <v>1E-3</v>
      </c>
      <c r="G31" s="40">
        <f t="shared" si="12"/>
        <v>0</v>
      </c>
      <c r="H31" s="40">
        <f t="shared" si="13"/>
        <v>0</v>
      </c>
      <c r="I31" s="40">
        <f t="shared" si="14"/>
        <v>0</v>
      </c>
      <c r="J31" s="40">
        <f t="shared" si="15"/>
        <v>2E-3</v>
      </c>
      <c r="K31" s="40">
        <f t="shared" si="22"/>
        <v>1E-3</v>
      </c>
      <c r="L31" s="40">
        <f t="shared" si="16"/>
        <v>0</v>
      </c>
      <c r="M31" s="40">
        <f t="shared" si="23"/>
        <v>0</v>
      </c>
      <c r="N31" s="40">
        <f t="shared" si="17"/>
        <v>0</v>
      </c>
      <c r="O31" s="40">
        <f t="shared" si="24"/>
        <v>0</v>
      </c>
      <c r="P31" s="40">
        <f t="shared" si="25"/>
        <v>4.9000000000000002E-2</v>
      </c>
      <c r="Q31" s="40">
        <f t="shared" si="18"/>
        <v>0</v>
      </c>
      <c r="R31" s="40">
        <f t="shared" si="19"/>
        <v>3.0000000000000001E-3</v>
      </c>
      <c r="S31" s="40">
        <f t="shared" si="20"/>
        <v>8.3722880297243091E-2</v>
      </c>
      <c r="T31" s="203" t="str">
        <f t="shared" si="21"/>
        <v>ILP</v>
      </c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Q31" s="99" t="s">
        <v>902</v>
      </c>
      <c r="AR31" s="100" t="s">
        <v>902</v>
      </c>
      <c r="AS31" s="131">
        <v>0</v>
      </c>
      <c r="AT31" s="131">
        <v>0</v>
      </c>
      <c r="AU31" s="131">
        <v>0</v>
      </c>
      <c r="AX31" s="184" t="str">
        <f>$I$38</f>
        <v>INDBFG</v>
      </c>
      <c r="AY31" s="105">
        <v>0.8</v>
      </c>
      <c r="AZ31" s="470">
        <f t="shared" si="3"/>
        <v>0.15</v>
      </c>
      <c r="BA31" s="285">
        <f t="shared" ca="1" si="4"/>
        <v>4.3333333333333339</v>
      </c>
      <c r="BB31" s="471">
        <f t="shared" si="5"/>
        <v>0</v>
      </c>
      <c r="BC31" s="129">
        <v>0</v>
      </c>
      <c r="BD31" s="471">
        <f t="shared" si="6"/>
        <v>0</v>
      </c>
      <c r="BM31" s="472"/>
    </row>
    <row r="32" spans="1:65">
      <c r="A32" s="237" t="s">
        <v>879</v>
      </c>
      <c r="B32" s="40">
        <f t="shared" si="7"/>
        <v>8.3539111198261198E-2</v>
      </c>
      <c r="C32" s="40">
        <f t="shared" si="8"/>
        <v>0.03</v>
      </c>
      <c r="D32" s="40">
        <f t="shared" si="9"/>
        <v>2.1999999999999999E-2</v>
      </c>
      <c r="E32" s="40">
        <f t="shared" si="10"/>
        <v>0</v>
      </c>
      <c r="F32" s="40">
        <f t="shared" si="11"/>
        <v>5.0999999999999997E-2</v>
      </c>
      <c r="G32" s="40">
        <f t="shared" si="12"/>
        <v>0</v>
      </c>
      <c r="H32" s="40">
        <f t="shared" si="13"/>
        <v>0</v>
      </c>
      <c r="I32" s="40">
        <f t="shared" si="14"/>
        <v>0</v>
      </c>
      <c r="J32" s="40">
        <f t="shared" si="15"/>
        <v>0</v>
      </c>
      <c r="K32" s="40">
        <f t="shared" si="22"/>
        <v>3.0000000000000001E-3</v>
      </c>
      <c r="L32" s="40">
        <f t="shared" si="16"/>
        <v>0.01</v>
      </c>
      <c r="M32" s="40">
        <f t="shared" si="23"/>
        <v>0</v>
      </c>
      <c r="N32" s="40">
        <f t="shared" si="17"/>
        <v>0</v>
      </c>
      <c r="O32" s="40">
        <f t="shared" si="24"/>
        <v>0.05</v>
      </c>
      <c r="P32" s="40">
        <f t="shared" si="25"/>
        <v>5.5E-2</v>
      </c>
      <c r="Q32" s="40">
        <f t="shared" si="18"/>
        <v>0</v>
      </c>
      <c r="R32" s="40">
        <f t="shared" si="19"/>
        <v>2.4E-2</v>
      </c>
      <c r="S32" s="40">
        <f t="shared" si="20"/>
        <v>0.32853911119826124</v>
      </c>
      <c r="T32" s="203" t="str">
        <f t="shared" si="21"/>
        <v>INM</v>
      </c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Q32" s="103" t="s">
        <v>953</v>
      </c>
      <c r="AR32" s="100" t="s">
        <v>193</v>
      </c>
      <c r="AS32" s="101">
        <v>0</v>
      </c>
      <c r="AT32" s="101">
        <v>0</v>
      </c>
      <c r="AU32" s="101">
        <v>0</v>
      </c>
      <c r="AX32" s="184" t="str">
        <f>$J$38</f>
        <v>INDBCO</v>
      </c>
      <c r="AY32" s="105">
        <v>0.81</v>
      </c>
      <c r="AZ32" s="470">
        <f t="shared" si="3"/>
        <v>0.15</v>
      </c>
      <c r="BA32" s="285">
        <f t="shared" ca="1" si="4"/>
        <v>4.4000000000000004</v>
      </c>
      <c r="BB32" s="471">
        <f t="shared" si="5"/>
        <v>0</v>
      </c>
      <c r="BC32" s="129">
        <v>0</v>
      </c>
      <c r="BD32" s="471">
        <f t="shared" si="6"/>
        <v>0</v>
      </c>
      <c r="BM32" s="472"/>
    </row>
    <row r="33" spans="1:65" ht="13.5" thickBot="1">
      <c r="A33" s="237" t="s">
        <v>722</v>
      </c>
      <c r="B33" s="40">
        <f t="shared" si="7"/>
        <v>2.432038229788124</v>
      </c>
      <c r="C33" s="40">
        <f t="shared" si="8"/>
        <v>0.11636668854450752</v>
      </c>
      <c r="D33" s="40">
        <f t="shared" si="9"/>
        <v>0.33413585665964007</v>
      </c>
      <c r="E33" s="40">
        <f t="shared" si="10"/>
        <v>0</v>
      </c>
      <c r="F33" s="40">
        <f t="shared" si="11"/>
        <v>3.60473799350872E-2</v>
      </c>
      <c r="G33" s="40">
        <f t="shared" si="12"/>
        <v>0</v>
      </c>
      <c r="H33" s="40">
        <f t="shared" si="13"/>
        <v>0</v>
      </c>
      <c r="I33" s="40">
        <f t="shared" si="14"/>
        <v>0</v>
      </c>
      <c r="J33" s="40">
        <f t="shared" si="15"/>
        <v>5.0867124218388956E-3</v>
      </c>
      <c r="K33" s="40">
        <f t="shared" si="22"/>
        <v>9.9129423162309771E-2</v>
      </c>
      <c r="L33" s="40">
        <f t="shared" si="16"/>
        <v>1.6607496324718809</v>
      </c>
      <c r="M33" s="40">
        <f t="shared" si="23"/>
        <v>0</v>
      </c>
      <c r="N33" s="40">
        <f t="shared" si="17"/>
        <v>0</v>
      </c>
      <c r="O33" s="40">
        <f t="shared" si="24"/>
        <v>0</v>
      </c>
      <c r="P33" s="40">
        <f t="shared" si="25"/>
        <v>0.90304450797363689</v>
      </c>
      <c r="Q33" s="40">
        <f t="shared" si="18"/>
        <v>0</v>
      </c>
      <c r="R33" s="40">
        <f t="shared" si="19"/>
        <v>2.8118151462469374</v>
      </c>
      <c r="S33" s="40">
        <f t="shared" si="20"/>
        <v>8.3984135772039625</v>
      </c>
      <c r="T33" s="203" t="str">
        <f t="shared" si="21"/>
        <v>IOI</v>
      </c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Q33" s="103" t="s">
        <v>952</v>
      </c>
      <c r="AR33" s="100" t="s">
        <v>598</v>
      </c>
      <c r="AS33" s="101">
        <v>7.6480044277440623E-2</v>
      </c>
      <c r="AT33" s="101">
        <v>4.0500784351468512E-2</v>
      </c>
      <c r="AU33" s="101">
        <v>2.547651033086247E-2</v>
      </c>
      <c r="AX33" s="184" t="str">
        <f>$K$38</f>
        <v>INDHFO</v>
      </c>
      <c r="AY33" s="105">
        <v>0.82</v>
      </c>
      <c r="AZ33" s="470">
        <f t="shared" si="3"/>
        <v>0.15</v>
      </c>
      <c r="BA33" s="285">
        <f t="shared" ca="1" si="4"/>
        <v>5.4993349727319929</v>
      </c>
      <c r="BB33" s="471">
        <f t="shared" si="5"/>
        <v>0.16985620254277717</v>
      </c>
      <c r="BC33" s="129">
        <v>0.1</v>
      </c>
      <c r="BD33" s="471">
        <f t="shared" si="6"/>
        <v>0.15123171175012978</v>
      </c>
      <c r="BF33" s="284"/>
      <c r="BG33" s="284" t="s">
        <v>946</v>
      </c>
      <c r="BH33" s="284" t="s">
        <v>888</v>
      </c>
      <c r="BI33" s="284" t="s">
        <v>736</v>
      </c>
      <c r="BJ33" s="284" t="s">
        <v>737</v>
      </c>
      <c r="BM33" s="472"/>
    </row>
    <row r="34" spans="1:65">
      <c r="A34" s="237" t="str">
        <f>A18</f>
        <v>TOTIND</v>
      </c>
      <c r="B34" s="40">
        <f t="shared" si="7"/>
        <v>2.8517616676370885</v>
      </c>
      <c r="C34" s="40">
        <f t="shared" si="8"/>
        <v>0.24836668854450752</v>
      </c>
      <c r="D34" s="40">
        <f t="shared" si="9"/>
        <v>0.87213585665964011</v>
      </c>
      <c r="E34" s="40">
        <f t="shared" si="10"/>
        <v>0</v>
      </c>
      <c r="F34" s="40">
        <f t="shared" si="11"/>
        <v>9.0047379935087199E-2</v>
      </c>
      <c r="G34" s="40">
        <f t="shared" si="12"/>
        <v>0</v>
      </c>
      <c r="H34" s="40">
        <f t="shared" si="13"/>
        <v>0</v>
      </c>
      <c r="I34" s="40">
        <f t="shared" si="14"/>
        <v>0</v>
      </c>
      <c r="J34" s="40">
        <f t="shared" si="15"/>
        <v>7.0867124218388956E-3</v>
      </c>
      <c r="K34" s="40">
        <f t="shared" si="22"/>
        <v>0.15212942316230976</v>
      </c>
      <c r="L34" s="40">
        <f t="shared" si="16"/>
        <v>1.6737496324718808</v>
      </c>
      <c r="M34" s="40">
        <f t="shared" si="23"/>
        <v>0</v>
      </c>
      <c r="N34" s="40">
        <f t="shared" si="17"/>
        <v>0.21299999999999999</v>
      </c>
      <c r="O34" s="40">
        <f t="shared" si="24"/>
        <v>0.05</v>
      </c>
      <c r="P34" s="40">
        <f t="shared" si="25"/>
        <v>1.0200445079736369</v>
      </c>
      <c r="Q34" s="40">
        <f t="shared" si="18"/>
        <v>0</v>
      </c>
      <c r="R34" s="40">
        <f t="shared" si="19"/>
        <v>3.0438151462469376</v>
      </c>
      <c r="S34" s="40">
        <f t="shared" si="20"/>
        <v>10.222137015052928</v>
      </c>
      <c r="T34" s="203" t="str">
        <f t="shared" si="21"/>
        <v>TOTIND</v>
      </c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Q34" s="103" t="s">
        <v>954</v>
      </c>
      <c r="AR34" s="100" t="s">
        <v>799</v>
      </c>
      <c r="AS34" s="101">
        <v>0</v>
      </c>
      <c r="AT34" s="101">
        <v>0</v>
      </c>
      <c r="AU34" s="101">
        <v>0</v>
      </c>
      <c r="AX34" s="184" t="str">
        <f>$L$38</f>
        <v>INDOIL</v>
      </c>
      <c r="AY34" s="105">
        <v>0.82</v>
      </c>
      <c r="AZ34" s="470">
        <f t="shared" si="3"/>
        <v>0.15</v>
      </c>
      <c r="BA34" s="285">
        <f t="shared" ca="1" si="4"/>
        <v>4.4666666666666668</v>
      </c>
      <c r="BB34" s="471">
        <f t="shared" si="5"/>
        <v>0</v>
      </c>
      <c r="BC34" s="129">
        <v>0.1</v>
      </c>
      <c r="BD34" s="471">
        <f t="shared" si="6"/>
        <v>0</v>
      </c>
      <c r="BF34" s="184" t="s">
        <v>577</v>
      </c>
      <c r="BG34" s="299">
        <f t="shared" ref="BG34:BH39" si="26">T59</f>
        <v>2E-3</v>
      </c>
      <c r="BH34" s="299">
        <f t="shared" si="26"/>
        <v>2.5999999999999999E-3</v>
      </c>
      <c r="BI34" s="300">
        <v>5</v>
      </c>
      <c r="BJ34" s="299">
        <f t="shared" ref="BJ34:BJ39" si="27">IF(BI$40&gt;0,MAX(0,BG34+BI34*BH34/BI$40*BB$42))</f>
        <v>1.9946746829223295E-3</v>
      </c>
    </row>
    <row r="35" spans="1:65">
      <c r="A35" s="237" t="s">
        <v>285</v>
      </c>
      <c r="B35" s="40">
        <f t="shared" si="7"/>
        <v>0</v>
      </c>
      <c r="C35" s="40">
        <f t="shared" si="8"/>
        <v>0</v>
      </c>
      <c r="D35" s="40">
        <f t="shared" si="9"/>
        <v>0</v>
      </c>
      <c r="E35" s="40">
        <f t="shared" si="10"/>
        <v>0</v>
      </c>
      <c r="F35" s="40">
        <f t="shared" si="11"/>
        <v>0</v>
      </c>
      <c r="G35" s="40">
        <f t="shared" si="12"/>
        <v>0</v>
      </c>
      <c r="H35" s="40">
        <f t="shared" si="13"/>
        <v>0</v>
      </c>
      <c r="I35" s="40">
        <f t="shared" si="14"/>
        <v>0</v>
      </c>
      <c r="J35" s="40">
        <f t="shared" si="15"/>
        <v>0</v>
      </c>
      <c r="K35" s="40">
        <f t="shared" si="22"/>
        <v>0</v>
      </c>
      <c r="L35" s="40">
        <f t="shared" si="16"/>
        <v>0</v>
      </c>
      <c r="M35" s="40">
        <f t="shared" si="23"/>
        <v>0</v>
      </c>
      <c r="N35" s="40">
        <f t="shared" si="17"/>
        <v>0</v>
      </c>
      <c r="O35" s="40">
        <f t="shared" si="24"/>
        <v>0</v>
      </c>
      <c r="P35" s="40">
        <f t="shared" si="25"/>
        <v>0</v>
      </c>
      <c r="Q35" s="40">
        <f t="shared" si="18"/>
        <v>0</v>
      </c>
      <c r="R35" s="40">
        <f t="shared" si="19"/>
        <v>0</v>
      </c>
      <c r="S35" s="40">
        <f t="shared" si="20"/>
        <v>0</v>
      </c>
      <c r="T35" s="203" t="s">
        <v>285</v>
      </c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Q35" s="99" t="s">
        <v>842</v>
      </c>
      <c r="AR35" s="100" t="s">
        <v>806</v>
      </c>
      <c r="AS35" s="101">
        <v>0</v>
      </c>
      <c r="AT35" s="101">
        <v>0</v>
      </c>
      <c r="AU35" s="101">
        <v>0</v>
      </c>
      <c r="AX35" s="184" t="str">
        <f>$M$38</f>
        <v>INDETH</v>
      </c>
      <c r="AY35" s="105">
        <v>0.8</v>
      </c>
      <c r="AZ35" s="470">
        <f t="shared" si="3"/>
        <v>0.15</v>
      </c>
      <c r="BA35" s="285">
        <f t="shared" ca="1" si="4"/>
        <v>4.3333333333333339</v>
      </c>
      <c r="BB35" s="471">
        <f t="shared" si="5"/>
        <v>0</v>
      </c>
      <c r="BC35" s="129">
        <v>0.9</v>
      </c>
      <c r="BD35" s="471">
        <f t="shared" si="6"/>
        <v>0</v>
      </c>
      <c r="BF35" s="184" t="s">
        <v>859</v>
      </c>
      <c r="BG35" s="299">
        <f t="shared" si="26"/>
        <v>8.9999999999999993E-3</v>
      </c>
      <c r="BH35" s="299">
        <f t="shared" si="26"/>
        <v>9.2499999999999995E-3</v>
      </c>
      <c r="BI35" s="300">
        <v>5</v>
      </c>
      <c r="BJ35" s="299">
        <f t="shared" si="27"/>
        <v>8.9810541603967484E-3</v>
      </c>
    </row>
    <row r="36" spans="1:65">
      <c r="A36" s="237" t="s">
        <v>151</v>
      </c>
      <c r="B36" s="40">
        <f t="shared" si="7"/>
        <v>0</v>
      </c>
      <c r="C36" s="40">
        <f t="shared" si="8"/>
        <v>0</v>
      </c>
      <c r="D36" s="40">
        <f t="shared" si="9"/>
        <v>0</v>
      </c>
      <c r="E36" s="40">
        <f t="shared" si="10"/>
        <v>0</v>
      </c>
      <c r="F36" s="40">
        <f t="shared" si="11"/>
        <v>0</v>
      </c>
      <c r="G36" s="146">
        <f t="shared" si="12"/>
        <v>0</v>
      </c>
      <c r="H36" s="146">
        <f t="shared" si="13"/>
        <v>0</v>
      </c>
      <c r="I36" s="40">
        <f t="shared" si="14"/>
        <v>0</v>
      </c>
      <c r="J36" s="40">
        <f t="shared" si="15"/>
        <v>0</v>
      </c>
      <c r="K36" s="40">
        <f t="shared" si="22"/>
        <v>0</v>
      </c>
      <c r="L36" s="40">
        <f>$Q20+$R20+$S20+$AF20</f>
        <v>0</v>
      </c>
      <c r="M36" s="40">
        <f t="shared" si="23"/>
        <v>0</v>
      </c>
      <c r="N36" s="40">
        <f t="shared" si="17"/>
        <v>0</v>
      </c>
      <c r="O36" s="40">
        <f t="shared" si="24"/>
        <v>0</v>
      </c>
      <c r="P36" s="40">
        <f t="shared" si="25"/>
        <v>0</v>
      </c>
      <c r="Q36" s="40">
        <f t="shared" si="18"/>
        <v>0</v>
      </c>
      <c r="R36" s="40">
        <f t="shared" si="19"/>
        <v>0</v>
      </c>
      <c r="S36" s="40">
        <f t="shared" si="20"/>
        <v>0</v>
      </c>
      <c r="T36" s="203" t="str">
        <f>A36</f>
        <v>ONO</v>
      </c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Q36" s="99" t="s">
        <v>902</v>
      </c>
      <c r="AR36" s="100" t="s">
        <v>902</v>
      </c>
      <c r="AS36" s="132">
        <v>7.6480044277440623E-2</v>
      </c>
      <c r="AT36" s="132">
        <v>4.0500784351468512E-2</v>
      </c>
      <c r="AU36" s="132">
        <v>2.547651033086247E-2</v>
      </c>
      <c r="AX36" s="184" t="str">
        <f>$O$38</f>
        <v>INDPTC</v>
      </c>
      <c r="AY36" s="105">
        <v>0.8</v>
      </c>
      <c r="AZ36" s="470">
        <f t="shared" si="3"/>
        <v>0.15</v>
      </c>
      <c r="BA36" s="285">
        <f t="shared" ca="1" si="4"/>
        <v>4.3333333333333339</v>
      </c>
      <c r="BB36" s="471">
        <f t="shared" si="5"/>
        <v>0</v>
      </c>
      <c r="BC36" s="129">
        <v>0.1</v>
      </c>
      <c r="BD36" s="471">
        <f t="shared" si="6"/>
        <v>0</v>
      </c>
      <c r="BF36" s="184" t="s">
        <v>570</v>
      </c>
      <c r="BG36" s="299">
        <f t="shared" si="26"/>
        <v>0.19400000000000001</v>
      </c>
      <c r="BH36" s="299">
        <f t="shared" si="26"/>
        <v>0.21947907547964404</v>
      </c>
      <c r="BI36" s="300">
        <v>10</v>
      </c>
      <c r="BJ36" s="299">
        <f t="shared" si="27"/>
        <v>0.19310092640858226</v>
      </c>
    </row>
    <row r="37" spans="1:65">
      <c r="A37" s="237" t="s">
        <v>903</v>
      </c>
      <c r="B37" s="40">
        <f t="shared" si="7"/>
        <v>0</v>
      </c>
      <c r="C37" s="40">
        <f t="shared" si="8"/>
        <v>0</v>
      </c>
      <c r="D37" s="40">
        <f t="shared" si="9"/>
        <v>0</v>
      </c>
      <c r="E37" s="40">
        <f t="shared" si="10"/>
        <v>0</v>
      </c>
      <c r="F37" s="40">
        <f t="shared" si="11"/>
        <v>0</v>
      </c>
      <c r="G37" s="40">
        <f t="shared" si="12"/>
        <v>0</v>
      </c>
      <c r="H37" s="40">
        <f t="shared" si="13"/>
        <v>0</v>
      </c>
      <c r="I37" s="40">
        <f t="shared" si="14"/>
        <v>0</v>
      </c>
      <c r="J37" s="40">
        <f t="shared" si="15"/>
        <v>0</v>
      </c>
      <c r="K37" s="40">
        <f t="shared" si="22"/>
        <v>0</v>
      </c>
      <c r="L37" s="40">
        <f>$Q21+$R21+$S21+$AF21</f>
        <v>0</v>
      </c>
      <c r="M37" s="40">
        <f t="shared" si="23"/>
        <v>0</v>
      </c>
      <c r="N37" s="40">
        <f t="shared" si="17"/>
        <v>0</v>
      </c>
      <c r="O37" s="40">
        <f t="shared" si="24"/>
        <v>0</v>
      </c>
      <c r="P37" s="40">
        <f t="shared" si="25"/>
        <v>0</v>
      </c>
      <c r="Q37" s="40">
        <f t="shared" si="18"/>
        <v>0</v>
      </c>
      <c r="R37" s="40">
        <f t="shared" si="19"/>
        <v>0</v>
      </c>
      <c r="S37" s="40">
        <f t="shared" si="20"/>
        <v>0</v>
      </c>
      <c r="T37" s="203" t="str">
        <f>A37</f>
        <v>NECHEM</v>
      </c>
      <c r="U37" s="316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Q37" s="104" t="s">
        <v>599</v>
      </c>
      <c r="AR37" s="100" t="s">
        <v>600</v>
      </c>
      <c r="AS37" s="101">
        <v>0</v>
      </c>
      <c r="AT37" s="101">
        <v>0</v>
      </c>
      <c r="AU37" s="101">
        <v>0</v>
      </c>
      <c r="AX37" s="184" t="str">
        <f>$P$38</f>
        <v>INDBIO</v>
      </c>
      <c r="AY37" s="105">
        <v>0.8</v>
      </c>
      <c r="AZ37" s="470">
        <f t="shared" si="3"/>
        <v>0.15</v>
      </c>
      <c r="BA37" s="285">
        <f t="shared" ca="1" si="4"/>
        <v>4.3333333333333339</v>
      </c>
      <c r="BB37" s="471">
        <f t="shared" si="5"/>
        <v>0</v>
      </c>
      <c r="BC37" s="129">
        <v>0</v>
      </c>
      <c r="BD37" s="471">
        <f t="shared" si="6"/>
        <v>0</v>
      </c>
      <c r="BF37" s="184" t="s">
        <v>979</v>
      </c>
      <c r="BG37" s="299">
        <f t="shared" si="26"/>
        <v>3.0000000000000001E-3</v>
      </c>
      <c r="BH37" s="299">
        <f t="shared" si="26"/>
        <v>5.9250000000000004E-2</v>
      </c>
      <c r="BI37" s="300">
        <v>10</v>
      </c>
      <c r="BJ37" s="299">
        <f t="shared" si="27"/>
        <v>2.7572884331907915E-3</v>
      </c>
    </row>
    <row r="38" spans="1:65">
      <c r="A38" s="203"/>
      <c r="B38" s="43" t="s">
        <v>905</v>
      </c>
      <c r="C38" s="43" t="s">
        <v>906</v>
      </c>
      <c r="D38" s="43" t="s">
        <v>907</v>
      </c>
      <c r="E38" s="43" t="s">
        <v>908</v>
      </c>
      <c r="F38" s="43" t="s">
        <v>909</v>
      </c>
      <c r="G38" s="43" t="s">
        <v>910</v>
      </c>
      <c r="H38" s="43" t="s">
        <v>911</v>
      </c>
      <c r="I38" s="43" t="s">
        <v>912</v>
      </c>
      <c r="J38" s="43" t="s">
        <v>1150</v>
      </c>
      <c r="K38" s="43" t="s">
        <v>913</v>
      </c>
      <c r="L38" s="43" t="s">
        <v>826</v>
      </c>
      <c r="M38" s="43" t="s">
        <v>914</v>
      </c>
      <c r="N38" s="43" t="s">
        <v>915</v>
      </c>
      <c r="O38" s="43" t="s">
        <v>916</v>
      </c>
      <c r="P38" s="43" t="s">
        <v>917</v>
      </c>
      <c r="Q38" s="43" t="s">
        <v>950</v>
      </c>
      <c r="R38" s="43" t="s">
        <v>946</v>
      </c>
      <c r="S38" s="43" t="s">
        <v>888</v>
      </c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Q38" s="104" t="s">
        <v>601</v>
      </c>
      <c r="AR38" s="100" t="s">
        <v>602</v>
      </c>
      <c r="AS38" s="101">
        <v>0</v>
      </c>
      <c r="AT38" s="101">
        <v>0</v>
      </c>
      <c r="AU38" s="101">
        <v>0</v>
      </c>
      <c r="AX38" s="184" t="s">
        <v>655</v>
      </c>
      <c r="AY38" s="105">
        <v>0.8</v>
      </c>
      <c r="AZ38" s="470">
        <f t="shared" si="3"/>
        <v>0.15</v>
      </c>
      <c r="BA38" s="285">
        <f t="shared" ca="1" si="4"/>
        <v>4.3333333333333339</v>
      </c>
      <c r="BB38" s="471">
        <f t="shared" si="5"/>
        <v>0</v>
      </c>
      <c r="BC38" s="129">
        <v>0</v>
      </c>
      <c r="BD38" s="471">
        <f t="shared" si="6"/>
        <v>0</v>
      </c>
      <c r="BF38" s="184" t="s">
        <v>92</v>
      </c>
      <c r="BG38" s="299">
        <f t="shared" si="26"/>
        <v>2.4E-2</v>
      </c>
      <c r="BH38" s="299">
        <f t="shared" si="26"/>
        <v>2.9100000000000001E-2</v>
      </c>
      <c r="BI38" s="300">
        <v>1</v>
      </c>
      <c r="BJ38" s="299">
        <f t="shared" si="27"/>
        <v>2.3988079482541523E-2</v>
      </c>
    </row>
    <row r="39" spans="1:65">
      <c r="A39" s="203"/>
      <c r="B39" s="203"/>
      <c r="C39" s="316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Q39" s="104" t="s">
        <v>603</v>
      </c>
      <c r="AR39" s="100" t="s">
        <v>604</v>
      </c>
      <c r="AS39" s="101">
        <v>0</v>
      </c>
      <c r="AT39" s="101">
        <v>0</v>
      </c>
      <c r="AU39" s="101">
        <v>0</v>
      </c>
      <c r="AX39" s="184" t="str">
        <f>$Q$38</f>
        <v>INDGEO</v>
      </c>
      <c r="AY39" s="105">
        <v>0.8</v>
      </c>
      <c r="AZ39" s="470">
        <f t="shared" si="3"/>
        <v>0.15</v>
      </c>
      <c r="BA39" s="285">
        <f t="shared" ca="1" si="4"/>
        <v>4.3333333333333339</v>
      </c>
      <c r="BB39" s="471">
        <f t="shared" si="5"/>
        <v>0</v>
      </c>
      <c r="BC39" s="129">
        <v>0.1</v>
      </c>
      <c r="BD39" s="471">
        <f t="shared" si="6"/>
        <v>0</v>
      </c>
      <c r="BF39" s="184" t="s">
        <v>48</v>
      </c>
      <c r="BG39" s="299">
        <f t="shared" si="26"/>
        <v>1.124726058498775</v>
      </c>
      <c r="BH39" s="299">
        <f t="shared" si="26"/>
        <v>1.952626700916523</v>
      </c>
      <c r="BI39" s="300">
        <v>2</v>
      </c>
      <c r="BJ39" s="299">
        <f t="shared" si="27"/>
        <v>1.123126311373128</v>
      </c>
      <c r="BL39" s="2">
        <f>SUM(BJ39,T69,R36)</f>
        <v>2.8102153991212901</v>
      </c>
    </row>
    <row r="40" spans="1:65" ht="18">
      <c r="A40" s="86" t="s">
        <v>940</v>
      </c>
      <c r="B40" s="88"/>
      <c r="C40" s="88"/>
      <c r="D40" s="88"/>
      <c r="E40" s="88"/>
      <c r="F40" s="88"/>
      <c r="G40" s="189" t="s">
        <v>16</v>
      </c>
      <c r="H40" s="190"/>
      <c r="I40" s="190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AQ40" s="104" t="s">
        <v>605</v>
      </c>
      <c r="AR40" s="100" t="s">
        <v>610</v>
      </c>
      <c r="AS40" s="101">
        <v>0</v>
      </c>
      <c r="AT40" s="101">
        <v>0</v>
      </c>
      <c r="AU40" s="101">
        <v>0</v>
      </c>
      <c r="AX40" t="s">
        <v>1001</v>
      </c>
      <c r="AZ40" s="298">
        <f>SUMPRODUCT(AZ25:AZ39,AY7:AY21)</f>
        <v>6.9539117892282676E-2</v>
      </c>
      <c r="BB40" s="298">
        <f>SUM(BB25:BB39)</f>
        <v>0.19533271254052648</v>
      </c>
      <c r="BC40" s="334" t="s">
        <v>1080</v>
      </c>
      <c r="BD40" s="298">
        <f>MIN(MAX(0,BB40-BA22),SUM(BD25:BD39))</f>
        <v>0</v>
      </c>
      <c r="BF40" s="596" t="s">
        <v>782</v>
      </c>
      <c r="BG40" s="597">
        <f>SUM(BG34:BG39)</f>
        <v>1.356726058498775</v>
      </c>
      <c r="BH40" s="597">
        <f>SUM(BH34:BH39)</f>
        <v>2.2723057763961672</v>
      </c>
      <c r="BI40" s="598">
        <f>SUMPRODUCT(BH34:BH39,BI34:BI39)</f>
        <v>6.7808941566294862</v>
      </c>
      <c r="BJ40" s="597">
        <f>SUM(BJ34:BJ39)</f>
        <v>1.3539483345407617</v>
      </c>
    </row>
    <row r="41" spans="1:65" ht="13.5" thickBot="1">
      <c r="A41" s="232" t="s">
        <v>873</v>
      </c>
      <c r="B41" s="233" t="s">
        <v>874</v>
      </c>
      <c r="C41" s="232" t="s">
        <v>555</v>
      </c>
      <c r="D41" s="43" t="str">
        <f t="shared" ref="D41:T41" si="28">B38</f>
        <v>INDELC</v>
      </c>
      <c r="E41" s="43" t="str">
        <f t="shared" si="28"/>
        <v>INDNGA</v>
      </c>
      <c r="F41" s="43" t="str">
        <f t="shared" si="28"/>
        <v>INDLPG</v>
      </c>
      <c r="G41" s="43" t="str">
        <f t="shared" si="28"/>
        <v>INDNGL</v>
      </c>
      <c r="H41" s="43" t="str">
        <f t="shared" si="28"/>
        <v>INDCOA</v>
      </c>
      <c r="I41" s="43" t="str">
        <f t="shared" si="28"/>
        <v>INDCOK</v>
      </c>
      <c r="J41" s="43" t="str">
        <f t="shared" si="28"/>
        <v>INDCOG</v>
      </c>
      <c r="K41" s="43" t="str">
        <f t="shared" si="28"/>
        <v>INDBFG</v>
      </c>
      <c r="L41" s="43" t="str">
        <f t="shared" si="28"/>
        <v>INDBCO</v>
      </c>
      <c r="M41" s="43" t="str">
        <f t="shared" si="28"/>
        <v>INDHFO</v>
      </c>
      <c r="N41" s="43" t="str">
        <f t="shared" si="28"/>
        <v>INDOIL</v>
      </c>
      <c r="O41" s="43" t="str">
        <f t="shared" si="28"/>
        <v>INDETH</v>
      </c>
      <c r="P41" s="43" t="str">
        <f t="shared" si="28"/>
        <v>INDNAP</v>
      </c>
      <c r="Q41" s="43" t="str">
        <f t="shared" si="28"/>
        <v>INDPTC</v>
      </c>
      <c r="R41" s="43" t="str">
        <f t="shared" si="28"/>
        <v>INDBIO</v>
      </c>
      <c r="S41" s="43" t="str">
        <f t="shared" si="28"/>
        <v>INDGEO</v>
      </c>
      <c r="T41" s="43" t="str">
        <f t="shared" si="28"/>
        <v>INDHET</v>
      </c>
      <c r="U41" s="203"/>
      <c r="V41" s="203"/>
      <c r="W41" s="203"/>
      <c r="AQ41" s="104" t="s">
        <v>611</v>
      </c>
      <c r="AR41" s="100" t="s">
        <v>612</v>
      </c>
      <c r="AS41" s="101">
        <v>0</v>
      </c>
      <c r="AT41" s="101">
        <v>0</v>
      </c>
      <c r="AU41" s="101">
        <v>0</v>
      </c>
      <c r="AZ41" t="s">
        <v>738</v>
      </c>
      <c r="BB41" s="298">
        <f>SUM(BA7:BA21)</f>
        <v>0.19533271369853988</v>
      </c>
      <c r="BF41" s="283"/>
    </row>
    <row r="42" spans="1:65">
      <c r="A42" s="234" t="s">
        <v>559</v>
      </c>
      <c r="B42" s="205" t="s">
        <v>577</v>
      </c>
      <c r="C42" s="235" t="s">
        <v>93</v>
      </c>
      <c r="D42" s="255">
        <v>0</v>
      </c>
      <c r="E42" s="17">
        <v>0.15</v>
      </c>
      <c r="F42" s="255">
        <v>0</v>
      </c>
      <c r="G42" s="255"/>
      <c r="H42" s="17">
        <v>0</v>
      </c>
      <c r="I42" s="255"/>
      <c r="J42" s="17">
        <v>0</v>
      </c>
      <c r="K42" s="17">
        <v>0</v>
      </c>
      <c r="L42" s="255"/>
      <c r="M42" s="17">
        <v>0.15</v>
      </c>
      <c r="N42" s="17">
        <v>0.15</v>
      </c>
      <c r="O42" s="255"/>
      <c r="P42" s="255"/>
      <c r="Q42" s="255"/>
      <c r="R42" s="255"/>
      <c r="S42" s="255">
        <v>1</v>
      </c>
      <c r="T42" s="194">
        <v>1</v>
      </c>
      <c r="U42" s="203"/>
      <c r="V42" s="203"/>
      <c r="W42" s="203"/>
      <c r="AQ42" s="104" t="s">
        <v>613</v>
      </c>
      <c r="AR42" s="100" t="s">
        <v>614</v>
      </c>
      <c r="AS42" s="101">
        <v>0</v>
      </c>
      <c r="AT42" s="101">
        <v>0</v>
      </c>
      <c r="AU42" s="101">
        <v>0</v>
      </c>
      <c r="AW42" t="s">
        <v>106</v>
      </c>
      <c r="AZ42" t="s">
        <v>1081</v>
      </c>
      <c r="BB42" s="298">
        <f>(BB40+BG69-BB41-BB69)*BC42-BD$40</f>
        <v>-2.7777239580134144E-3</v>
      </c>
      <c r="BC42">
        <v>1</v>
      </c>
    </row>
    <row r="43" spans="1:65">
      <c r="A43" s="234" t="s">
        <v>878</v>
      </c>
      <c r="B43" s="205" t="s">
        <v>859</v>
      </c>
      <c r="C43" s="235" t="s">
        <v>93</v>
      </c>
      <c r="D43" s="255">
        <v>0</v>
      </c>
      <c r="E43" s="17">
        <v>0.1</v>
      </c>
      <c r="F43" s="255">
        <v>0</v>
      </c>
      <c r="G43" s="255"/>
      <c r="H43" s="17">
        <v>0.25</v>
      </c>
      <c r="I43" s="255"/>
      <c r="J43" s="255">
        <v>0</v>
      </c>
      <c r="K43" s="255">
        <v>1</v>
      </c>
      <c r="L43" s="255">
        <v>1</v>
      </c>
      <c r="M43" s="17">
        <v>0.25</v>
      </c>
      <c r="N43" s="17">
        <v>0.25</v>
      </c>
      <c r="O43" s="255"/>
      <c r="P43" s="255"/>
      <c r="Q43" s="255"/>
      <c r="R43" s="255">
        <v>0</v>
      </c>
      <c r="S43" s="255">
        <v>1</v>
      </c>
      <c r="T43" s="194">
        <v>1</v>
      </c>
      <c r="U43" s="203"/>
      <c r="V43" s="203"/>
      <c r="W43" s="203"/>
      <c r="AQ43" s="473" t="s">
        <v>902</v>
      </c>
      <c r="AR43" s="100" t="s">
        <v>615</v>
      </c>
      <c r="AS43" s="131">
        <v>0.28239124794721204</v>
      </c>
      <c r="AT43" s="131">
        <v>6.0168796811806161E-2</v>
      </c>
      <c r="AU43" s="131">
        <v>0.19533271369853988</v>
      </c>
      <c r="AW43" s="286">
        <f>(AZ40+BE70)/B18</f>
        <v>2.4384617649307758E-2</v>
      </c>
    </row>
    <row r="44" spans="1:65">
      <c r="A44" s="236" t="s">
        <v>883</v>
      </c>
      <c r="B44" s="205" t="s">
        <v>570</v>
      </c>
      <c r="C44" s="235" t="s">
        <v>93</v>
      </c>
      <c r="D44" s="17">
        <v>0</v>
      </c>
      <c r="E44" s="17">
        <v>0.23019500117896718</v>
      </c>
      <c r="F44" s="255"/>
      <c r="G44" s="255"/>
      <c r="H44" s="17">
        <v>1</v>
      </c>
      <c r="I44" s="256"/>
      <c r="J44" s="17">
        <v>1</v>
      </c>
      <c r="K44" s="255">
        <v>1</v>
      </c>
      <c r="L44" s="255">
        <v>1</v>
      </c>
      <c r="M44" s="17">
        <v>8.9606986899563465E-2</v>
      </c>
      <c r="N44" s="17">
        <v>0</v>
      </c>
      <c r="O44" s="255"/>
      <c r="P44" s="255"/>
      <c r="Q44" s="255"/>
      <c r="R44" s="255"/>
      <c r="S44" s="255">
        <v>1</v>
      </c>
      <c r="T44" s="194">
        <v>1</v>
      </c>
      <c r="U44" s="203"/>
      <c r="V44" s="203"/>
      <c r="W44" s="203"/>
    </row>
    <row r="45" spans="1:65">
      <c r="A45" s="236" t="s">
        <v>558</v>
      </c>
      <c r="B45" s="205" t="s">
        <v>979</v>
      </c>
      <c r="C45" s="235" t="s">
        <v>93</v>
      </c>
      <c r="D45" s="17">
        <v>0</v>
      </c>
      <c r="E45" s="17">
        <v>0.75</v>
      </c>
      <c r="F45" s="255">
        <v>0</v>
      </c>
      <c r="G45" s="255"/>
      <c r="H45" s="17">
        <v>1</v>
      </c>
      <c r="I45" s="255"/>
      <c r="J45" s="255">
        <v>1</v>
      </c>
      <c r="K45" s="255">
        <v>1</v>
      </c>
      <c r="L45" s="255">
        <v>1</v>
      </c>
      <c r="M45" s="17">
        <v>0.75</v>
      </c>
      <c r="N45" s="17">
        <v>0.7</v>
      </c>
      <c r="O45" s="255"/>
      <c r="P45" s="255"/>
      <c r="Q45" s="255"/>
      <c r="R45" s="17">
        <f>IF(P31&gt;0,X15/P31,0)</f>
        <v>0.97959183673469385</v>
      </c>
      <c r="S45" s="255">
        <v>1</v>
      </c>
      <c r="T45" s="194">
        <v>1</v>
      </c>
      <c r="U45" s="203"/>
      <c r="V45" s="203"/>
      <c r="W45" s="203"/>
    </row>
    <row r="46" spans="1:65" ht="15" customHeight="1">
      <c r="A46" s="236" t="s">
        <v>884</v>
      </c>
      <c r="B46" s="205" t="s">
        <v>92</v>
      </c>
      <c r="C46" s="235" t="s">
        <v>93</v>
      </c>
      <c r="D46" s="17">
        <v>0</v>
      </c>
      <c r="E46" s="17">
        <v>0.05</v>
      </c>
      <c r="F46" s="255">
        <v>0</v>
      </c>
      <c r="G46" s="255"/>
      <c r="H46" s="17"/>
      <c r="I46" s="255"/>
      <c r="J46" s="255"/>
      <c r="K46" s="255">
        <v>1</v>
      </c>
      <c r="L46" s="255">
        <v>1</v>
      </c>
      <c r="M46" s="17">
        <v>0.2</v>
      </c>
      <c r="N46" s="17">
        <v>0.3</v>
      </c>
      <c r="O46" s="255"/>
      <c r="P46" s="255"/>
      <c r="Q46" s="255"/>
      <c r="R46" s="255">
        <v>0</v>
      </c>
      <c r="S46" s="255">
        <v>1</v>
      </c>
      <c r="T46" s="194">
        <v>1</v>
      </c>
      <c r="U46" s="203"/>
      <c r="V46" s="203"/>
      <c r="W46" s="203"/>
      <c r="AE46" s="142" t="s">
        <v>138</v>
      </c>
      <c r="AF46" s="95"/>
      <c r="AG46" s="95"/>
      <c r="AH46" s="95"/>
      <c r="AQ46" s="87" t="s">
        <v>735</v>
      </c>
      <c r="AR46" s="89"/>
      <c r="AS46" s="467"/>
      <c r="AT46" s="95"/>
      <c r="AU46" s="91"/>
      <c r="AV46" s="91"/>
      <c r="AW46" s="14"/>
      <c r="AX46" s="142" t="s">
        <v>744</v>
      </c>
      <c r="AY46" s="89"/>
      <c r="AZ46" s="467"/>
      <c r="BA46" s="95"/>
      <c r="BB46" s="91"/>
      <c r="BF46" s="295" t="s">
        <v>1003</v>
      </c>
      <c r="BG46">
        <v>0.78</v>
      </c>
    </row>
    <row r="47" spans="1:65" ht="13.5" thickBot="1">
      <c r="A47" s="234" t="s">
        <v>885</v>
      </c>
      <c r="B47" s="205" t="s">
        <v>48</v>
      </c>
      <c r="C47" s="235" t="s">
        <v>93</v>
      </c>
      <c r="D47" s="17">
        <v>0</v>
      </c>
      <c r="E47" s="17">
        <v>0.1</v>
      </c>
      <c r="F47" s="17">
        <v>0.1</v>
      </c>
      <c r="G47" s="255"/>
      <c r="H47" s="17">
        <v>0.35</v>
      </c>
      <c r="I47" s="255"/>
      <c r="J47" s="17">
        <f>1-J51</f>
        <v>1</v>
      </c>
      <c r="K47" s="255"/>
      <c r="L47" s="255"/>
      <c r="M47" s="17">
        <v>0.1</v>
      </c>
      <c r="N47" s="17">
        <v>0.05</v>
      </c>
      <c r="O47" s="255"/>
      <c r="P47" s="255"/>
      <c r="Q47" s="255"/>
      <c r="R47" s="255">
        <v>0.75</v>
      </c>
      <c r="S47" s="255">
        <v>0</v>
      </c>
      <c r="T47" s="194">
        <f>1-INDEX($BJ$6:$BJ$23,RegIndex)</f>
        <v>0.4</v>
      </c>
      <c r="U47" s="203"/>
      <c r="V47" s="203"/>
      <c r="W47" s="203"/>
      <c r="AE47" s="111"/>
      <c r="AF47" s="284" t="s">
        <v>2</v>
      </c>
      <c r="AG47" s="284" t="s">
        <v>2</v>
      </c>
      <c r="AH47" s="284" t="s">
        <v>66</v>
      </c>
      <c r="AI47" s="284" t="s">
        <v>67</v>
      </c>
      <c r="AJ47" s="284" t="s">
        <v>903</v>
      </c>
      <c r="AK47" s="284" t="s">
        <v>65</v>
      </c>
      <c r="AL47" s="284" t="s">
        <v>68</v>
      </c>
      <c r="AM47" s="284" t="s">
        <v>69</v>
      </c>
      <c r="AN47" s="284"/>
      <c r="AO47" s="284" t="s">
        <v>70</v>
      </c>
      <c r="AQ47" s="246" t="s">
        <v>28</v>
      </c>
      <c r="AR47" s="169"/>
      <c r="AS47" s="247" t="s">
        <v>29</v>
      </c>
      <c r="AT47" s="248"/>
      <c r="AU47" s="247" t="s">
        <v>30</v>
      </c>
      <c r="AV47" s="249"/>
      <c r="AX47" s="96"/>
      <c r="AY47" s="96"/>
      <c r="AZ47" s="96"/>
      <c r="BA47" s="96"/>
      <c r="BB47" s="108"/>
      <c r="BF47" s="295" t="s">
        <v>1004</v>
      </c>
      <c r="BG47">
        <v>0.88</v>
      </c>
    </row>
    <row r="48" spans="1:65" ht="13.5" thickBot="1">
      <c r="A48" s="234" t="s">
        <v>885</v>
      </c>
      <c r="B48" s="205" t="s">
        <v>57</v>
      </c>
      <c r="C48" s="234" t="s">
        <v>875</v>
      </c>
      <c r="D48" s="17">
        <v>0.1</v>
      </c>
      <c r="E48" s="17">
        <v>0.5</v>
      </c>
      <c r="F48" s="17">
        <v>0.8</v>
      </c>
      <c r="G48" s="255"/>
      <c r="H48" s="17">
        <v>0.65</v>
      </c>
      <c r="I48" s="17">
        <v>0.7</v>
      </c>
      <c r="J48" s="255">
        <v>0</v>
      </c>
      <c r="K48" s="255">
        <v>1</v>
      </c>
      <c r="L48" s="255">
        <v>1</v>
      </c>
      <c r="M48" s="17">
        <v>0.2</v>
      </c>
      <c r="N48" s="17">
        <v>0.7</v>
      </c>
      <c r="O48" s="255"/>
      <c r="P48" s="255"/>
      <c r="Q48" s="255"/>
      <c r="R48" s="255"/>
      <c r="S48" s="255"/>
      <c r="T48" s="255"/>
      <c r="U48" s="203"/>
      <c r="V48" s="203"/>
      <c r="W48" s="203"/>
      <c r="AE48" s="184" t="s">
        <v>951</v>
      </c>
      <c r="AF48" s="9">
        <f>MATCH($AE48,$B$24:$AJ$24,0)</f>
        <v>2</v>
      </c>
      <c r="AG48" s="9">
        <f t="shared" ref="AG48:AG71" si="29">MATCH($AE48,AQ$51:AQ$83,0)</f>
        <v>5</v>
      </c>
      <c r="AH48" s="46">
        <f t="shared" ref="AH48:AH72" si="30">INDEX($B$18:$AK$18,$AF48)</f>
        <v>0.24836668854450752</v>
      </c>
      <c r="AI48" s="46">
        <f t="shared" ref="AI48:AI72" si="31">INDEX($B$20:$AK$20,$AF48)</f>
        <v>0</v>
      </c>
      <c r="AJ48" s="46">
        <f t="shared" ref="AJ48:AJ72" si="32">INDEX($B$21:$AK$21,$AF48)</f>
        <v>0</v>
      </c>
      <c r="AK48" s="9">
        <f t="shared" ref="AK48:AK71" si="33">IF(ISNA($AG48),0,INDEX(AS$7:AS$36,$AG48)+INDEX(AS$51:AS$80,$AG48)+INDEX(AU$51:AU$80,$AG48))</f>
        <v>1.2150299999999998E-2</v>
      </c>
      <c r="AL48" s="46">
        <f t="shared" ref="AL48:AL67" si="34">AH48+AI48-AJ48+AK48</f>
        <v>0.2605169885445075</v>
      </c>
      <c r="AM48" s="184" t="s">
        <v>906</v>
      </c>
      <c r="AN48" s="9">
        <f t="shared" ref="AN48:AN71" si="35">MATCH(AM48,BI$49:BI$63,0)</f>
        <v>1</v>
      </c>
      <c r="AO48" s="542">
        <f t="shared" ref="AO48:AO69" ca="1" si="36">AL48/MAX(Tiny,INDEX(BK$49:BK$63,AN48))</f>
        <v>1</v>
      </c>
      <c r="AQ48" s="250">
        <f>IF(AT59+AT69+AT75+AT80=0,3,(AS59+AS69+AS75+AS80)/(AT59+AT69+AT75+AT80))</f>
        <v>3</v>
      </c>
      <c r="AR48" s="83"/>
      <c r="AS48" s="97" t="s">
        <v>581</v>
      </c>
      <c r="AT48" s="251" t="s">
        <v>582</v>
      </c>
      <c r="AU48" s="133" t="s">
        <v>581</v>
      </c>
      <c r="AV48" s="133" t="s">
        <v>583</v>
      </c>
      <c r="AX48" s="244"/>
      <c r="AY48" s="254" t="s">
        <v>746</v>
      </c>
      <c r="AZ48" s="254" t="s">
        <v>747</v>
      </c>
      <c r="BA48" s="245" t="s">
        <v>582</v>
      </c>
      <c r="BB48" s="245" t="s">
        <v>583</v>
      </c>
      <c r="BC48" s="98" t="s">
        <v>589</v>
      </c>
      <c r="BD48" s="98" t="s">
        <v>645</v>
      </c>
      <c r="BE48" s="284" t="s">
        <v>7</v>
      </c>
      <c r="BF48" s="284" t="s">
        <v>1002</v>
      </c>
      <c r="BG48" s="284" t="s">
        <v>998</v>
      </c>
      <c r="BI48" s="284"/>
      <c r="BJ48" s="284" t="s">
        <v>63</v>
      </c>
      <c r="BK48" s="284" t="s">
        <v>64</v>
      </c>
      <c r="BL48" s="284" t="s">
        <v>1244</v>
      </c>
    </row>
    <row r="49" spans="1:64">
      <c r="A49" s="234" t="s">
        <v>885</v>
      </c>
      <c r="B49" s="205" t="s">
        <v>60</v>
      </c>
      <c r="C49" s="234" t="s">
        <v>876</v>
      </c>
      <c r="D49" s="17">
        <v>0.37</v>
      </c>
      <c r="E49" s="17">
        <v>0</v>
      </c>
      <c r="F49" s="17">
        <v>0</v>
      </c>
      <c r="G49" s="255"/>
      <c r="H49" s="17"/>
      <c r="I49" s="255"/>
      <c r="J49" s="255"/>
      <c r="K49" s="255"/>
      <c r="L49" s="255"/>
      <c r="M49" s="17">
        <v>0</v>
      </c>
      <c r="N49" s="17">
        <v>0</v>
      </c>
      <c r="O49" s="255"/>
      <c r="P49" s="255"/>
      <c r="Q49" s="255"/>
      <c r="R49" s="255"/>
      <c r="S49" s="255"/>
      <c r="T49" s="255"/>
      <c r="U49" s="203"/>
      <c r="V49" s="203"/>
      <c r="W49" s="203"/>
      <c r="AE49" s="184" t="s">
        <v>832</v>
      </c>
      <c r="AF49" s="9">
        <f t="shared" ref="AF49:AF72" si="37">MATCH(AE49,$B$24:$AJ$24,0)</f>
        <v>12</v>
      </c>
      <c r="AG49" s="9">
        <f t="shared" si="29"/>
        <v>1</v>
      </c>
      <c r="AH49" s="46">
        <f t="shared" si="30"/>
        <v>0</v>
      </c>
      <c r="AI49" s="46">
        <f t="shared" si="31"/>
        <v>0</v>
      </c>
      <c r="AJ49" s="46">
        <f t="shared" si="32"/>
        <v>0</v>
      </c>
      <c r="AK49" s="9">
        <f t="shared" si="33"/>
        <v>0</v>
      </c>
      <c r="AL49" s="46">
        <f t="shared" si="34"/>
        <v>0</v>
      </c>
      <c r="AM49" s="184" t="s">
        <v>906</v>
      </c>
      <c r="AN49" s="9">
        <f t="shared" si="35"/>
        <v>1</v>
      </c>
      <c r="AO49" s="542">
        <f t="shared" ca="1" si="36"/>
        <v>0</v>
      </c>
      <c r="AQ49" s="446"/>
      <c r="AR49" s="173"/>
      <c r="AS49" s="269">
        <v>-4.1868000000000002E-2</v>
      </c>
      <c r="AT49" s="270">
        <v>3.5999999999999999E-3</v>
      </c>
      <c r="AU49" s="269">
        <v>-4.1868000000000002E-2</v>
      </c>
      <c r="AV49" s="270">
        <v>1E-3</v>
      </c>
      <c r="AX49" s="184" t="str">
        <f>$C$38</f>
        <v>INDNGA</v>
      </c>
      <c r="AY49" s="102">
        <f>AS51+AS55</f>
        <v>0</v>
      </c>
      <c r="AZ49" s="102">
        <f>AU51+AU55</f>
        <v>1.2150299999999998E-2</v>
      </c>
      <c r="BA49" s="102">
        <f>AT51+AT55</f>
        <v>0</v>
      </c>
      <c r="BB49" s="102">
        <f>AV51+AV55</f>
        <v>1.125E-2</v>
      </c>
      <c r="BC49" s="2">
        <f t="shared" ref="BC49:BC63" si="38">IF(AY49=0,0,MAX(0.15,BA49/AY49*(1-AZ$4)))</f>
        <v>0</v>
      </c>
      <c r="BD49" s="2">
        <f t="shared" ref="BD49:BD63" si="39">IF(AZ49=0,0,BB49/AZ49)</f>
        <v>0.92590306412187373</v>
      </c>
      <c r="BE49" s="470">
        <f t="shared" ref="BE49:BE67" si="40">BC49*AY49*BA$69/BA$70</f>
        <v>0</v>
      </c>
      <c r="BF49" s="470">
        <f t="shared" ref="BF49:BF63" si="41">MAX(BG$46,MIN(BG$47,BD49))</f>
        <v>0.88</v>
      </c>
      <c r="BG49" s="470">
        <f t="shared" ref="BG49:BG63" si="42">BF49*AZ49</f>
        <v>1.0692263999999998E-2</v>
      </c>
      <c r="BH49">
        <f t="shared" ref="BH49:BH63" si="43">MATCH(AX49,$B$38:$R$38,0)</f>
        <v>2</v>
      </c>
      <c r="BI49" s="184" t="s">
        <v>906</v>
      </c>
      <c r="BJ49" s="102">
        <f t="shared" ref="BJ49:BJ59" si="44">SUM(AY7,AY49,AZ49)</f>
        <v>1.2150299999999998E-2</v>
      </c>
      <c r="BK49" s="102">
        <f t="shared" ref="BK49:BK59" ca="1" si="45">BJ49+OFFSET($A$34,0,$BH49)+OFFSET($A$36,0,$BH49)-INDEX($B$37:$S$37,$BH49)</f>
        <v>0.2605169885445075</v>
      </c>
      <c r="BL49" s="102">
        <f t="shared" ref="BL49:BL61" ca="1" si="46">BK49</f>
        <v>0.2605169885445075</v>
      </c>
    </row>
    <row r="50" spans="1:64" ht="13.5" thickBot="1">
      <c r="A50" s="234" t="s">
        <v>885</v>
      </c>
      <c r="B50" s="205" t="s">
        <v>61</v>
      </c>
      <c r="C50" s="234" t="s">
        <v>0</v>
      </c>
      <c r="D50" s="17">
        <v>0.23</v>
      </c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03"/>
      <c r="V50" s="203"/>
      <c r="W50" s="203"/>
      <c r="AE50" s="184" t="s">
        <v>1084</v>
      </c>
      <c r="AF50" s="9">
        <f t="shared" si="37"/>
        <v>3</v>
      </c>
      <c r="AG50" s="9" t="e">
        <f t="shared" si="29"/>
        <v>#N/A</v>
      </c>
      <c r="AH50" s="46">
        <f t="shared" si="30"/>
        <v>0.87213585665964011</v>
      </c>
      <c r="AI50" s="46">
        <f t="shared" si="31"/>
        <v>0</v>
      </c>
      <c r="AJ50" s="46">
        <f t="shared" si="32"/>
        <v>0</v>
      </c>
      <c r="AK50" s="9">
        <f t="shared" si="33"/>
        <v>0</v>
      </c>
      <c r="AL50" s="46">
        <f t="shared" si="34"/>
        <v>0.87213585665964011</v>
      </c>
      <c r="AM50" s="184" t="s">
        <v>907</v>
      </c>
      <c r="AN50" s="9">
        <f t="shared" si="35"/>
        <v>2</v>
      </c>
      <c r="AO50" s="542">
        <f t="shared" ca="1" si="36"/>
        <v>1</v>
      </c>
      <c r="AQ50" s="468"/>
      <c r="AR50" s="242" t="s">
        <v>585</v>
      </c>
      <c r="AS50" s="252" t="s">
        <v>31</v>
      </c>
      <c r="AT50" s="253" t="s">
        <v>32</v>
      </c>
      <c r="AU50" s="252" t="s">
        <v>33</v>
      </c>
      <c r="AV50" s="252" t="s">
        <v>34</v>
      </c>
      <c r="AX50" s="184" t="str">
        <f>$D$38</f>
        <v>INDLPG</v>
      </c>
      <c r="AY50" s="102">
        <f>AS57</f>
        <v>0</v>
      </c>
      <c r="AZ50" s="102">
        <f>AU57</f>
        <v>0</v>
      </c>
      <c r="BA50" s="102">
        <f>AT57</f>
        <v>0</v>
      </c>
      <c r="BB50" s="102">
        <f>AV57</f>
        <v>0</v>
      </c>
      <c r="BC50" s="2">
        <f t="shared" si="38"/>
        <v>0</v>
      </c>
      <c r="BD50" s="2">
        <f t="shared" si="39"/>
        <v>0</v>
      </c>
      <c r="BE50" s="470">
        <f t="shared" si="40"/>
        <v>0</v>
      </c>
      <c r="BF50" s="470">
        <f t="shared" si="41"/>
        <v>0.78</v>
      </c>
      <c r="BG50" s="470">
        <f t="shared" si="42"/>
        <v>0</v>
      </c>
      <c r="BH50">
        <f t="shared" si="43"/>
        <v>3</v>
      </c>
      <c r="BI50" s="184" t="s">
        <v>907</v>
      </c>
      <c r="BJ50" s="102">
        <f t="shared" si="44"/>
        <v>0</v>
      </c>
      <c r="BK50" s="102">
        <f t="shared" ca="1" si="45"/>
        <v>0.87213585665964011</v>
      </c>
      <c r="BL50" s="102">
        <f t="shared" ca="1" si="46"/>
        <v>0.87213585665964011</v>
      </c>
    </row>
    <row r="51" spans="1:64">
      <c r="A51" s="234" t="s">
        <v>885</v>
      </c>
      <c r="B51" s="205" t="s">
        <v>94</v>
      </c>
      <c r="C51" s="234" t="s">
        <v>877</v>
      </c>
      <c r="D51" s="255"/>
      <c r="E51" s="255"/>
      <c r="F51" s="255"/>
      <c r="G51" s="255">
        <v>1</v>
      </c>
      <c r="H51" s="255"/>
      <c r="I51" s="255"/>
      <c r="J51" s="255"/>
      <c r="K51" s="255"/>
      <c r="L51" s="255"/>
      <c r="M51" s="255"/>
      <c r="N51" s="255"/>
      <c r="O51" s="255">
        <v>1</v>
      </c>
      <c r="P51" s="255">
        <v>1</v>
      </c>
      <c r="Q51" s="255">
        <v>0.5</v>
      </c>
      <c r="R51" s="255">
        <v>0</v>
      </c>
      <c r="S51" s="255"/>
      <c r="T51" s="255"/>
      <c r="U51" s="203"/>
      <c r="V51" s="203"/>
      <c r="W51" s="203"/>
      <c r="AE51" s="184" t="s">
        <v>756</v>
      </c>
      <c r="AF51" s="9">
        <f t="shared" si="37"/>
        <v>4</v>
      </c>
      <c r="AG51" s="9">
        <f t="shared" si="29"/>
        <v>14</v>
      </c>
      <c r="AH51" s="46">
        <f t="shared" si="30"/>
        <v>0</v>
      </c>
      <c r="AI51" s="46">
        <f t="shared" si="31"/>
        <v>0</v>
      </c>
      <c r="AJ51" s="46">
        <f t="shared" si="32"/>
        <v>0</v>
      </c>
      <c r="AK51" s="9">
        <f t="shared" si="33"/>
        <v>0</v>
      </c>
      <c r="AL51" s="46">
        <f t="shared" si="34"/>
        <v>0</v>
      </c>
      <c r="AM51" s="184" t="s">
        <v>908</v>
      </c>
      <c r="AN51" s="9">
        <f t="shared" si="35"/>
        <v>3</v>
      </c>
      <c r="AO51" s="542">
        <f t="shared" ca="1" si="36"/>
        <v>0</v>
      </c>
      <c r="AQ51" s="99" t="s">
        <v>832</v>
      </c>
      <c r="AR51" s="100" t="s">
        <v>591</v>
      </c>
      <c r="AS51" s="134">
        <v>0</v>
      </c>
      <c r="AT51" s="134">
        <v>0</v>
      </c>
      <c r="AU51" s="134">
        <v>0</v>
      </c>
      <c r="AV51" s="134">
        <v>0</v>
      </c>
      <c r="AX51" s="184" t="str">
        <f>$E$38</f>
        <v>INDNGL</v>
      </c>
      <c r="AY51" s="102">
        <f>AS64</f>
        <v>0</v>
      </c>
      <c r="AZ51" s="102">
        <f>AU64</f>
        <v>0</v>
      </c>
      <c r="BA51" s="102">
        <f>AT64</f>
        <v>0</v>
      </c>
      <c r="BB51" s="102">
        <f>AV64</f>
        <v>0</v>
      </c>
      <c r="BC51" s="2">
        <f t="shared" si="38"/>
        <v>0</v>
      </c>
      <c r="BD51" s="2">
        <f t="shared" si="39"/>
        <v>0</v>
      </c>
      <c r="BE51" s="470">
        <f t="shared" si="40"/>
        <v>0</v>
      </c>
      <c r="BF51" s="470">
        <f t="shared" si="41"/>
        <v>0.78</v>
      </c>
      <c r="BG51" s="470">
        <f t="shared" si="42"/>
        <v>0</v>
      </c>
      <c r="BH51">
        <f t="shared" si="43"/>
        <v>4</v>
      </c>
      <c r="BI51" s="184" t="s">
        <v>908</v>
      </c>
      <c r="BJ51" s="102">
        <f t="shared" si="44"/>
        <v>0</v>
      </c>
      <c r="BK51" s="102">
        <f t="shared" ca="1" si="45"/>
        <v>0</v>
      </c>
      <c r="BL51" s="102">
        <f t="shared" ca="1" si="46"/>
        <v>0</v>
      </c>
    </row>
    <row r="52" spans="1:64" ht="12.75" customHeight="1">
      <c r="A52" s="234" t="s">
        <v>885</v>
      </c>
      <c r="B52" s="205" t="s">
        <v>75</v>
      </c>
      <c r="C52" s="234" t="s">
        <v>560</v>
      </c>
      <c r="D52" s="17">
        <f t="shared" ref="D52:T52" si="47">1-SUM(D47:D51)</f>
        <v>0.30000000000000004</v>
      </c>
      <c r="E52" s="17">
        <f t="shared" si="47"/>
        <v>0.4</v>
      </c>
      <c r="F52" s="17">
        <f t="shared" si="47"/>
        <v>9.9999999999999978E-2</v>
      </c>
      <c r="G52" s="255">
        <f t="shared" si="47"/>
        <v>0</v>
      </c>
      <c r="H52" s="17">
        <f t="shared" si="47"/>
        <v>0</v>
      </c>
      <c r="I52" s="17">
        <f t="shared" si="47"/>
        <v>0.30000000000000004</v>
      </c>
      <c r="J52" s="255">
        <f t="shared" si="47"/>
        <v>0</v>
      </c>
      <c r="K52" s="255">
        <f t="shared" si="47"/>
        <v>0</v>
      </c>
      <c r="L52" s="255">
        <f t="shared" si="47"/>
        <v>0</v>
      </c>
      <c r="M52" s="17">
        <f t="shared" si="47"/>
        <v>0.7</v>
      </c>
      <c r="N52" s="17">
        <f t="shared" si="47"/>
        <v>0.25</v>
      </c>
      <c r="O52" s="255">
        <f t="shared" si="47"/>
        <v>0</v>
      </c>
      <c r="P52" s="255">
        <f t="shared" si="47"/>
        <v>0</v>
      </c>
      <c r="Q52" s="194">
        <f t="shared" si="47"/>
        <v>0.5</v>
      </c>
      <c r="R52" s="194">
        <f t="shared" si="47"/>
        <v>0.25</v>
      </c>
      <c r="S52" s="17">
        <f t="shared" si="47"/>
        <v>1</v>
      </c>
      <c r="T52" s="17">
        <f t="shared" si="47"/>
        <v>0.6</v>
      </c>
      <c r="U52" s="203"/>
      <c r="V52" s="203"/>
      <c r="W52" s="203"/>
      <c r="AE52" s="184" t="s">
        <v>952</v>
      </c>
      <c r="AF52" s="9">
        <f t="shared" si="37"/>
        <v>5</v>
      </c>
      <c r="AG52" s="9">
        <f t="shared" si="29"/>
        <v>27</v>
      </c>
      <c r="AH52" s="46">
        <f t="shared" si="30"/>
        <v>9.0047379935087199E-2</v>
      </c>
      <c r="AI52" s="46">
        <f t="shared" si="31"/>
        <v>0</v>
      </c>
      <c r="AJ52" s="46">
        <f t="shared" si="32"/>
        <v>0</v>
      </c>
      <c r="AK52" s="9">
        <f t="shared" si="33"/>
        <v>7.6480044277440623E-2</v>
      </c>
      <c r="AL52" s="46">
        <f t="shared" si="34"/>
        <v>0.16652742421252781</v>
      </c>
      <c r="AM52" s="184" t="s">
        <v>909</v>
      </c>
      <c r="AN52" s="9">
        <f t="shared" si="35"/>
        <v>4</v>
      </c>
      <c r="AO52" s="542">
        <f t="shared" ca="1" si="36"/>
        <v>1</v>
      </c>
      <c r="AQ52" s="99" t="s">
        <v>830</v>
      </c>
      <c r="AR52" s="100" t="s">
        <v>801</v>
      </c>
      <c r="AS52" s="134">
        <v>0</v>
      </c>
      <c r="AT52" s="134">
        <v>0</v>
      </c>
      <c r="AU52" s="134">
        <v>0</v>
      </c>
      <c r="AV52" s="134">
        <v>0</v>
      </c>
      <c r="AX52" s="184" t="str">
        <f>$F$38</f>
        <v>INDCOA</v>
      </c>
      <c r="AY52" s="102">
        <f>AS77</f>
        <v>0</v>
      </c>
      <c r="AZ52" s="102">
        <f>AU77</f>
        <v>0</v>
      </c>
      <c r="BA52" s="102">
        <f>AT77</f>
        <v>0</v>
      </c>
      <c r="BB52" s="102">
        <f>AV77</f>
        <v>0</v>
      </c>
      <c r="BC52" s="2">
        <f t="shared" si="38"/>
        <v>0</v>
      </c>
      <c r="BD52" s="2">
        <f t="shared" si="39"/>
        <v>0</v>
      </c>
      <c r="BE52" s="470">
        <f t="shared" si="40"/>
        <v>0</v>
      </c>
      <c r="BF52" s="470">
        <f t="shared" si="41"/>
        <v>0.78</v>
      </c>
      <c r="BG52" s="470">
        <f t="shared" si="42"/>
        <v>0</v>
      </c>
      <c r="BH52">
        <f t="shared" si="43"/>
        <v>5</v>
      </c>
      <c r="BI52" s="184" t="s">
        <v>909</v>
      </c>
      <c r="BJ52" s="102">
        <f t="shared" si="44"/>
        <v>7.6480044277440623E-2</v>
      </c>
      <c r="BK52" s="102">
        <f t="shared" ca="1" si="45"/>
        <v>0.16652742421252781</v>
      </c>
      <c r="BL52" s="102">
        <f t="shared" ca="1" si="46"/>
        <v>0.16652742421252781</v>
      </c>
    </row>
    <row r="53" spans="1:64">
      <c r="A53" s="203"/>
      <c r="B53" s="203"/>
      <c r="C53" s="203"/>
      <c r="D53" s="260">
        <f t="shared" ref="D53:T53" si="48">SUM(D47:D52)</f>
        <v>1</v>
      </c>
      <c r="E53" s="260">
        <f t="shared" si="48"/>
        <v>1</v>
      </c>
      <c r="F53" s="260">
        <f t="shared" si="48"/>
        <v>1</v>
      </c>
      <c r="G53" s="260">
        <f t="shared" si="48"/>
        <v>1</v>
      </c>
      <c r="H53" s="260">
        <f t="shared" si="48"/>
        <v>1</v>
      </c>
      <c r="I53" s="260">
        <f t="shared" si="48"/>
        <v>1</v>
      </c>
      <c r="J53" s="260">
        <f t="shared" si="48"/>
        <v>1</v>
      </c>
      <c r="K53" s="260">
        <f t="shared" si="48"/>
        <v>1</v>
      </c>
      <c r="L53" s="260">
        <f t="shared" si="48"/>
        <v>1</v>
      </c>
      <c r="M53" s="260">
        <f t="shared" si="48"/>
        <v>1</v>
      </c>
      <c r="N53" s="260">
        <f t="shared" si="48"/>
        <v>1</v>
      </c>
      <c r="O53" s="260">
        <f t="shared" si="48"/>
        <v>1</v>
      </c>
      <c r="P53" s="260">
        <f t="shared" si="48"/>
        <v>1</v>
      </c>
      <c r="Q53" s="260">
        <f t="shared" si="48"/>
        <v>1</v>
      </c>
      <c r="R53" s="260">
        <f t="shared" si="48"/>
        <v>1</v>
      </c>
      <c r="S53" s="260">
        <f t="shared" si="48"/>
        <v>1</v>
      </c>
      <c r="T53" s="260">
        <f t="shared" si="48"/>
        <v>1</v>
      </c>
      <c r="U53" s="203"/>
      <c r="V53" s="203"/>
      <c r="W53" s="203"/>
      <c r="AE53" s="184" t="s">
        <v>953</v>
      </c>
      <c r="AF53" s="9">
        <f t="shared" si="37"/>
        <v>6</v>
      </c>
      <c r="AG53" s="9">
        <f t="shared" si="29"/>
        <v>26</v>
      </c>
      <c r="AH53" s="46">
        <f t="shared" si="30"/>
        <v>7.0867124218388956E-3</v>
      </c>
      <c r="AI53" s="46">
        <f t="shared" si="31"/>
        <v>0</v>
      </c>
      <c r="AJ53" s="46">
        <f t="shared" si="32"/>
        <v>0</v>
      </c>
      <c r="AK53" s="9">
        <f t="shared" si="33"/>
        <v>0</v>
      </c>
      <c r="AL53" s="46">
        <f t="shared" si="34"/>
        <v>7.0867124218388956E-3</v>
      </c>
      <c r="AM53" s="184" t="s">
        <v>1150</v>
      </c>
      <c r="AN53" s="9">
        <f t="shared" si="35"/>
        <v>8</v>
      </c>
      <c r="AO53" s="542">
        <f t="shared" ca="1" si="36"/>
        <v>1</v>
      </c>
      <c r="AQ53" s="99" t="s">
        <v>956</v>
      </c>
      <c r="AR53" s="100" t="s">
        <v>800</v>
      </c>
      <c r="AS53" s="134">
        <v>0</v>
      </c>
      <c r="AT53" s="134">
        <v>0</v>
      </c>
      <c r="AU53" s="134">
        <v>0</v>
      </c>
      <c r="AV53" s="134">
        <v>0</v>
      </c>
      <c r="AX53" s="184" t="str">
        <f>$G$38</f>
        <v>INDCOK</v>
      </c>
      <c r="AY53" s="102">
        <f>AS78</f>
        <v>0</v>
      </c>
      <c r="AZ53" s="102">
        <f>AU78</f>
        <v>0</v>
      </c>
      <c r="BA53" s="102">
        <f>AT78</f>
        <v>0</v>
      </c>
      <c r="BB53" s="102">
        <f>AV78</f>
        <v>0</v>
      </c>
      <c r="BC53" s="2">
        <f t="shared" si="38"/>
        <v>0</v>
      </c>
      <c r="BD53" s="2">
        <f t="shared" si="39"/>
        <v>0</v>
      </c>
      <c r="BE53" s="470">
        <f t="shared" si="40"/>
        <v>0</v>
      </c>
      <c r="BF53" s="470">
        <f t="shared" si="41"/>
        <v>0.78</v>
      </c>
      <c r="BG53" s="470">
        <f t="shared" si="42"/>
        <v>0</v>
      </c>
      <c r="BH53">
        <f t="shared" si="43"/>
        <v>6</v>
      </c>
      <c r="BI53" s="184" t="s">
        <v>910</v>
      </c>
      <c r="BJ53" s="102">
        <f t="shared" si="44"/>
        <v>0</v>
      </c>
      <c r="BK53" s="102">
        <f t="shared" ca="1" si="45"/>
        <v>0</v>
      </c>
      <c r="BL53" s="102">
        <f t="shared" ca="1" si="46"/>
        <v>0</v>
      </c>
    </row>
    <row r="54" spans="1:64" ht="14.25" customHeight="1">
      <c r="A54" s="234" t="s">
        <v>885</v>
      </c>
      <c r="B54" s="203" t="s">
        <v>1332</v>
      </c>
      <c r="C54" s="234" t="s">
        <v>1333</v>
      </c>
      <c r="D54" s="255">
        <v>0.1</v>
      </c>
      <c r="E54" s="255"/>
      <c r="F54" s="255">
        <v>0.14000000000000001</v>
      </c>
      <c r="G54" s="255"/>
      <c r="H54" s="255"/>
      <c r="I54" s="255"/>
      <c r="J54" s="255"/>
      <c r="K54" s="255"/>
      <c r="L54" s="255"/>
      <c r="M54" s="255"/>
      <c r="N54" s="255">
        <f>0.9-F54</f>
        <v>0.76</v>
      </c>
      <c r="O54" s="255"/>
      <c r="P54" s="255"/>
      <c r="Q54" s="255"/>
      <c r="R54" s="255"/>
      <c r="S54" s="255"/>
      <c r="T54" s="255"/>
      <c r="U54" s="203"/>
      <c r="V54" s="203"/>
      <c r="W54" s="203"/>
      <c r="AE54" s="184" t="s">
        <v>954</v>
      </c>
      <c r="AF54" s="9">
        <f t="shared" si="37"/>
        <v>7</v>
      </c>
      <c r="AG54" s="9">
        <f t="shared" si="29"/>
        <v>28</v>
      </c>
      <c r="AH54" s="46">
        <f t="shared" si="30"/>
        <v>0</v>
      </c>
      <c r="AI54" s="46">
        <f t="shared" si="31"/>
        <v>0</v>
      </c>
      <c r="AJ54" s="46">
        <f t="shared" si="32"/>
        <v>0</v>
      </c>
      <c r="AK54" s="9">
        <f t="shared" si="33"/>
        <v>0</v>
      </c>
      <c r="AL54" s="46">
        <f t="shared" si="34"/>
        <v>0</v>
      </c>
      <c r="AM54" s="184" t="s">
        <v>910</v>
      </c>
      <c r="AN54" s="9">
        <f t="shared" si="35"/>
        <v>5</v>
      </c>
      <c r="AO54" s="542">
        <f t="shared" ca="1" si="36"/>
        <v>0</v>
      </c>
      <c r="AQ54" s="99" t="s">
        <v>831</v>
      </c>
      <c r="AR54" s="100" t="s">
        <v>592</v>
      </c>
      <c r="AS54" s="134">
        <v>0</v>
      </c>
      <c r="AT54" s="134">
        <v>0</v>
      </c>
      <c r="AU54" s="134">
        <v>0</v>
      </c>
      <c r="AV54" s="134">
        <v>0</v>
      </c>
      <c r="AX54" s="184" t="str">
        <f>$H$38</f>
        <v>INDCOG</v>
      </c>
      <c r="AY54" s="102">
        <f>AS53</f>
        <v>0</v>
      </c>
      <c r="AZ54" s="102">
        <f>AU53</f>
        <v>0</v>
      </c>
      <c r="BA54" s="102">
        <f>AT53</f>
        <v>0</v>
      </c>
      <c r="BB54" s="102">
        <f>AV53</f>
        <v>0</v>
      </c>
      <c r="BC54" s="2">
        <f t="shared" si="38"/>
        <v>0</v>
      </c>
      <c r="BD54" s="2">
        <f t="shared" si="39"/>
        <v>0</v>
      </c>
      <c r="BE54" s="470">
        <f t="shared" si="40"/>
        <v>0</v>
      </c>
      <c r="BF54" s="470">
        <f t="shared" si="41"/>
        <v>0.78</v>
      </c>
      <c r="BG54" s="470">
        <f t="shared" si="42"/>
        <v>0</v>
      </c>
      <c r="BH54">
        <f t="shared" si="43"/>
        <v>7</v>
      </c>
      <c r="BI54" s="184" t="s">
        <v>911</v>
      </c>
      <c r="BJ54" s="102">
        <f t="shared" si="44"/>
        <v>0</v>
      </c>
      <c r="BK54" s="102">
        <f t="shared" ca="1" si="45"/>
        <v>0</v>
      </c>
      <c r="BL54" s="102">
        <f t="shared" ca="1" si="46"/>
        <v>0</v>
      </c>
    </row>
    <row r="55" spans="1:64">
      <c r="A55" s="234" t="s">
        <v>885</v>
      </c>
      <c r="B55" s="203" t="s">
        <v>1332</v>
      </c>
      <c r="C55" s="234" t="s">
        <v>1118</v>
      </c>
      <c r="D55" s="255">
        <v>0.22</v>
      </c>
      <c r="E55" s="255"/>
      <c r="F55" s="255">
        <v>0.05</v>
      </c>
      <c r="G55" s="255"/>
      <c r="H55" s="255"/>
      <c r="I55" s="255"/>
      <c r="J55" s="255"/>
      <c r="K55" s="255"/>
      <c r="L55" s="255"/>
      <c r="M55" s="255"/>
      <c r="N55" s="255">
        <f>0.95-F55</f>
        <v>0.89999999999999991</v>
      </c>
      <c r="O55" s="255"/>
      <c r="P55" s="255"/>
      <c r="Q55" s="255"/>
      <c r="R55" s="255"/>
      <c r="S55" s="255"/>
      <c r="T55" s="255"/>
      <c r="AE55" s="184" t="s">
        <v>956</v>
      </c>
      <c r="AF55" s="9">
        <f t="shared" si="37"/>
        <v>9</v>
      </c>
      <c r="AG55" s="9">
        <f t="shared" si="29"/>
        <v>3</v>
      </c>
      <c r="AH55" s="46">
        <f t="shared" si="30"/>
        <v>0</v>
      </c>
      <c r="AI55" s="46">
        <f t="shared" si="31"/>
        <v>0</v>
      </c>
      <c r="AJ55" s="46">
        <f t="shared" si="32"/>
        <v>0</v>
      </c>
      <c r="AK55" s="9">
        <f t="shared" si="33"/>
        <v>0</v>
      </c>
      <c r="AL55" s="46">
        <f t="shared" si="34"/>
        <v>0</v>
      </c>
      <c r="AM55" s="184" t="s">
        <v>911</v>
      </c>
      <c r="AN55" s="9">
        <f t="shared" si="35"/>
        <v>6</v>
      </c>
      <c r="AO55" s="542">
        <f t="shared" ca="1" si="36"/>
        <v>0</v>
      </c>
      <c r="AQ55" s="99" t="s">
        <v>951</v>
      </c>
      <c r="AR55" s="100" t="s">
        <v>798</v>
      </c>
      <c r="AS55" s="134">
        <v>0</v>
      </c>
      <c r="AT55" s="134">
        <v>0</v>
      </c>
      <c r="AU55" s="134">
        <v>1.2150299999999998E-2</v>
      </c>
      <c r="AV55" s="134">
        <v>1.125E-2</v>
      </c>
      <c r="AX55" s="184" t="str">
        <f>$I$38</f>
        <v>INDBFG</v>
      </c>
      <c r="AY55" s="102">
        <f>AS52+AS54</f>
        <v>0</v>
      </c>
      <c r="AZ55" s="102">
        <f>AU52+AU54</f>
        <v>0</v>
      </c>
      <c r="BA55" s="102">
        <f>AT52+AT54</f>
        <v>0</v>
      </c>
      <c r="BB55" s="102">
        <f>AV52+AV54</f>
        <v>0</v>
      </c>
      <c r="BC55" s="2">
        <f t="shared" si="38"/>
        <v>0</v>
      </c>
      <c r="BD55" s="2">
        <f t="shared" si="39"/>
        <v>0</v>
      </c>
      <c r="BE55" s="470">
        <f t="shared" si="40"/>
        <v>0</v>
      </c>
      <c r="BF55" s="470">
        <f t="shared" si="41"/>
        <v>0.78</v>
      </c>
      <c r="BG55" s="470">
        <f t="shared" si="42"/>
        <v>0</v>
      </c>
      <c r="BH55">
        <f t="shared" si="43"/>
        <v>8</v>
      </c>
      <c r="BI55" s="184" t="s">
        <v>912</v>
      </c>
      <c r="BJ55" s="102">
        <f t="shared" si="44"/>
        <v>0</v>
      </c>
      <c r="BK55" s="102">
        <f t="shared" ca="1" si="45"/>
        <v>0</v>
      </c>
      <c r="BL55" s="102">
        <f t="shared" ca="1" si="46"/>
        <v>0</v>
      </c>
    </row>
    <row r="56" spans="1:64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AE56" s="184" t="s">
        <v>830</v>
      </c>
      <c r="AF56" s="9">
        <f t="shared" si="37"/>
        <v>10</v>
      </c>
      <c r="AG56" s="9">
        <f t="shared" si="29"/>
        <v>2</v>
      </c>
      <c r="AH56" s="46">
        <f t="shared" si="30"/>
        <v>0</v>
      </c>
      <c r="AI56" s="46">
        <f t="shared" si="31"/>
        <v>0</v>
      </c>
      <c r="AJ56" s="46">
        <f t="shared" si="32"/>
        <v>0</v>
      </c>
      <c r="AK56" s="9">
        <f t="shared" si="33"/>
        <v>0</v>
      </c>
      <c r="AL56" s="46">
        <f t="shared" si="34"/>
        <v>0</v>
      </c>
      <c r="AM56" s="184" t="s">
        <v>912</v>
      </c>
      <c r="AN56" s="9">
        <f t="shared" si="35"/>
        <v>7</v>
      </c>
      <c r="AO56" s="542">
        <f t="shared" ca="1" si="36"/>
        <v>0</v>
      </c>
      <c r="AQ56" s="99" t="s">
        <v>833</v>
      </c>
      <c r="AR56" s="100" t="s">
        <v>891</v>
      </c>
      <c r="AS56" s="134">
        <v>0</v>
      </c>
      <c r="AT56" s="134">
        <v>0</v>
      </c>
      <c r="AU56" s="134">
        <v>0</v>
      </c>
      <c r="AV56" s="134">
        <v>0</v>
      </c>
      <c r="AX56" s="184" t="str">
        <f>$J$38</f>
        <v>INDBCO</v>
      </c>
      <c r="AY56" s="102">
        <f>AS76</f>
        <v>0</v>
      </c>
      <c r="AZ56" s="102">
        <f>AU76</f>
        <v>0</v>
      </c>
      <c r="BA56" s="102">
        <f>AT76</f>
        <v>0</v>
      </c>
      <c r="BB56" s="102">
        <f>AV76</f>
        <v>0</v>
      </c>
      <c r="BC56" s="2">
        <f t="shared" si="38"/>
        <v>0</v>
      </c>
      <c r="BD56" s="2">
        <f t="shared" si="39"/>
        <v>0</v>
      </c>
      <c r="BE56" s="470">
        <f t="shared" si="40"/>
        <v>0</v>
      </c>
      <c r="BF56" s="470">
        <f t="shared" si="41"/>
        <v>0.78</v>
      </c>
      <c r="BG56" s="470">
        <f t="shared" si="42"/>
        <v>0</v>
      </c>
      <c r="BH56">
        <f t="shared" si="43"/>
        <v>9</v>
      </c>
      <c r="BI56" s="184" t="s">
        <v>1150</v>
      </c>
      <c r="BJ56" s="102">
        <f t="shared" si="44"/>
        <v>0</v>
      </c>
      <c r="BK56" s="102">
        <f t="shared" ca="1" si="45"/>
        <v>7.0867124218388956E-3</v>
      </c>
      <c r="BL56" s="102">
        <f t="shared" ca="1" si="46"/>
        <v>7.0867124218388956E-3</v>
      </c>
    </row>
    <row r="57" spans="1:64" ht="14.25" customHeight="1">
      <c r="A57" s="86" t="s">
        <v>988</v>
      </c>
      <c r="B57" s="106"/>
      <c r="C57" s="107"/>
      <c r="D57" s="88"/>
      <c r="E57" s="88"/>
      <c r="F57" s="88"/>
      <c r="G57" s="88"/>
      <c r="H57" s="88"/>
      <c r="I57" s="88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AE57" s="184" t="s">
        <v>955</v>
      </c>
      <c r="AF57" s="9">
        <f t="shared" si="37"/>
        <v>8</v>
      </c>
      <c r="AG57" s="9" t="e">
        <f t="shared" si="29"/>
        <v>#N/A</v>
      </c>
      <c r="AH57" s="46">
        <f t="shared" si="30"/>
        <v>0</v>
      </c>
      <c r="AI57" s="46">
        <f t="shared" si="31"/>
        <v>0</v>
      </c>
      <c r="AJ57" s="46">
        <f t="shared" si="32"/>
        <v>0</v>
      </c>
      <c r="AK57" s="9">
        <f t="shared" si="33"/>
        <v>0</v>
      </c>
      <c r="AL57" s="46">
        <f t="shared" si="34"/>
        <v>0</v>
      </c>
      <c r="AM57" s="184" t="s">
        <v>912</v>
      </c>
      <c r="AN57" s="9">
        <f t="shared" si="35"/>
        <v>7</v>
      </c>
      <c r="AO57" s="542">
        <f t="shared" ca="1" si="36"/>
        <v>0</v>
      </c>
      <c r="AQ57" s="99" t="s">
        <v>1297</v>
      </c>
      <c r="AR57" s="100" t="s">
        <v>663</v>
      </c>
      <c r="AS57" s="134">
        <v>0</v>
      </c>
      <c r="AT57" s="134">
        <v>0</v>
      </c>
      <c r="AU57" s="134">
        <v>0</v>
      </c>
      <c r="AV57" s="134">
        <v>0</v>
      </c>
      <c r="AX57" s="184" t="str">
        <f>$K$38</f>
        <v>INDHFO</v>
      </c>
      <c r="AY57" s="102">
        <f>AS68+AS60+AS65+AS66</f>
        <v>0</v>
      </c>
      <c r="AZ57" s="102">
        <f>AU68+AU60+AU65+AU66</f>
        <v>6.0001049999999995E-3</v>
      </c>
      <c r="BA57" s="102">
        <f>AT68+AT60+AT65+AT66</f>
        <v>0</v>
      </c>
      <c r="BB57" s="102">
        <f>AV68+AV60+AV65+AV66</f>
        <v>7.4999999999999997E-3</v>
      </c>
      <c r="BC57" s="2">
        <f t="shared" si="38"/>
        <v>0</v>
      </c>
      <c r="BD57" s="2">
        <f t="shared" si="39"/>
        <v>1.2499781253828059</v>
      </c>
      <c r="BE57" s="470">
        <f t="shared" si="40"/>
        <v>0</v>
      </c>
      <c r="BF57" s="470">
        <f t="shared" si="41"/>
        <v>0.88</v>
      </c>
      <c r="BG57" s="470">
        <f t="shared" si="42"/>
        <v>5.2800923999999994E-3</v>
      </c>
      <c r="BH57">
        <f t="shared" si="43"/>
        <v>10</v>
      </c>
      <c r="BI57" s="184" t="s">
        <v>913</v>
      </c>
      <c r="BJ57" s="102">
        <f t="shared" si="44"/>
        <v>0.21191130866977145</v>
      </c>
      <c r="BK57" s="102">
        <f t="shared" ca="1" si="45"/>
        <v>0.36404073183208119</v>
      </c>
      <c r="BL57" s="102">
        <f t="shared" ca="1" si="46"/>
        <v>0.36404073183208119</v>
      </c>
    </row>
    <row r="58" spans="1:64" ht="14.25" customHeight="1" thickBot="1">
      <c r="A58" s="233" t="s">
        <v>873</v>
      </c>
      <c r="B58" s="233" t="s">
        <v>874</v>
      </c>
      <c r="C58" s="233" t="s">
        <v>555</v>
      </c>
      <c r="D58" s="188" t="str">
        <f t="shared" ref="D58:T58" si="49">B38</f>
        <v>INDELC</v>
      </c>
      <c r="E58" s="188" t="str">
        <f t="shared" si="49"/>
        <v>INDNGA</v>
      </c>
      <c r="F58" s="188" t="str">
        <f t="shared" si="49"/>
        <v>INDLPG</v>
      </c>
      <c r="G58" s="188" t="str">
        <f t="shared" si="49"/>
        <v>INDNGL</v>
      </c>
      <c r="H58" s="188" t="str">
        <f t="shared" si="49"/>
        <v>INDCOA</v>
      </c>
      <c r="I58" s="188" t="str">
        <f t="shared" si="49"/>
        <v>INDCOK</v>
      </c>
      <c r="J58" s="188" t="str">
        <f t="shared" si="49"/>
        <v>INDCOG</v>
      </c>
      <c r="K58" s="188" t="str">
        <f t="shared" si="49"/>
        <v>INDBFG</v>
      </c>
      <c r="L58" s="188" t="str">
        <f t="shared" si="49"/>
        <v>INDBCO</v>
      </c>
      <c r="M58" s="188" t="str">
        <f t="shared" si="49"/>
        <v>INDHFO</v>
      </c>
      <c r="N58" s="188" t="str">
        <f t="shared" si="49"/>
        <v>INDOIL</v>
      </c>
      <c r="O58" s="188" t="str">
        <f t="shared" si="49"/>
        <v>INDETH</v>
      </c>
      <c r="P58" s="188" t="str">
        <f t="shared" si="49"/>
        <v>INDNAP</v>
      </c>
      <c r="Q58" s="188" t="str">
        <f t="shared" si="49"/>
        <v>INDPTC</v>
      </c>
      <c r="R58" s="188" t="str">
        <f t="shared" si="49"/>
        <v>INDBIO</v>
      </c>
      <c r="S58" s="188" t="str">
        <f t="shared" si="49"/>
        <v>INDGEO</v>
      </c>
      <c r="T58" s="188" t="str">
        <f t="shared" si="49"/>
        <v>INDHET</v>
      </c>
      <c r="U58" s="188" t="s">
        <v>888</v>
      </c>
      <c r="V58" s="203"/>
      <c r="W58" s="203"/>
      <c r="AE58" s="184" t="s">
        <v>831</v>
      </c>
      <c r="AF58" s="9">
        <f t="shared" si="37"/>
        <v>11</v>
      </c>
      <c r="AG58" s="9">
        <f t="shared" si="29"/>
        <v>4</v>
      </c>
      <c r="AH58" s="46">
        <f t="shared" si="30"/>
        <v>0</v>
      </c>
      <c r="AI58" s="46">
        <f t="shared" si="31"/>
        <v>0</v>
      </c>
      <c r="AJ58" s="46">
        <f t="shared" si="32"/>
        <v>0</v>
      </c>
      <c r="AK58" s="9">
        <f t="shared" si="33"/>
        <v>0</v>
      </c>
      <c r="AL58" s="46">
        <f t="shared" si="34"/>
        <v>0</v>
      </c>
      <c r="AM58" s="184" t="s">
        <v>912</v>
      </c>
      <c r="AN58" s="9">
        <f t="shared" si="35"/>
        <v>7</v>
      </c>
      <c r="AO58" s="542">
        <f t="shared" ca="1" si="36"/>
        <v>0</v>
      </c>
      <c r="AQ58" s="135" t="s">
        <v>843</v>
      </c>
      <c r="AR58" s="136" t="s">
        <v>804</v>
      </c>
      <c r="AS58" s="134">
        <v>0</v>
      </c>
      <c r="AT58" s="134">
        <v>0</v>
      </c>
      <c r="AU58" s="134">
        <v>0</v>
      </c>
      <c r="AV58" s="134">
        <v>0</v>
      </c>
      <c r="AX58" s="184" t="str">
        <f>$L$38</f>
        <v>INDOIL</v>
      </c>
      <c r="AY58" s="102">
        <f>AS61+AS62+AS67</f>
        <v>0</v>
      </c>
      <c r="AZ58" s="102">
        <f>AU61+AU62+AU67</f>
        <v>0</v>
      </c>
      <c r="BA58" s="102">
        <f>AT61+AT62+AT67</f>
        <v>0</v>
      </c>
      <c r="BB58" s="102">
        <f>AV61+AV62+AV67</f>
        <v>0</v>
      </c>
      <c r="BC58" s="2">
        <f t="shared" si="38"/>
        <v>0</v>
      </c>
      <c r="BD58" s="2">
        <f t="shared" si="39"/>
        <v>0</v>
      </c>
      <c r="BE58" s="470">
        <f t="shared" si="40"/>
        <v>0</v>
      </c>
      <c r="BF58" s="470">
        <f t="shared" si="41"/>
        <v>0.78</v>
      </c>
      <c r="BG58" s="470">
        <f t="shared" si="42"/>
        <v>0</v>
      </c>
      <c r="BH58">
        <f t="shared" si="43"/>
        <v>11</v>
      </c>
      <c r="BI58" s="184" t="s">
        <v>826</v>
      </c>
      <c r="BJ58" s="102">
        <f t="shared" si="44"/>
        <v>0</v>
      </c>
      <c r="BK58" s="102">
        <f t="shared" ca="1" si="45"/>
        <v>1.6737496324718808</v>
      </c>
      <c r="BL58" s="102">
        <f t="shared" ca="1" si="46"/>
        <v>1.6737496324718808</v>
      </c>
    </row>
    <row r="59" spans="1:64" ht="14.25" customHeight="1">
      <c r="A59" s="259" t="str">
        <f t="shared" ref="A59:C69" si="50">A42</f>
        <v>Iron and Steel</v>
      </c>
      <c r="B59" s="259" t="str">
        <f t="shared" si="50"/>
        <v>ISIS</v>
      </c>
      <c r="C59" s="259" t="str">
        <f t="shared" si="50"/>
        <v>Steam Boiler</v>
      </c>
      <c r="D59" s="68">
        <f>D42*B$28</f>
        <v>0</v>
      </c>
      <c r="E59" s="68">
        <f t="shared" ref="E59:T59" si="51">(E42*C$28)</f>
        <v>5.9999999999999995E-4</v>
      </c>
      <c r="F59" s="68">
        <f t="shared" si="51"/>
        <v>0</v>
      </c>
      <c r="G59" s="68">
        <f t="shared" si="51"/>
        <v>0</v>
      </c>
      <c r="H59" s="68">
        <f t="shared" si="51"/>
        <v>0</v>
      </c>
      <c r="I59" s="68">
        <f t="shared" si="51"/>
        <v>0</v>
      </c>
      <c r="J59" s="68">
        <f t="shared" si="51"/>
        <v>0</v>
      </c>
      <c r="K59" s="68">
        <f t="shared" si="51"/>
        <v>0</v>
      </c>
      <c r="L59" s="68">
        <f t="shared" si="51"/>
        <v>0</v>
      </c>
      <c r="M59" s="68">
        <f t="shared" si="51"/>
        <v>0</v>
      </c>
      <c r="N59" s="68">
        <f t="shared" si="51"/>
        <v>0</v>
      </c>
      <c r="O59" s="68">
        <f t="shared" si="51"/>
        <v>0</v>
      </c>
      <c r="P59" s="68">
        <f t="shared" si="51"/>
        <v>0</v>
      </c>
      <c r="Q59" s="68">
        <f t="shared" si="51"/>
        <v>0</v>
      </c>
      <c r="R59" s="68">
        <f t="shared" si="51"/>
        <v>0</v>
      </c>
      <c r="S59" s="68">
        <f t="shared" si="51"/>
        <v>0</v>
      </c>
      <c r="T59" s="68">
        <f t="shared" si="51"/>
        <v>2E-3</v>
      </c>
      <c r="U59" s="68">
        <f t="shared" ref="U59:U69" si="52">SUM(D59:T59)</f>
        <v>2.5999999999999999E-3</v>
      </c>
      <c r="V59" s="213"/>
      <c r="W59" s="203"/>
      <c r="AE59" s="184" t="s">
        <v>835</v>
      </c>
      <c r="AF59" s="9">
        <f t="shared" si="37"/>
        <v>15</v>
      </c>
      <c r="AG59" s="9">
        <f t="shared" si="29"/>
        <v>18</v>
      </c>
      <c r="AH59" s="46">
        <f t="shared" si="30"/>
        <v>0.15212942316230976</v>
      </c>
      <c r="AI59" s="46">
        <f t="shared" si="31"/>
        <v>0</v>
      </c>
      <c r="AJ59" s="46">
        <f t="shared" si="32"/>
        <v>0</v>
      </c>
      <c r="AK59" s="9">
        <f t="shared" si="33"/>
        <v>0.21191130866977145</v>
      </c>
      <c r="AL59" s="46">
        <f t="shared" si="34"/>
        <v>0.36404073183208119</v>
      </c>
      <c r="AM59" s="184" t="s">
        <v>913</v>
      </c>
      <c r="AN59" s="9">
        <f t="shared" si="35"/>
        <v>9</v>
      </c>
      <c r="AO59" s="542">
        <f t="shared" ca="1" si="36"/>
        <v>1</v>
      </c>
      <c r="AQ59" s="99" t="s">
        <v>902</v>
      </c>
      <c r="AR59" s="100" t="s">
        <v>902</v>
      </c>
      <c r="AS59" s="137">
        <v>0</v>
      </c>
      <c r="AT59" s="137">
        <v>0</v>
      </c>
      <c r="AU59" s="137">
        <v>1.2150299999999998E-2</v>
      </c>
      <c r="AV59" s="137">
        <v>1.125E-2</v>
      </c>
      <c r="AX59" s="184" t="str">
        <f>$M$38</f>
        <v>INDETH</v>
      </c>
      <c r="AY59" s="102">
        <f>AS56+AS58</f>
        <v>0</v>
      </c>
      <c r="AZ59" s="102">
        <f>AU56+AU58</f>
        <v>0</v>
      </c>
      <c r="BA59" s="102">
        <f>AT56+AT58</f>
        <v>0</v>
      </c>
      <c r="BB59" s="102">
        <f>AV56+AV58</f>
        <v>0</v>
      </c>
      <c r="BC59" s="2">
        <f t="shared" si="38"/>
        <v>0</v>
      </c>
      <c r="BD59" s="2">
        <f t="shared" si="39"/>
        <v>0</v>
      </c>
      <c r="BE59" s="470">
        <f t="shared" si="40"/>
        <v>0</v>
      </c>
      <c r="BF59" s="470">
        <f t="shared" si="41"/>
        <v>0.78</v>
      </c>
      <c r="BG59" s="470">
        <f t="shared" si="42"/>
        <v>0</v>
      </c>
      <c r="BH59">
        <f t="shared" si="43"/>
        <v>12</v>
      </c>
      <c r="BI59" s="184" t="s">
        <v>914</v>
      </c>
      <c r="BJ59" s="102">
        <f t="shared" si="44"/>
        <v>0</v>
      </c>
      <c r="BK59" s="102">
        <f t="shared" ca="1" si="45"/>
        <v>0</v>
      </c>
      <c r="BL59" s="102">
        <f t="shared" ca="1" si="46"/>
        <v>0</v>
      </c>
    </row>
    <row r="60" spans="1:64" ht="14.25" customHeight="1">
      <c r="A60" s="259" t="str">
        <f t="shared" si="50"/>
        <v>Non-ferrous Metals</v>
      </c>
      <c r="B60" s="259" t="str">
        <f t="shared" si="50"/>
        <v>ISNF</v>
      </c>
      <c r="C60" s="259" t="str">
        <f t="shared" si="50"/>
        <v>Steam Boiler</v>
      </c>
      <c r="D60" s="68">
        <f>D43*B$29</f>
        <v>0</v>
      </c>
      <c r="E60" s="68">
        <f t="shared" ref="E60:T60" si="53">(E43*C$29)</f>
        <v>0</v>
      </c>
      <c r="F60" s="68">
        <f t="shared" si="53"/>
        <v>0</v>
      </c>
      <c r="G60" s="68">
        <f t="shared" si="53"/>
        <v>0</v>
      </c>
      <c r="H60" s="68">
        <f t="shared" si="53"/>
        <v>0</v>
      </c>
      <c r="I60" s="68">
        <f t="shared" si="53"/>
        <v>0</v>
      </c>
      <c r="J60" s="68">
        <f t="shared" si="53"/>
        <v>0</v>
      </c>
      <c r="K60" s="68">
        <f t="shared" si="53"/>
        <v>0</v>
      </c>
      <c r="L60" s="68">
        <f t="shared" si="53"/>
        <v>0</v>
      </c>
      <c r="M60" s="68">
        <f t="shared" si="53"/>
        <v>2.5000000000000001E-4</v>
      </c>
      <c r="N60" s="68">
        <f t="shared" si="53"/>
        <v>0</v>
      </c>
      <c r="O60" s="68">
        <f t="shared" si="53"/>
        <v>0</v>
      </c>
      <c r="P60" s="68">
        <f t="shared" si="53"/>
        <v>0</v>
      </c>
      <c r="Q60" s="68">
        <f t="shared" si="53"/>
        <v>0</v>
      </c>
      <c r="R60" s="68">
        <f t="shared" si="53"/>
        <v>0</v>
      </c>
      <c r="S60" s="68">
        <f t="shared" si="53"/>
        <v>0</v>
      </c>
      <c r="T60" s="68">
        <f t="shared" si="53"/>
        <v>8.9999999999999993E-3</v>
      </c>
      <c r="U60" s="68">
        <f t="shared" si="52"/>
        <v>9.2499999999999995E-3</v>
      </c>
      <c r="V60" s="213"/>
      <c r="W60" s="203"/>
      <c r="AE60" s="184" t="s">
        <v>834</v>
      </c>
      <c r="AF60" s="9">
        <f t="shared" si="37"/>
        <v>14</v>
      </c>
      <c r="AG60" s="9">
        <f t="shared" si="29"/>
        <v>10</v>
      </c>
      <c r="AH60" s="46">
        <f t="shared" si="30"/>
        <v>0</v>
      </c>
      <c r="AI60" s="46">
        <f t="shared" si="31"/>
        <v>0</v>
      </c>
      <c r="AJ60" s="46">
        <f t="shared" si="32"/>
        <v>0</v>
      </c>
      <c r="AK60" s="9">
        <f t="shared" si="33"/>
        <v>0</v>
      </c>
      <c r="AL60" s="46">
        <f t="shared" si="34"/>
        <v>0</v>
      </c>
      <c r="AM60" s="184" t="s">
        <v>913</v>
      </c>
      <c r="AN60" s="9">
        <f t="shared" si="35"/>
        <v>9</v>
      </c>
      <c r="AO60" s="542">
        <f t="shared" ca="1" si="36"/>
        <v>0</v>
      </c>
      <c r="AQ60" s="99" t="s">
        <v>834</v>
      </c>
      <c r="AR60" s="100" t="s">
        <v>892</v>
      </c>
      <c r="AS60" s="134">
        <v>0</v>
      </c>
      <c r="AT60" s="134">
        <v>0</v>
      </c>
      <c r="AU60" s="134">
        <v>0</v>
      </c>
      <c r="AV60" s="134">
        <v>0</v>
      </c>
      <c r="AX60" s="184" t="str">
        <f>$N$38</f>
        <v>INDNAP</v>
      </c>
      <c r="AY60" s="102">
        <f>AS63</f>
        <v>0</v>
      </c>
      <c r="AZ60" s="102">
        <f>AU63</f>
        <v>0</v>
      </c>
      <c r="BA60" s="102">
        <f>AT63</f>
        <v>0</v>
      </c>
      <c r="BB60" s="102">
        <f>AV63</f>
        <v>0</v>
      </c>
      <c r="BC60" s="2">
        <f t="shared" si="38"/>
        <v>0</v>
      </c>
      <c r="BD60" s="2">
        <f t="shared" si="39"/>
        <v>0</v>
      </c>
      <c r="BE60" s="470">
        <f t="shared" si="40"/>
        <v>0</v>
      </c>
      <c r="BF60" s="470">
        <f t="shared" si="41"/>
        <v>0.78</v>
      </c>
      <c r="BG60" s="470">
        <f t="shared" si="42"/>
        <v>0</v>
      </c>
      <c r="BH60">
        <f t="shared" si="43"/>
        <v>13</v>
      </c>
      <c r="BI60" s="184" t="s">
        <v>915</v>
      </c>
      <c r="BJ60" s="102">
        <f>SUM(AY60,AZ60)</f>
        <v>0</v>
      </c>
      <c r="BK60" s="102">
        <f ca="1">MAX(0,BJ60+OFFSET($A$34,0,$BH60)+OFFSET($A$36,0,$BH60)-INDEX($B$37:$S$37,$BH60))</f>
        <v>0.21299999999999999</v>
      </c>
      <c r="BL60" s="102">
        <f t="shared" ca="1" si="46"/>
        <v>0.21299999999999999</v>
      </c>
    </row>
    <row r="61" spans="1:64" ht="14.25" customHeight="1">
      <c r="A61" s="259" t="str">
        <f t="shared" si="50"/>
        <v>Chemicals and Petrochemicals</v>
      </c>
      <c r="B61" s="259" t="str">
        <f t="shared" si="50"/>
        <v>ISCH</v>
      </c>
      <c r="C61" s="259" t="str">
        <f t="shared" si="50"/>
        <v>Steam Boiler</v>
      </c>
      <c r="D61" s="68">
        <f t="shared" ref="D61:T61" si="54">D44*(B$30)</f>
        <v>0</v>
      </c>
      <c r="E61" s="68">
        <f t="shared" si="54"/>
        <v>2.1177940108464979E-2</v>
      </c>
      <c r="F61" s="68">
        <f t="shared" si="54"/>
        <v>0</v>
      </c>
      <c r="G61" s="68">
        <f t="shared" si="54"/>
        <v>0</v>
      </c>
      <c r="H61" s="68">
        <f t="shared" si="54"/>
        <v>0</v>
      </c>
      <c r="I61" s="68">
        <f t="shared" si="54"/>
        <v>0</v>
      </c>
      <c r="J61" s="68">
        <f t="shared" si="54"/>
        <v>0</v>
      </c>
      <c r="K61" s="68">
        <f t="shared" si="54"/>
        <v>0</v>
      </c>
      <c r="L61" s="68">
        <f t="shared" si="54"/>
        <v>0</v>
      </c>
      <c r="M61" s="68">
        <f t="shared" si="54"/>
        <v>4.301135371179046E-3</v>
      </c>
      <c r="N61" s="68">
        <f t="shared" si="54"/>
        <v>0</v>
      </c>
      <c r="O61" s="68">
        <f t="shared" si="54"/>
        <v>0</v>
      </c>
      <c r="P61" s="68">
        <f t="shared" si="54"/>
        <v>0</v>
      </c>
      <c r="Q61" s="68">
        <f t="shared" si="54"/>
        <v>0</v>
      </c>
      <c r="R61" s="68">
        <f t="shared" si="54"/>
        <v>0</v>
      </c>
      <c r="S61" s="68">
        <f t="shared" si="54"/>
        <v>0</v>
      </c>
      <c r="T61" s="68">
        <f t="shared" si="54"/>
        <v>0.19400000000000001</v>
      </c>
      <c r="U61" s="68">
        <f t="shared" si="52"/>
        <v>0.21947907547964404</v>
      </c>
      <c r="V61" s="213"/>
      <c r="W61" s="203"/>
      <c r="AE61" s="184" t="s">
        <v>839</v>
      </c>
      <c r="AF61" s="9">
        <f t="shared" si="37"/>
        <v>19</v>
      </c>
      <c r="AG61" s="9">
        <f t="shared" si="29"/>
        <v>16</v>
      </c>
      <c r="AH61" s="46">
        <f t="shared" si="30"/>
        <v>0</v>
      </c>
      <c r="AI61" s="46">
        <f t="shared" si="31"/>
        <v>0</v>
      </c>
      <c r="AJ61" s="46">
        <f t="shared" si="32"/>
        <v>0</v>
      </c>
      <c r="AK61" s="9">
        <f t="shared" si="33"/>
        <v>0</v>
      </c>
      <c r="AL61" s="46">
        <f t="shared" si="34"/>
        <v>0</v>
      </c>
      <c r="AM61" s="184" t="s">
        <v>913</v>
      </c>
      <c r="AN61" s="9">
        <f t="shared" si="35"/>
        <v>9</v>
      </c>
      <c r="AO61" s="542">
        <f t="shared" ca="1" si="36"/>
        <v>0</v>
      </c>
      <c r="AQ61" s="99" t="s">
        <v>836</v>
      </c>
      <c r="AR61" s="100" t="s">
        <v>803</v>
      </c>
      <c r="AS61" s="134">
        <v>0</v>
      </c>
      <c r="AT61" s="134">
        <v>0</v>
      </c>
      <c r="AU61" s="134">
        <v>0</v>
      </c>
      <c r="AV61" s="134">
        <v>0</v>
      </c>
      <c r="AX61" s="184" t="str">
        <f>$O$38</f>
        <v>INDPTC</v>
      </c>
      <c r="AY61" s="102">
        <f>AS79</f>
        <v>0</v>
      </c>
      <c r="AZ61" s="102">
        <f>AU79</f>
        <v>0</v>
      </c>
      <c r="BA61" s="102">
        <f>AT79</f>
        <v>0</v>
      </c>
      <c r="BB61" s="102">
        <f>AV79</f>
        <v>0</v>
      </c>
      <c r="BC61" s="2">
        <f t="shared" si="38"/>
        <v>0</v>
      </c>
      <c r="BD61" s="2">
        <f t="shared" si="39"/>
        <v>0</v>
      </c>
      <c r="BE61" s="470">
        <f t="shared" si="40"/>
        <v>0</v>
      </c>
      <c r="BF61" s="470">
        <f t="shared" si="41"/>
        <v>0.78</v>
      </c>
      <c r="BG61" s="470">
        <f t="shared" si="42"/>
        <v>0</v>
      </c>
      <c r="BH61">
        <f t="shared" si="43"/>
        <v>14</v>
      </c>
      <c r="BI61" s="184" t="s">
        <v>916</v>
      </c>
      <c r="BJ61" s="102">
        <f>SUM(AY18,AY61,AZ61)</f>
        <v>0</v>
      </c>
      <c r="BK61" s="102">
        <f ca="1">BJ61+OFFSET($A$34,0,$BH61)+OFFSET($A$36,0,$BH61)-INDEX($B$37:$S$37,$BH61)</f>
        <v>0.05</v>
      </c>
      <c r="BL61" s="102">
        <f t="shared" ca="1" si="46"/>
        <v>0.05</v>
      </c>
    </row>
    <row r="62" spans="1:64" ht="14.25" customHeight="1">
      <c r="A62" s="259" t="str">
        <f t="shared" si="50"/>
        <v>Paper, Pulp and Printing</v>
      </c>
      <c r="B62" s="259" t="str">
        <f t="shared" si="50"/>
        <v>ISLP</v>
      </c>
      <c r="C62" s="259" t="str">
        <f t="shared" si="50"/>
        <v>Steam Boiler</v>
      </c>
      <c r="D62" s="68">
        <f t="shared" ref="D62:T62" si="55">D45*B$31</f>
        <v>0</v>
      </c>
      <c r="E62" s="68">
        <f t="shared" si="55"/>
        <v>4.5000000000000005E-3</v>
      </c>
      <c r="F62" s="68">
        <f t="shared" si="55"/>
        <v>0</v>
      </c>
      <c r="G62" s="68">
        <f t="shared" si="55"/>
        <v>0</v>
      </c>
      <c r="H62" s="68">
        <f t="shared" si="55"/>
        <v>1E-3</v>
      </c>
      <c r="I62" s="68">
        <f t="shared" si="55"/>
        <v>0</v>
      </c>
      <c r="J62" s="68">
        <f t="shared" si="55"/>
        <v>0</v>
      </c>
      <c r="K62" s="68">
        <f t="shared" si="55"/>
        <v>0</v>
      </c>
      <c r="L62" s="68">
        <f t="shared" si="55"/>
        <v>2E-3</v>
      </c>
      <c r="M62" s="68">
        <f t="shared" si="55"/>
        <v>7.5000000000000002E-4</v>
      </c>
      <c r="N62" s="68">
        <f t="shared" si="55"/>
        <v>0</v>
      </c>
      <c r="O62" s="68">
        <f t="shared" si="55"/>
        <v>0</v>
      </c>
      <c r="P62" s="68">
        <f t="shared" si="55"/>
        <v>0</v>
      </c>
      <c r="Q62" s="68">
        <f t="shared" si="55"/>
        <v>0</v>
      </c>
      <c r="R62" s="68">
        <f t="shared" si="55"/>
        <v>4.8000000000000001E-2</v>
      </c>
      <c r="S62" s="68">
        <f t="shared" si="55"/>
        <v>0</v>
      </c>
      <c r="T62" s="68">
        <f t="shared" si="55"/>
        <v>3.0000000000000001E-3</v>
      </c>
      <c r="U62" s="68">
        <f t="shared" si="52"/>
        <v>5.9250000000000004E-2</v>
      </c>
      <c r="V62" s="213"/>
      <c r="W62" s="203"/>
      <c r="AE62" s="184" t="s">
        <v>836</v>
      </c>
      <c r="AF62" s="9">
        <f t="shared" si="37"/>
        <v>16</v>
      </c>
      <c r="AG62" s="9">
        <f t="shared" si="29"/>
        <v>11</v>
      </c>
      <c r="AH62" s="46">
        <f t="shared" si="30"/>
        <v>1.6662295894464108</v>
      </c>
      <c r="AI62" s="46">
        <f t="shared" si="31"/>
        <v>0</v>
      </c>
      <c r="AJ62" s="46">
        <f t="shared" si="32"/>
        <v>0</v>
      </c>
      <c r="AK62" s="9">
        <f t="shared" si="33"/>
        <v>0</v>
      </c>
      <c r="AL62" s="46">
        <f t="shared" si="34"/>
        <v>1.6662295894464108</v>
      </c>
      <c r="AM62" s="184" t="s">
        <v>826</v>
      </c>
      <c r="AN62" s="9">
        <f t="shared" si="35"/>
        <v>10</v>
      </c>
      <c r="AO62" s="542">
        <f t="shared" ca="1" si="36"/>
        <v>0.99550706815429491</v>
      </c>
      <c r="AQ62" s="99" t="s">
        <v>838</v>
      </c>
      <c r="AR62" s="100" t="s">
        <v>593</v>
      </c>
      <c r="AS62" s="134">
        <v>0</v>
      </c>
      <c r="AT62" s="134">
        <v>0</v>
      </c>
      <c r="AU62" s="134">
        <v>0</v>
      </c>
      <c r="AV62" s="134">
        <v>0</v>
      </c>
      <c r="AX62" s="184" t="str">
        <f>$P$38</f>
        <v>INDBIO</v>
      </c>
      <c r="AY62" s="102">
        <f>SUM(AS70:AS74)</f>
        <v>0</v>
      </c>
      <c r="AZ62" s="102">
        <f>SUM(AU70:AU74)</f>
        <v>3.7499099999999995E-3</v>
      </c>
      <c r="BA62" s="102">
        <f>SUM(AT70:AT74)</f>
        <v>0</v>
      </c>
      <c r="BB62" s="102">
        <f>SUM(AV70:AV74)</f>
        <v>3.2999999999999995E-3</v>
      </c>
      <c r="BC62" s="2">
        <f t="shared" si="38"/>
        <v>0</v>
      </c>
      <c r="BD62" s="2">
        <f t="shared" si="39"/>
        <v>0.88002112050689218</v>
      </c>
      <c r="BE62" s="470">
        <f t="shared" si="40"/>
        <v>0</v>
      </c>
      <c r="BF62" s="470">
        <f t="shared" si="41"/>
        <v>0.88</v>
      </c>
      <c r="BG62" s="470">
        <f t="shared" si="42"/>
        <v>3.2999207999999994E-3</v>
      </c>
      <c r="BH62">
        <f t="shared" si="43"/>
        <v>15</v>
      </c>
      <c r="BI62" s="184" t="s">
        <v>917</v>
      </c>
      <c r="BJ62" s="102">
        <f>SUM(AY19,AY20,AY62,AZ62)</f>
        <v>3.7499099999999995E-3</v>
      </c>
      <c r="BK62" s="102">
        <f ca="1">BJ62+OFFSET($A$34,0,$BH62)+OFFSET($A$36,0,$BH62)-INDEX($B$37:$S$37,$BH62)</f>
        <v>1.0237944179736369</v>
      </c>
      <c r="BL62" s="409">
        <f ca="1">BK62-X15-Driver22!P127-'CHP2'!F72-0</f>
        <v>0.97579441797363686</v>
      </c>
    </row>
    <row r="63" spans="1:64" ht="14.25" customHeight="1">
      <c r="A63" s="259" t="str">
        <f t="shared" si="50"/>
        <v>Non-Metallic minerals (SCG)</v>
      </c>
      <c r="B63" s="259" t="str">
        <f t="shared" si="50"/>
        <v>ISNM</v>
      </c>
      <c r="C63" s="259" t="str">
        <f t="shared" si="50"/>
        <v>Steam Boiler</v>
      </c>
      <c r="D63" s="68">
        <f t="shared" ref="D63:T63" si="56">D46*B$32</f>
        <v>0</v>
      </c>
      <c r="E63" s="68">
        <f t="shared" si="56"/>
        <v>1.5E-3</v>
      </c>
      <c r="F63" s="68">
        <f t="shared" si="56"/>
        <v>0</v>
      </c>
      <c r="G63" s="68">
        <f t="shared" si="56"/>
        <v>0</v>
      </c>
      <c r="H63" s="68">
        <f t="shared" si="56"/>
        <v>0</v>
      </c>
      <c r="I63" s="68">
        <f t="shared" si="56"/>
        <v>0</v>
      </c>
      <c r="J63" s="68">
        <f t="shared" si="56"/>
        <v>0</v>
      </c>
      <c r="K63" s="68">
        <f t="shared" si="56"/>
        <v>0</v>
      </c>
      <c r="L63" s="68">
        <f t="shared" si="56"/>
        <v>0</v>
      </c>
      <c r="M63" s="68">
        <f t="shared" si="56"/>
        <v>6.0000000000000006E-4</v>
      </c>
      <c r="N63" s="68">
        <f t="shared" si="56"/>
        <v>3.0000000000000001E-3</v>
      </c>
      <c r="O63" s="68">
        <f t="shared" si="56"/>
        <v>0</v>
      </c>
      <c r="P63" s="68">
        <f t="shared" si="56"/>
        <v>0</v>
      </c>
      <c r="Q63" s="68">
        <f t="shared" si="56"/>
        <v>0</v>
      </c>
      <c r="R63" s="68">
        <f t="shared" si="56"/>
        <v>0</v>
      </c>
      <c r="S63" s="68">
        <f t="shared" si="56"/>
        <v>0</v>
      </c>
      <c r="T63" s="68">
        <f t="shared" si="56"/>
        <v>2.4E-2</v>
      </c>
      <c r="U63" s="68">
        <f t="shared" si="52"/>
        <v>2.9100000000000001E-2</v>
      </c>
      <c r="V63" s="213"/>
      <c r="W63" s="203"/>
      <c r="AE63" s="184" t="s">
        <v>837</v>
      </c>
      <c r="AF63" s="9">
        <f t="shared" si="37"/>
        <v>17</v>
      </c>
      <c r="AG63" s="9">
        <f t="shared" si="29"/>
        <v>17</v>
      </c>
      <c r="AH63" s="46">
        <f t="shared" si="30"/>
        <v>0</v>
      </c>
      <c r="AI63" s="46">
        <f t="shared" si="31"/>
        <v>0</v>
      </c>
      <c r="AJ63" s="46">
        <f t="shared" si="32"/>
        <v>0</v>
      </c>
      <c r="AK63" s="9">
        <f t="shared" si="33"/>
        <v>0</v>
      </c>
      <c r="AL63" s="46">
        <f t="shared" si="34"/>
        <v>0</v>
      </c>
      <c r="AM63" s="184" t="s">
        <v>826</v>
      </c>
      <c r="AN63" s="9">
        <f t="shared" si="35"/>
        <v>10</v>
      </c>
      <c r="AO63" s="542">
        <f t="shared" ca="1" si="36"/>
        <v>0</v>
      </c>
      <c r="AQ63" s="99" t="s">
        <v>841</v>
      </c>
      <c r="AR63" s="100" t="s">
        <v>805</v>
      </c>
      <c r="AS63" s="134">
        <v>0</v>
      </c>
      <c r="AT63" s="134">
        <v>0</v>
      </c>
      <c r="AU63" s="134">
        <v>0</v>
      </c>
      <c r="AV63" s="134">
        <v>0</v>
      </c>
      <c r="AX63" s="184" t="str">
        <f>$Q$38</f>
        <v>INDGEO</v>
      </c>
      <c r="AY63" s="102">
        <f>AS83</f>
        <v>0</v>
      </c>
      <c r="AZ63" s="102">
        <f>AU83</f>
        <v>0</v>
      </c>
      <c r="BA63" s="102">
        <f>AT83</f>
        <v>0</v>
      </c>
      <c r="BB63" s="102">
        <f>AV83</f>
        <v>0</v>
      </c>
      <c r="BC63" s="2">
        <f t="shared" si="38"/>
        <v>0</v>
      </c>
      <c r="BD63" s="2">
        <f t="shared" si="39"/>
        <v>0</v>
      </c>
      <c r="BE63" s="470">
        <f t="shared" si="40"/>
        <v>0</v>
      </c>
      <c r="BF63" s="470">
        <f t="shared" si="41"/>
        <v>0.78</v>
      </c>
      <c r="BG63" s="470">
        <f t="shared" si="42"/>
        <v>0</v>
      </c>
      <c r="BH63">
        <f t="shared" si="43"/>
        <v>16</v>
      </c>
      <c r="BI63" s="184" t="s">
        <v>950</v>
      </c>
      <c r="BJ63" s="102">
        <f>SUM(AY21,AY63,AZ63)</f>
        <v>0</v>
      </c>
      <c r="BK63" s="102">
        <f ca="1">BJ63+OFFSET($A$34,0,$BH63)+OFFSET($A$36,0,$BH63)-INDEX($B$37:$S$37,$BH63)</f>
        <v>0</v>
      </c>
      <c r="BL63" s="102">
        <f ca="1">BK63</f>
        <v>0</v>
      </c>
    </row>
    <row r="64" spans="1:64" ht="14.25" customHeight="1">
      <c r="A64" s="259" t="str">
        <f t="shared" si="50"/>
        <v>Other Industrial</v>
      </c>
      <c r="B64" s="259" t="str">
        <f t="shared" si="50"/>
        <v>ISOI</v>
      </c>
      <c r="C64" s="259" t="str">
        <f t="shared" si="50"/>
        <v>Steam Boiler</v>
      </c>
      <c r="D64" s="68">
        <f t="shared" ref="D64:M69" si="57">D47*B$33</f>
        <v>0</v>
      </c>
      <c r="E64" s="68">
        <f t="shared" si="57"/>
        <v>1.1636668854450753E-2</v>
      </c>
      <c r="F64" s="68">
        <f t="shared" si="57"/>
        <v>3.3413585665964009E-2</v>
      </c>
      <c r="G64" s="68">
        <f t="shared" si="57"/>
        <v>0</v>
      </c>
      <c r="H64" s="68">
        <f t="shared" si="57"/>
        <v>1.261658297728052E-2</v>
      </c>
      <c r="I64" s="68">
        <f t="shared" si="57"/>
        <v>0</v>
      </c>
      <c r="J64" s="68">
        <f t="shared" si="57"/>
        <v>0</v>
      </c>
      <c r="K64" s="68">
        <f t="shared" si="57"/>
        <v>0</v>
      </c>
      <c r="L64" s="68">
        <f t="shared" si="57"/>
        <v>0</v>
      </c>
      <c r="M64" s="68">
        <f t="shared" si="57"/>
        <v>9.9129423162309781E-3</v>
      </c>
      <c r="N64" s="68">
        <f t="shared" ref="N64:T69" si="58">N47*L$33</f>
        <v>8.3037481623594048E-2</v>
      </c>
      <c r="O64" s="68">
        <f t="shared" si="58"/>
        <v>0</v>
      </c>
      <c r="P64" s="68">
        <f t="shared" si="58"/>
        <v>0</v>
      </c>
      <c r="Q64" s="68">
        <f t="shared" si="58"/>
        <v>0</v>
      </c>
      <c r="R64" s="68">
        <f t="shared" si="58"/>
        <v>0.67728338098022767</v>
      </c>
      <c r="S64" s="68">
        <f t="shared" si="58"/>
        <v>0</v>
      </c>
      <c r="T64" s="68">
        <f t="shared" si="58"/>
        <v>1.124726058498775</v>
      </c>
      <c r="U64" s="68">
        <f t="shared" si="52"/>
        <v>1.952626700916523</v>
      </c>
      <c r="V64" s="213">
        <f t="shared" ref="V64:V69" si="59">U64/$U$70</f>
        <v>0.23249946944939573</v>
      </c>
      <c r="W64" s="203"/>
      <c r="AE64" s="184" t="s">
        <v>838</v>
      </c>
      <c r="AF64" s="9">
        <f t="shared" si="37"/>
        <v>18</v>
      </c>
      <c r="AG64" s="9">
        <f t="shared" si="29"/>
        <v>12</v>
      </c>
      <c r="AH64" s="46">
        <f t="shared" si="30"/>
        <v>7.5200430254700936E-3</v>
      </c>
      <c r="AI64" s="46">
        <f t="shared" si="31"/>
        <v>0</v>
      </c>
      <c r="AJ64" s="46">
        <f t="shared" si="32"/>
        <v>0</v>
      </c>
      <c r="AK64" s="9">
        <f t="shared" si="33"/>
        <v>0</v>
      </c>
      <c r="AL64" s="46">
        <f t="shared" si="34"/>
        <v>7.5200430254700936E-3</v>
      </c>
      <c r="AM64" s="184" t="s">
        <v>826</v>
      </c>
      <c r="AN64" s="9">
        <f t="shared" si="35"/>
        <v>10</v>
      </c>
      <c r="AO64" s="542">
        <f t="shared" ca="1" si="36"/>
        <v>4.4929318457050844E-3</v>
      </c>
      <c r="AQ64" s="99" t="s">
        <v>756</v>
      </c>
      <c r="AR64" s="100" t="s">
        <v>562</v>
      </c>
      <c r="AS64" s="134">
        <v>0</v>
      </c>
      <c r="AT64" s="134">
        <v>0</v>
      </c>
      <c r="AU64" s="134">
        <v>0</v>
      </c>
      <c r="AV64" s="134">
        <v>0</v>
      </c>
      <c r="AX64" s="184" t="s">
        <v>35</v>
      </c>
      <c r="AY64" s="138">
        <f>AS81</f>
        <v>0</v>
      </c>
      <c r="AZ64" s="139"/>
      <c r="BA64" s="138">
        <f>AT81</f>
        <v>0</v>
      </c>
      <c r="BB64" s="139"/>
      <c r="BC64" s="2">
        <f>IF(AY64=0,0.3,MAX(0.15,BA64/AY64*(1-AZ$4)))</f>
        <v>0.3</v>
      </c>
      <c r="BE64" s="470">
        <f t="shared" si="40"/>
        <v>0</v>
      </c>
      <c r="BF64" s="105"/>
      <c r="BG64" s="105"/>
      <c r="BJ64" s="2">
        <f>SUM(BJ49:BJ63)</f>
        <v>0.3042915629472121</v>
      </c>
      <c r="BK64" s="93">
        <f ca="1">SUM(BK49:BK63)</f>
        <v>4.6308517641161133</v>
      </c>
      <c r="BL64" s="93"/>
    </row>
    <row r="65" spans="1:59" ht="14.25" customHeight="1">
      <c r="A65" s="259" t="str">
        <f t="shared" si="50"/>
        <v>Other Industrial</v>
      </c>
      <c r="B65" s="259" t="str">
        <f t="shared" si="50"/>
        <v>IPOI</v>
      </c>
      <c r="C65" s="259" t="str">
        <f t="shared" si="50"/>
        <v>Process Heat</v>
      </c>
      <c r="D65" s="68">
        <f t="shared" si="57"/>
        <v>0.24320382297881241</v>
      </c>
      <c r="E65" s="68">
        <f t="shared" si="57"/>
        <v>5.8183344272253759E-2</v>
      </c>
      <c r="F65" s="68">
        <f t="shared" si="57"/>
        <v>0.26730868532771207</v>
      </c>
      <c r="G65" s="68">
        <f t="shared" si="57"/>
        <v>0</v>
      </c>
      <c r="H65" s="68">
        <f t="shared" si="57"/>
        <v>2.3430796957806681E-2</v>
      </c>
      <c r="I65" s="68">
        <f t="shared" si="57"/>
        <v>0</v>
      </c>
      <c r="J65" s="68">
        <f t="shared" si="57"/>
        <v>0</v>
      </c>
      <c r="K65" s="68">
        <f t="shared" si="57"/>
        <v>0</v>
      </c>
      <c r="L65" s="68">
        <f t="shared" si="57"/>
        <v>5.0867124218388956E-3</v>
      </c>
      <c r="M65" s="68">
        <f t="shared" si="57"/>
        <v>1.9825884632461956E-2</v>
      </c>
      <c r="N65" s="68">
        <f t="shared" si="58"/>
        <v>1.1625247427303165</v>
      </c>
      <c r="O65" s="68">
        <f t="shared" si="58"/>
        <v>0</v>
      </c>
      <c r="P65" s="68">
        <f t="shared" si="58"/>
        <v>0</v>
      </c>
      <c r="Q65" s="68">
        <f t="shared" si="58"/>
        <v>0</v>
      </c>
      <c r="R65" s="68">
        <f t="shared" si="58"/>
        <v>0</v>
      </c>
      <c r="S65" s="68">
        <f t="shared" si="58"/>
        <v>0</v>
      </c>
      <c r="T65" s="68">
        <f t="shared" si="58"/>
        <v>0</v>
      </c>
      <c r="U65" s="68">
        <f t="shared" si="52"/>
        <v>1.7795639893212023</v>
      </c>
      <c r="V65" s="213">
        <f t="shared" si="59"/>
        <v>0.21189287392937164</v>
      </c>
      <c r="W65" s="203"/>
      <c r="AE65" s="184" t="s">
        <v>757</v>
      </c>
      <c r="AF65" s="9">
        <f t="shared" si="37"/>
        <v>31</v>
      </c>
      <c r="AG65" s="9" t="e">
        <f t="shared" si="29"/>
        <v>#N/A</v>
      </c>
      <c r="AH65" s="46">
        <f t="shared" si="30"/>
        <v>0</v>
      </c>
      <c r="AI65" s="46">
        <f t="shared" si="31"/>
        <v>0</v>
      </c>
      <c r="AJ65" s="46">
        <f t="shared" si="32"/>
        <v>0</v>
      </c>
      <c r="AK65" s="9">
        <f t="shared" si="33"/>
        <v>0</v>
      </c>
      <c r="AL65" s="46">
        <f t="shared" si="34"/>
        <v>0</v>
      </c>
      <c r="AM65" s="184" t="s">
        <v>826</v>
      </c>
      <c r="AN65" s="9">
        <f t="shared" si="35"/>
        <v>10</v>
      </c>
      <c r="AO65" s="542">
        <f t="shared" ca="1" si="36"/>
        <v>0</v>
      </c>
      <c r="AQ65" s="99" t="s">
        <v>840</v>
      </c>
      <c r="AR65" s="100" t="s">
        <v>893</v>
      </c>
      <c r="AS65" s="134">
        <v>0</v>
      </c>
      <c r="AT65" s="134">
        <v>0</v>
      </c>
      <c r="AU65" s="134">
        <v>0</v>
      </c>
      <c r="AV65" s="134">
        <v>0</v>
      </c>
      <c r="AX65" s="184" t="s">
        <v>36</v>
      </c>
      <c r="AY65" s="138">
        <f>AS82</f>
        <v>0</v>
      </c>
      <c r="AZ65" s="139"/>
      <c r="BA65" s="138">
        <f>AT82</f>
        <v>0</v>
      </c>
      <c r="BB65" s="139"/>
      <c r="BC65" s="2">
        <f>IF(AY65=0,0,MAX(0.9,BA65/AY65))</f>
        <v>0</v>
      </c>
      <c r="BD65" s="2"/>
      <c r="BE65" s="470">
        <f t="shared" si="40"/>
        <v>0</v>
      </c>
      <c r="BF65" s="105"/>
      <c r="BG65" s="105"/>
    </row>
    <row r="66" spans="1:59" ht="14.25" customHeight="1">
      <c r="A66" s="259" t="str">
        <f t="shared" si="50"/>
        <v>Other Industrial</v>
      </c>
      <c r="B66" s="259" t="str">
        <f t="shared" si="50"/>
        <v>IMOI</v>
      </c>
      <c r="C66" s="259" t="str">
        <f t="shared" si="50"/>
        <v>Machine Drive</v>
      </c>
      <c r="D66" s="68">
        <f t="shared" si="57"/>
        <v>0.89985414502160588</v>
      </c>
      <c r="E66" s="68">
        <f t="shared" si="57"/>
        <v>0</v>
      </c>
      <c r="F66" s="68">
        <f t="shared" si="57"/>
        <v>0</v>
      </c>
      <c r="G66" s="68">
        <f t="shared" si="57"/>
        <v>0</v>
      </c>
      <c r="H66" s="68">
        <f t="shared" si="57"/>
        <v>0</v>
      </c>
      <c r="I66" s="68">
        <f t="shared" si="57"/>
        <v>0</v>
      </c>
      <c r="J66" s="68">
        <f t="shared" si="57"/>
        <v>0</v>
      </c>
      <c r="K66" s="68">
        <f t="shared" si="57"/>
        <v>0</v>
      </c>
      <c r="L66" s="68">
        <f t="shared" si="57"/>
        <v>0</v>
      </c>
      <c r="M66" s="68">
        <f t="shared" si="57"/>
        <v>0</v>
      </c>
      <c r="N66" s="68">
        <f t="shared" si="58"/>
        <v>0</v>
      </c>
      <c r="O66" s="68">
        <f t="shared" si="58"/>
        <v>0</v>
      </c>
      <c r="P66" s="68">
        <f t="shared" si="58"/>
        <v>0</v>
      </c>
      <c r="Q66" s="68">
        <f t="shared" si="58"/>
        <v>0</v>
      </c>
      <c r="R66" s="68">
        <f t="shared" si="58"/>
        <v>0</v>
      </c>
      <c r="S66" s="68">
        <f t="shared" si="58"/>
        <v>0</v>
      </c>
      <c r="T66" s="68">
        <f t="shared" si="58"/>
        <v>0</v>
      </c>
      <c r="U66" s="68">
        <f t="shared" si="52"/>
        <v>0.89985414502160588</v>
      </c>
      <c r="V66" s="213">
        <f t="shared" si="59"/>
        <v>0.10714572898197154</v>
      </c>
      <c r="W66" s="203"/>
      <c r="AE66" s="184" t="s">
        <v>843</v>
      </c>
      <c r="AF66" s="9">
        <f t="shared" si="37"/>
        <v>20</v>
      </c>
      <c r="AG66" s="9">
        <f t="shared" si="29"/>
        <v>8</v>
      </c>
      <c r="AH66" s="46">
        <f t="shared" si="30"/>
        <v>0</v>
      </c>
      <c r="AI66" s="46">
        <f t="shared" si="31"/>
        <v>0</v>
      </c>
      <c r="AJ66" s="46">
        <f t="shared" si="32"/>
        <v>0</v>
      </c>
      <c r="AK66" s="9">
        <f t="shared" si="33"/>
        <v>0</v>
      </c>
      <c r="AL66" s="46">
        <f t="shared" si="34"/>
        <v>0</v>
      </c>
      <c r="AM66" s="184" t="s">
        <v>914</v>
      </c>
      <c r="AN66" s="9">
        <f t="shared" si="35"/>
        <v>11</v>
      </c>
      <c r="AO66" s="542">
        <f t="shared" ca="1" si="36"/>
        <v>0</v>
      </c>
      <c r="AQ66" s="99" t="s">
        <v>839</v>
      </c>
      <c r="AR66" s="100" t="s">
        <v>594</v>
      </c>
      <c r="AS66" s="134">
        <v>0</v>
      </c>
      <c r="AT66" s="134">
        <v>0</v>
      </c>
      <c r="AU66" s="134">
        <v>0</v>
      </c>
      <c r="AV66" s="134">
        <v>0</v>
      </c>
      <c r="AX66" s="184" t="s">
        <v>37</v>
      </c>
      <c r="AY66" s="138">
        <f>AS84</f>
        <v>0</v>
      </c>
      <c r="AZ66" s="139"/>
      <c r="BA66" s="138">
        <f>AT84</f>
        <v>0</v>
      </c>
      <c r="BB66" s="139"/>
      <c r="BC66" s="2">
        <f>IF(AY66=0,0,MAX(0.9,BA66/AY66))</f>
        <v>0</v>
      </c>
      <c r="BE66" s="470">
        <f t="shared" si="40"/>
        <v>0</v>
      </c>
      <c r="BF66" s="105"/>
      <c r="BG66" s="105"/>
    </row>
    <row r="67" spans="1:59" ht="14.25" customHeight="1">
      <c r="A67" s="259" t="str">
        <f t="shared" si="50"/>
        <v>Other Industrial</v>
      </c>
      <c r="B67" s="259" t="str">
        <f t="shared" si="50"/>
        <v>IEOI</v>
      </c>
      <c r="C67" s="259" t="str">
        <f t="shared" si="50"/>
        <v>Specific electricity uses</v>
      </c>
      <c r="D67" s="68">
        <f t="shared" si="57"/>
        <v>0.5593687928512685</v>
      </c>
      <c r="E67" s="68">
        <f t="shared" si="57"/>
        <v>0</v>
      </c>
      <c r="F67" s="68">
        <f t="shared" si="57"/>
        <v>0</v>
      </c>
      <c r="G67" s="68">
        <f t="shared" si="57"/>
        <v>0</v>
      </c>
      <c r="H67" s="68">
        <f t="shared" si="57"/>
        <v>0</v>
      </c>
      <c r="I67" s="68">
        <f t="shared" si="57"/>
        <v>0</v>
      </c>
      <c r="J67" s="68">
        <f t="shared" si="57"/>
        <v>0</v>
      </c>
      <c r="K67" s="68">
        <f t="shared" si="57"/>
        <v>0</v>
      </c>
      <c r="L67" s="68">
        <f t="shared" si="57"/>
        <v>0</v>
      </c>
      <c r="M67" s="68">
        <f t="shared" si="57"/>
        <v>0</v>
      </c>
      <c r="N67" s="68">
        <f t="shared" si="58"/>
        <v>0</v>
      </c>
      <c r="O67" s="68">
        <f t="shared" si="58"/>
        <v>0</v>
      </c>
      <c r="P67" s="68">
        <f t="shared" si="58"/>
        <v>0</v>
      </c>
      <c r="Q67" s="68">
        <f t="shared" si="58"/>
        <v>0</v>
      </c>
      <c r="R67" s="68">
        <f t="shared" si="58"/>
        <v>0</v>
      </c>
      <c r="S67" s="68">
        <f t="shared" si="58"/>
        <v>0</v>
      </c>
      <c r="T67" s="68">
        <f t="shared" si="58"/>
        <v>0</v>
      </c>
      <c r="U67" s="68">
        <f t="shared" si="52"/>
        <v>0.5593687928512685</v>
      </c>
      <c r="V67" s="213">
        <f t="shared" si="59"/>
        <v>6.6604101799603924E-2</v>
      </c>
      <c r="W67" s="203"/>
      <c r="AE67" s="184" t="s">
        <v>833</v>
      </c>
      <c r="AF67" s="9">
        <f t="shared" si="37"/>
        <v>13</v>
      </c>
      <c r="AG67" s="9">
        <f t="shared" si="29"/>
        <v>6</v>
      </c>
      <c r="AH67" s="46">
        <f t="shared" si="30"/>
        <v>0</v>
      </c>
      <c r="AI67" s="46">
        <f t="shared" si="31"/>
        <v>0</v>
      </c>
      <c r="AJ67" s="46">
        <f t="shared" si="32"/>
        <v>0</v>
      </c>
      <c r="AK67" s="9">
        <f t="shared" si="33"/>
        <v>0</v>
      </c>
      <c r="AL67" s="46">
        <f t="shared" si="34"/>
        <v>0</v>
      </c>
      <c r="AM67" s="184" t="s">
        <v>914</v>
      </c>
      <c r="AN67" s="9">
        <f t="shared" si="35"/>
        <v>11</v>
      </c>
      <c r="AO67" s="542">
        <f t="shared" ca="1" si="36"/>
        <v>0</v>
      </c>
      <c r="AQ67" s="99" t="s">
        <v>837</v>
      </c>
      <c r="AR67" s="100" t="s">
        <v>890</v>
      </c>
      <c r="AS67" s="134">
        <v>0</v>
      </c>
      <c r="AT67" s="134">
        <v>0</v>
      </c>
      <c r="AU67" s="134">
        <v>0</v>
      </c>
      <c r="AV67" s="134">
        <v>0</v>
      </c>
      <c r="AX67" s="184" t="s">
        <v>38</v>
      </c>
      <c r="AY67" s="138">
        <f>AS85</f>
        <v>0</v>
      </c>
      <c r="AZ67" s="139"/>
      <c r="BA67" s="138">
        <f>AT85</f>
        <v>0</v>
      </c>
      <c r="BB67" s="139"/>
      <c r="BC67" s="2">
        <f>IF(AY67=0,0,MAX(0.9,BA67/AY67))</f>
        <v>0</v>
      </c>
      <c r="BE67" s="470">
        <f t="shared" si="40"/>
        <v>0</v>
      </c>
      <c r="BF67" s="105"/>
      <c r="BG67" s="105"/>
    </row>
    <row r="68" spans="1:59" ht="14.25" customHeight="1">
      <c r="A68" s="259" t="str">
        <f t="shared" si="50"/>
        <v>Other Industrial</v>
      </c>
      <c r="B68" s="259" t="str">
        <f t="shared" si="50"/>
        <v>n.a.</v>
      </c>
      <c r="C68" s="259" t="str">
        <f t="shared" si="50"/>
        <v xml:space="preserve">Feedstocks </v>
      </c>
      <c r="D68" s="68">
        <f t="shared" si="57"/>
        <v>0</v>
      </c>
      <c r="E68" s="68">
        <f t="shared" si="57"/>
        <v>0</v>
      </c>
      <c r="F68" s="68">
        <f t="shared" si="57"/>
        <v>0</v>
      </c>
      <c r="G68" s="68">
        <f t="shared" si="57"/>
        <v>0</v>
      </c>
      <c r="H68" s="68">
        <f t="shared" si="57"/>
        <v>0</v>
      </c>
      <c r="I68" s="68">
        <f t="shared" si="57"/>
        <v>0</v>
      </c>
      <c r="J68" s="68">
        <f t="shared" si="57"/>
        <v>0</v>
      </c>
      <c r="K68" s="68">
        <f t="shared" si="57"/>
        <v>0</v>
      </c>
      <c r="L68" s="68">
        <f t="shared" si="57"/>
        <v>0</v>
      </c>
      <c r="M68" s="68">
        <f t="shared" si="57"/>
        <v>0</v>
      </c>
      <c r="N68" s="68">
        <f t="shared" si="58"/>
        <v>0</v>
      </c>
      <c r="O68" s="68">
        <f t="shared" si="58"/>
        <v>0</v>
      </c>
      <c r="P68" s="68">
        <f t="shared" si="58"/>
        <v>0</v>
      </c>
      <c r="Q68" s="68">
        <f t="shared" si="58"/>
        <v>0</v>
      </c>
      <c r="R68" s="68">
        <f t="shared" si="58"/>
        <v>0</v>
      </c>
      <c r="S68" s="68">
        <f t="shared" si="58"/>
        <v>0</v>
      </c>
      <c r="T68" s="68">
        <f t="shared" si="58"/>
        <v>0</v>
      </c>
      <c r="U68" s="68">
        <f t="shared" si="52"/>
        <v>0</v>
      </c>
      <c r="V68" s="213">
        <f t="shared" si="59"/>
        <v>0</v>
      </c>
      <c r="W68" s="203"/>
      <c r="AE68" s="184" t="s">
        <v>841</v>
      </c>
      <c r="AF68" s="9">
        <f t="shared" si="37"/>
        <v>21</v>
      </c>
      <c r="AG68" s="9">
        <f t="shared" si="29"/>
        <v>13</v>
      </c>
      <c r="AH68" s="46">
        <f t="shared" si="30"/>
        <v>0.21299999999999999</v>
      </c>
      <c r="AI68" s="46">
        <f t="shared" si="31"/>
        <v>0</v>
      </c>
      <c r="AJ68" s="46">
        <f t="shared" si="32"/>
        <v>0</v>
      </c>
      <c r="AK68" s="9">
        <f t="shared" si="33"/>
        <v>0</v>
      </c>
      <c r="AL68" s="46">
        <f>MAX(0,AH68+AI68-AJ68+AK68)</f>
        <v>0.21299999999999999</v>
      </c>
      <c r="AM68" s="184" t="s">
        <v>915</v>
      </c>
      <c r="AN68" s="9">
        <f t="shared" si="35"/>
        <v>12</v>
      </c>
      <c r="AO68" s="542">
        <f t="shared" ca="1" si="36"/>
        <v>1</v>
      </c>
      <c r="AQ68" s="99" t="s">
        <v>835</v>
      </c>
      <c r="AR68" s="100" t="s">
        <v>802</v>
      </c>
      <c r="AS68" s="134">
        <v>0</v>
      </c>
      <c r="AT68" s="134">
        <v>0</v>
      </c>
      <c r="AU68" s="134">
        <v>6.0001049999999995E-3</v>
      </c>
      <c r="AV68" s="134">
        <v>7.4999999999999997E-3</v>
      </c>
      <c r="AX68" s="184" t="s">
        <v>946</v>
      </c>
      <c r="AY68" s="138">
        <f>AS86</f>
        <v>0</v>
      </c>
      <c r="AZ68" s="138">
        <f>AU86</f>
        <v>0</v>
      </c>
      <c r="BA68" s="138">
        <f>AT86</f>
        <v>0</v>
      </c>
      <c r="BB68" s="138">
        <f>AV86</f>
        <v>0</v>
      </c>
      <c r="BC68" s="2">
        <f>IF(AY68=0,1,MAX(1,BA68/AY68))</f>
        <v>1</v>
      </c>
      <c r="BD68" s="2">
        <f>IF(AZ68=0,0.9,MIN(10,BB68/AZ68))</f>
        <v>0.9</v>
      </c>
      <c r="BE68" s="470">
        <f>BA68</f>
        <v>0</v>
      </c>
      <c r="BF68" s="474">
        <f>10</f>
        <v>10</v>
      </c>
      <c r="BG68" s="470">
        <f>BB68</f>
        <v>0</v>
      </c>
    </row>
    <row r="69" spans="1:59" ht="14.25" customHeight="1">
      <c r="A69" s="259" t="str">
        <f t="shared" si="50"/>
        <v>Other Industrial</v>
      </c>
      <c r="B69" s="259" t="str">
        <f t="shared" si="50"/>
        <v>IOOI</v>
      </c>
      <c r="C69" s="259" t="str">
        <f t="shared" si="50"/>
        <v>Other</v>
      </c>
      <c r="D69" s="68">
        <f t="shared" si="57"/>
        <v>0.72961146893643736</v>
      </c>
      <c r="E69" s="68">
        <f t="shared" si="57"/>
        <v>4.654667541780301E-2</v>
      </c>
      <c r="F69" s="68">
        <f t="shared" si="57"/>
        <v>3.3413585665964002E-2</v>
      </c>
      <c r="G69" s="68">
        <f t="shared" si="57"/>
        <v>0</v>
      </c>
      <c r="H69" s="68">
        <f t="shared" si="57"/>
        <v>0</v>
      </c>
      <c r="I69" s="68">
        <f t="shared" si="57"/>
        <v>0</v>
      </c>
      <c r="J69" s="68">
        <f t="shared" si="57"/>
        <v>0</v>
      </c>
      <c r="K69" s="68">
        <f t="shared" si="57"/>
        <v>0</v>
      </c>
      <c r="L69" s="68">
        <f t="shared" si="57"/>
        <v>0</v>
      </c>
      <c r="M69" s="68">
        <f t="shared" si="57"/>
        <v>6.9390596213616831E-2</v>
      </c>
      <c r="N69" s="68">
        <f t="shared" si="58"/>
        <v>0.41518740811797022</v>
      </c>
      <c r="O69" s="68">
        <f t="shared" si="58"/>
        <v>0</v>
      </c>
      <c r="P69" s="68">
        <f t="shared" si="58"/>
        <v>0</v>
      </c>
      <c r="Q69" s="68">
        <f t="shared" si="58"/>
        <v>0</v>
      </c>
      <c r="R69" s="68">
        <f t="shared" si="58"/>
        <v>0.22576112699340922</v>
      </c>
      <c r="S69" s="68">
        <f t="shared" si="58"/>
        <v>0</v>
      </c>
      <c r="T69" s="68">
        <f t="shared" si="58"/>
        <v>1.6870890877481624</v>
      </c>
      <c r="U69" s="68">
        <f t="shared" si="52"/>
        <v>3.2069999490933627</v>
      </c>
      <c r="V69" s="213">
        <f t="shared" si="59"/>
        <v>0.38185782583965716</v>
      </c>
      <c r="W69" s="203"/>
      <c r="AE69" s="184" t="s">
        <v>842</v>
      </c>
      <c r="AF69" s="9">
        <f t="shared" si="37"/>
        <v>22</v>
      </c>
      <c r="AG69" s="9">
        <f t="shared" si="29"/>
        <v>29</v>
      </c>
      <c r="AH69" s="46">
        <f t="shared" si="30"/>
        <v>0.05</v>
      </c>
      <c r="AI69" s="46">
        <f t="shared" si="31"/>
        <v>0</v>
      </c>
      <c r="AJ69" s="46">
        <f t="shared" si="32"/>
        <v>0</v>
      </c>
      <c r="AK69" s="9">
        <f t="shared" si="33"/>
        <v>0</v>
      </c>
      <c r="AL69" s="46">
        <f t="shared" ref="AL69:AL76" si="60">AH69+AI69-AJ69+AK69</f>
        <v>0.05</v>
      </c>
      <c r="AM69" s="184" t="s">
        <v>916</v>
      </c>
      <c r="AN69" s="9">
        <f t="shared" si="35"/>
        <v>13</v>
      </c>
      <c r="AO69" s="542">
        <f t="shared" ca="1" si="36"/>
        <v>1</v>
      </c>
      <c r="AQ69" s="99" t="s">
        <v>902</v>
      </c>
      <c r="AR69" s="100" t="s">
        <v>902</v>
      </c>
      <c r="AS69" s="137">
        <v>0</v>
      </c>
      <c r="AT69" s="137">
        <v>0</v>
      </c>
      <c r="AU69" s="137">
        <v>6.0001049999999995E-3</v>
      </c>
      <c r="AV69" s="137">
        <v>7.4999999999999997E-3</v>
      </c>
      <c r="AX69" s="596" t="s">
        <v>782</v>
      </c>
      <c r="AY69" s="600">
        <f>SUM(AY49:AY68)</f>
        <v>0</v>
      </c>
      <c r="AZ69" s="600">
        <f>SUM(AZ49:AZ68)</f>
        <v>2.1900314999999997E-2</v>
      </c>
      <c r="BA69" s="600">
        <f>SUM(BA49:BA64)*(1-$AZ$4)+SUM(BA65:BA68)</f>
        <v>0</v>
      </c>
      <c r="BB69" s="600">
        <f>SUM(BB49:BB68)</f>
        <v>2.205E-2</v>
      </c>
      <c r="BC69" s="2">
        <f>IF(AY69=0,0,BA69/AY69)</f>
        <v>0</v>
      </c>
      <c r="BD69" s="2">
        <f>IF(AZ69=0,0,BB69/AZ69)</f>
        <v>1.0068348331976049</v>
      </c>
      <c r="BE69" s="600">
        <f>SUM(BE49:BE68)</f>
        <v>0</v>
      </c>
      <c r="BF69" s="601">
        <f>IF(AZ69&gt;0,BG69/AZ69)</f>
        <v>0.88</v>
      </c>
      <c r="BG69" s="602">
        <f>SUM(BG49:BG68)</f>
        <v>1.9272277199999997E-2</v>
      </c>
    </row>
    <row r="70" spans="1:59" ht="14.25" customHeight="1">
      <c r="A70" s="259"/>
      <c r="B70" s="259"/>
      <c r="C70" s="259"/>
      <c r="D70" s="261">
        <f t="shared" ref="D70:U70" si="61">SUM(D64:D69)</f>
        <v>2.432038229788124</v>
      </c>
      <c r="E70" s="261">
        <f t="shared" si="61"/>
        <v>0.11636668854450752</v>
      </c>
      <c r="F70" s="261">
        <f t="shared" si="61"/>
        <v>0.33413585665964007</v>
      </c>
      <c r="G70" s="261">
        <f t="shared" si="61"/>
        <v>0</v>
      </c>
      <c r="H70" s="261">
        <f t="shared" si="61"/>
        <v>3.60473799350872E-2</v>
      </c>
      <c r="I70" s="261">
        <f t="shared" si="61"/>
        <v>0</v>
      </c>
      <c r="J70" s="261">
        <f t="shared" si="61"/>
        <v>0</v>
      </c>
      <c r="K70" s="261">
        <f t="shared" si="61"/>
        <v>0</v>
      </c>
      <c r="L70" s="261">
        <f t="shared" si="61"/>
        <v>5.0867124218388956E-3</v>
      </c>
      <c r="M70" s="261">
        <f t="shared" si="61"/>
        <v>9.9129423162309771E-2</v>
      </c>
      <c r="N70" s="261">
        <f t="shared" si="61"/>
        <v>1.6607496324718809</v>
      </c>
      <c r="O70" s="261">
        <f t="shared" si="61"/>
        <v>0</v>
      </c>
      <c r="P70" s="261">
        <f t="shared" si="61"/>
        <v>0</v>
      </c>
      <c r="Q70" s="261">
        <f t="shared" si="61"/>
        <v>0</v>
      </c>
      <c r="R70" s="261">
        <f t="shared" si="61"/>
        <v>0.90304450797363689</v>
      </c>
      <c r="S70" s="261">
        <f t="shared" si="61"/>
        <v>0</v>
      </c>
      <c r="T70" s="261">
        <f t="shared" si="61"/>
        <v>2.8118151462469374</v>
      </c>
      <c r="U70" s="261">
        <f t="shared" si="61"/>
        <v>8.3984135772039625</v>
      </c>
      <c r="V70" s="203"/>
      <c r="W70" s="203"/>
      <c r="AE70" s="184" t="s">
        <v>606</v>
      </c>
      <c r="AF70" s="9">
        <f t="shared" si="37"/>
        <v>23</v>
      </c>
      <c r="AG70" s="9">
        <f t="shared" si="29"/>
        <v>23</v>
      </c>
      <c r="AH70" s="46">
        <f t="shared" si="30"/>
        <v>0.94418685016436044</v>
      </c>
      <c r="AI70" s="46">
        <f t="shared" si="31"/>
        <v>0</v>
      </c>
      <c r="AJ70" s="46">
        <f t="shared" si="32"/>
        <v>0</v>
      </c>
      <c r="AK70" s="9">
        <f t="shared" si="33"/>
        <v>0</v>
      </c>
      <c r="AL70" s="46">
        <f t="shared" si="60"/>
        <v>0.94418685016436044</v>
      </c>
      <c r="AM70" s="184" t="s">
        <v>917</v>
      </c>
      <c r="AN70" s="9">
        <f t="shared" si="35"/>
        <v>14</v>
      </c>
      <c r="AO70" s="542">
        <f t="shared" ref="AO70:AO75" ca="1" si="62">AL70/MAX(Tiny,AL70,INDEX(BL$49:BL$63,AN70))</f>
        <v>0.96760837403137268</v>
      </c>
      <c r="AQ70" s="99" t="s">
        <v>607</v>
      </c>
      <c r="AR70" s="100" t="s">
        <v>652</v>
      </c>
      <c r="AS70" s="134">
        <v>0</v>
      </c>
      <c r="AT70" s="134">
        <v>0</v>
      </c>
      <c r="AU70" s="134">
        <v>0</v>
      </c>
      <c r="AV70" s="134">
        <v>0</v>
      </c>
      <c r="AY70" t="s">
        <v>1001</v>
      </c>
      <c r="BA70" s="599">
        <f>MAX(0.01,SUMPRODUCT(AY49:AY67,BC49:BC67)+BA68)</f>
        <v>0.01</v>
      </c>
      <c r="BD70" t="s">
        <v>1001</v>
      </c>
      <c r="BE70" s="599">
        <f>BE69</f>
        <v>0</v>
      </c>
    </row>
    <row r="71" spans="1:59" ht="14.25" customHeight="1">
      <c r="A71" s="259" t="s">
        <v>885</v>
      </c>
      <c r="B71" s="259" t="s">
        <v>1332</v>
      </c>
      <c r="C71" s="259" t="s">
        <v>1333</v>
      </c>
      <c r="D71" s="440">
        <f>MIN(D54*($AO$20),B$33*D$48)</f>
        <v>9.4363115639231891E-4</v>
      </c>
      <c r="E71" s="429"/>
      <c r="F71" s="440">
        <f>MIN(F54*($AN$20-$AO$20),D$33*F$48)</f>
        <v>5.6840917381986635E-4</v>
      </c>
      <c r="G71" s="429"/>
      <c r="H71" s="429"/>
      <c r="I71" s="429"/>
      <c r="J71" s="429"/>
      <c r="K71" s="429"/>
      <c r="L71" s="429"/>
      <c r="M71" s="429"/>
      <c r="N71" s="440">
        <f>MIN(N54*($AN$20-$AO$20),L$33*N$48)</f>
        <v>3.085649800736417E-3</v>
      </c>
      <c r="O71" s="429"/>
      <c r="P71" s="429"/>
      <c r="Q71" s="429"/>
      <c r="R71" s="429"/>
      <c r="S71" s="429"/>
      <c r="T71" s="429"/>
      <c r="U71" s="441">
        <f>SUM(D71:T71)</f>
        <v>4.5976901309486024E-3</v>
      </c>
      <c r="V71" s="203"/>
      <c r="W71" s="203"/>
      <c r="AE71" s="184" t="s">
        <v>846</v>
      </c>
      <c r="AF71" s="9">
        <f t="shared" si="37"/>
        <v>24</v>
      </c>
      <c r="AG71" s="9" t="e">
        <f t="shared" si="29"/>
        <v>#N/A</v>
      </c>
      <c r="AH71" s="46">
        <f t="shared" si="30"/>
        <v>0</v>
      </c>
      <c r="AI71" s="46">
        <f t="shared" si="31"/>
        <v>0</v>
      </c>
      <c r="AJ71" s="46">
        <f t="shared" si="32"/>
        <v>0</v>
      </c>
      <c r="AK71" s="9">
        <f t="shared" si="33"/>
        <v>0</v>
      </c>
      <c r="AL71" s="46">
        <f t="shared" si="60"/>
        <v>0</v>
      </c>
      <c r="AM71" s="184" t="s">
        <v>917</v>
      </c>
      <c r="AN71" s="9">
        <f t="shared" si="35"/>
        <v>14</v>
      </c>
      <c r="AO71" s="542">
        <f t="shared" ca="1" si="62"/>
        <v>0</v>
      </c>
      <c r="AQ71" s="99" t="s">
        <v>609</v>
      </c>
      <c r="AR71" s="100" t="s">
        <v>595</v>
      </c>
      <c r="AS71" s="134">
        <v>0</v>
      </c>
      <c r="AT71" s="134">
        <v>0</v>
      </c>
      <c r="AU71" s="134">
        <v>0</v>
      </c>
      <c r="AV71" s="134">
        <v>0</v>
      </c>
    </row>
    <row r="72" spans="1:59" ht="14.25" customHeight="1">
      <c r="A72" s="259" t="s">
        <v>885</v>
      </c>
      <c r="B72" s="259" t="s">
        <v>1332</v>
      </c>
      <c r="C72" s="259" t="s">
        <v>1118</v>
      </c>
      <c r="D72" s="440">
        <f>MIN(D55*($AO$23),B$33*D$48-D71)</f>
        <v>8.9559993599999999E-2</v>
      </c>
      <c r="E72" s="429"/>
      <c r="F72" s="440">
        <f>MIN(F55*($AN$23-$AO$23),D$33*F$48-F71)</f>
        <v>0.16154735097780515</v>
      </c>
      <c r="G72" s="429"/>
      <c r="H72" s="429"/>
      <c r="I72" s="429"/>
      <c r="J72" s="429"/>
      <c r="K72" s="429"/>
      <c r="L72" s="429"/>
      <c r="M72" s="429"/>
      <c r="N72" s="440">
        <f>MIN(N55*($AN$23-$AO$23),L$33*N$48-N71)</f>
        <v>1.1594390929295801</v>
      </c>
      <c r="O72" s="429"/>
      <c r="P72" s="429"/>
      <c r="Q72" s="429"/>
      <c r="R72" s="429"/>
      <c r="S72" s="429"/>
      <c r="T72" s="429"/>
      <c r="U72" s="441">
        <f>SUM(D72:T72)</f>
        <v>1.4105464375073853</v>
      </c>
      <c r="AE72" s="184" t="s">
        <v>1289</v>
      </c>
      <c r="AF72" s="9">
        <f t="shared" si="37"/>
        <v>25</v>
      </c>
      <c r="AG72" s="9" t="e">
        <f>MATCH($AE72,AQ$51:AQ$83,0)</f>
        <v>#N/A</v>
      </c>
      <c r="AH72" s="46">
        <f t="shared" si="30"/>
        <v>1.9356815772359262E-4</v>
      </c>
      <c r="AI72" s="46">
        <f t="shared" si="31"/>
        <v>0</v>
      </c>
      <c r="AJ72" s="46">
        <f t="shared" si="32"/>
        <v>0</v>
      </c>
      <c r="AK72" s="9">
        <f>IF(ISNA($AG72),0,INDEX(AS$7:AS$36,$AG72)+INDEX(AS$51:AS$80,$AG72)+INDEX(AU$51:AU$80,$AG72))</f>
        <v>0</v>
      </c>
      <c r="AL72" s="46">
        <f t="shared" si="60"/>
        <v>1.9356815772359262E-4</v>
      </c>
      <c r="AM72" s="184" t="s">
        <v>917</v>
      </c>
      <c r="AN72" s="9">
        <f>MATCH(AM72,BI$49:BI$63,0)</f>
        <v>14</v>
      </c>
      <c r="AO72" s="542">
        <f t="shared" ca="1" si="62"/>
        <v>1.9836981454101973E-4</v>
      </c>
      <c r="AQ72" s="99" t="s">
        <v>608</v>
      </c>
      <c r="AR72" s="100" t="s">
        <v>178</v>
      </c>
      <c r="AS72" s="134">
        <v>0</v>
      </c>
      <c r="AT72" s="134">
        <v>0</v>
      </c>
      <c r="AU72" s="134">
        <v>3.7499099999999995E-3</v>
      </c>
      <c r="AV72" s="134">
        <v>3.2999999999999995E-3</v>
      </c>
    </row>
    <row r="73" spans="1:59" ht="14.25" customHeight="1">
      <c r="A73" s="259" t="s">
        <v>885</v>
      </c>
      <c r="B73" s="259" t="s">
        <v>1332</v>
      </c>
      <c r="C73" t="s">
        <v>1495</v>
      </c>
      <c r="D73" s="3">
        <f t="shared" ref="D73:U73" si="63">SUM(D71:D72)</f>
        <v>9.0503624756392315E-2</v>
      </c>
      <c r="E73" s="3">
        <f t="shared" si="63"/>
        <v>0</v>
      </c>
      <c r="F73" s="3">
        <f t="shared" si="63"/>
        <v>0.16211576015162502</v>
      </c>
      <c r="G73" s="3">
        <f t="shared" si="63"/>
        <v>0</v>
      </c>
      <c r="H73" s="3">
        <f t="shared" si="63"/>
        <v>0</v>
      </c>
      <c r="I73" s="3">
        <f t="shared" si="63"/>
        <v>0</v>
      </c>
      <c r="J73" s="3">
        <f t="shared" si="63"/>
        <v>0</v>
      </c>
      <c r="K73" s="3">
        <f t="shared" si="63"/>
        <v>0</v>
      </c>
      <c r="L73" s="3">
        <f t="shared" si="63"/>
        <v>0</v>
      </c>
      <c r="M73" s="3">
        <f t="shared" si="63"/>
        <v>0</v>
      </c>
      <c r="N73" s="3">
        <f t="shared" si="63"/>
        <v>1.1625247427303165</v>
      </c>
      <c r="O73" s="3">
        <f t="shared" si="63"/>
        <v>0</v>
      </c>
      <c r="P73" s="3">
        <f t="shared" si="63"/>
        <v>0</v>
      </c>
      <c r="Q73" s="3">
        <f t="shared" si="63"/>
        <v>0</v>
      </c>
      <c r="R73" s="3">
        <f t="shared" si="63"/>
        <v>0</v>
      </c>
      <c r="S73" s="3">
        <f t="shared" si="63"/>
        <v>0</v>
      </c>
      <c r="T73" s="3">
        <f t="shared" si="63"/>
        <v>0</v>
      </c>
      <c r="U73" s="3">
        <f t="shared" si="63"/>
        <v>1.4151441276383339</v>
      </c>
      <c r="AE73" s="184" t="s">
        <v>847</v>
      </c>
      <c r="AF73" s="9">
        <f>MATCH(AE73,$B$24:$AJ$24,0)</f>
        <v>26</v>
      </c>
      <c r="AG73" s="9">
        <f>MATCH("bioblq",AQ$51:AQ$80,0)</f>
        <v>20</v>
      </c>
      <c r="AH73" s="46">
        <f>INDEX($B$18:$AK$18,$AF73)</f>
        <v>1.0032749536917036E-2</v>
      </c>
      <c r="AI73" s="46">
        <f>INDEX($B$20:$AK$20,$AF73)</f>
        <v>0</v>
      </c>
      <c r="AJ73" s="46">
        <f>INDEX($B$21:$AK$21,$AF73)</f>
        <v>0</v>
      </c>
      <c r="AK73" s="9">
        <f>IF(ISNA($AG73),0,INDEX(AS$7:AS$36,$AG73)+INDEX(AS$51:AS$80,$AG73)+INDEX(AU$51:AU$80,$AG73))</f>
        <v>0</v>
      </c>
      <c r="AL73" s="46">
        <f t="shared" si="60"/>
        <v>1.0032749536917036E-2</v>
      </c>
      <c r="AM73" s="184" t="s">
        <v>917</v>
      </c>
      <c r="AN73" s="9">
        <f>MATCH(AM73,BI$49:BI$63,0)</f>
        <v>14</v>
      </c>
      <c r="AO73" s="542">
        <f t="shared" ca="1" si="62"/>
        <v>1.0281622186106922E-2</v>
      </c>
      <c r="AQ73" s="99" t="s">
        <v>606</v>
      </c>
      <c r="AR73" s="100" t="s">
        <v>947</v>
      </c>
      <c r="AS73" s="134">
        <v>0</v>
      </c>
      <c r="AT73" s="134">
        <v>0</v>
      </c>
      <c r="AU73" s="134">
        <v>0</v>
      </c>
      <c r="AV73" s="134">
        <v>0</v>
      </c>
    </row>
    <row r="74" spans="1:59" ht="14.25" customHeight="1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AE74" s="184" t="s">
        <v>608</v>
      </c>
      <c r="AF74" s="9">
        <f>MATCH(AE74,$B$24:$AJ$24,0)</f>
        <v>27</v>
      </c>
      <c r="AG74" s="9">
        <f>MATCH($AE74,AQ$51:AQ$83,0)</f>
        <v>22</v>
      </c>
      <c r="AH74" s="46">
        <f>INDEX($B$18:$AK$18,$AF74)</f>
        <v>5.5836662228293837E-2</v>
      </c>
      <c r="AI74" s="46">
        <f>INDEX($B$20:$AK$20,$AF74)</f>
        <v>0</v>
      </c>
      <c r="AJ74" s="46">
        <f>INDEX($B$21:$AK$21,$AF74)</f>
        <v>0</v>
      </c>
      <c r="AK74" s="9">
        <f>IF(ISNA($AG74),0,INDEX(AS$7:AS$36,$AG74)+INDEX(AS$51:AS$80,$AG74)+INDEX(AU$51:AU$80,$AG74))</f>
        <v>3.7499099999999995E-3</v>
      </c>
      <c r="AL74" s="46">
        <f t="shared" si="60"/>
        <v>5.958657222829384E-2</v>
      </c>
      <c r="AM74" s="184" t="s">
        <v>917</v>
      </c>
      <c r="AN74" s="9">
        <f>MATCH(AM74,BI$49:BI$63,0)</f>
        <v>14</v>
      </c>
      <c r="AO74" s="542">
        <f t="shared" ca="1" si="62"/>
        <v>6.10646783079914E-2</v>
      </c>
      <c r="AQ74" s="99" t="s">
        <v>596</v>
      </c>
      <c r="AR74" s="100" t="s">
        <v>597</v>
      </c>
      <c r="AS74" s="134">
        <v>0</v>
      </c>
      <c r="AT74" s="134">
        <v>0</v>
      </c>
      <c r="AU74" s="134">
        <v>0</v>
      </c>
      <c r="AV74" s="134">
        <v>0</v>
      </c>
    </row>
    <row r="75" spans="1:59" ht="14.25" customHeight="1">
      <c r="AE75" s="184" t="s">
        <v>609</v>
      </c>
      <c r="AF75" s="9">
        <f>MATCH(AE75,$B$24:$AJ$24,0)</f>
        <v>28</v>
      </c>
      <c r="AG75" s="9">
        <f>MATCH($AE75,AQ$51:AQ$83,0)</f>
        <v>21</v>
      </c>
      <c r="AH75" s="46">
        <f>INDEX($B$18:$AK$18,$AF75)</f>
        <v>9.7946778863419685E-3</v>
      </c>
      <c r="AI75" s="46">
        <f>INDEX($B$20:$AK$20,$AF75)</f>
        <v>0</v>
      </c>
      <c r="AJ75" s="46">
        <f>INDEX($B$21:$AK$21,$AF75)</f>
        <v>0</v>
      </c>
      <c r="AK75" s="9">
        <f>IF(ISNA($AG75),0,INDEX(AS$7:AS$36,$AG75)+INDEX(AS$51:AS$80,$AG75)+INDEX(AU$51:AU$80,$AG75))</f>
        <v>0</v>
      </c>
      <c r="AL75" s="46">
        <f t="shared" si="60"/>
        <v>9.7946778863419685E-3</v>
      </c>
      <c r="AM75" s="184" t="s">
        <v>917</v>
      </c>
      <c r="AN75" s="9">
        <f>MATCH(AM75,BI$49:BI$63,0)</f>
        <v>14</v>
      </c>
      <c r="AO75" s="542">
        <f t="shared" ca="1" si="62"/>
        <v>1.0037644923898911E-2</v>
      </c>
      <c r="AQ75" s="99" t="s">
        <v>902</v>
      </c>
      <c r="AR75" s="100" t="s">
        <v>902</v>
      </c>
      <c r="AS75" s="137">
        <v>0</v>
      </c>
      <c r="AT75" s="137">
        <v>0</v>
      </c>
      <c r="AU75" s="137">
        <v>3.7499099999999995E-3</v>
      </c>
      <c r="AV75" s="137">
        <v>3.2999999999999995E-3</v>
      </c>
    </row>
    <row r="76" spans="1:59" ht="14.25" customHeight="1">
      <c r="A76" s="237" t="s">
        <v>977</v>
      </c>
      <c r="B76" s="203"/>
      <c r="C76" s="203" t="s">
        <v>93</v>
      </c>
      <c r="D76" s="238">
        <f t="shared" ref="D76:U76" si="64">D64+D63+D62+D61+D60+D59</f>
        <v>0</v>
      </c>
      <c r="E76" s="238">
        <f t="shared" si="64"/>
        <v>3.9414608962915737E-2</v>
      </c>
      <c r="F76" s="238">
        <f t="shared" si="64"/>
        <v>3.3413585665964009E-2</v>
      </c>
      <c r="G76" s="238">
        <f t="shared" si="64"/>
        <v>0</v>
      </c>
      <c r="H76" s="238">
        <f t="shared" si="64"/>
        <v>1.3616582977280519E-2</v>
      </c>
      <c r="I76" s="238">
        <f t="shared" si="64"/>
        <v>0</v>
      </c>
      <c r="J76" s="238">
        <f t="shared" si="64"/>
        <v>0</v>
      </c>
      <c r="K76" s="238">
        <f t="shared" si="64"/>
        <v>0</v>
      </c>
      <c r="L76" s="238">
        <f t="shared" si="64"/>
        <v>2E-3</v>
      </c>
      <c r="M76" s="238">
        <f t="shared" si="64"/>
        <v>1.5814077687410024E-2</v>
      </c>
      <c r="N76" s="238">
        <f t="shared" si="64"/>
        <v>8.603748162359405E-2</v>
      </c>
      <c r="O76" s="238">
        <f t="shared" si="64"/>
        <v>0</v>
      </c>
      <c r="P76" s="238">
        <f t="shared" si="64"/>
        <v>0</v>
      </c>
      <c r="Q76" s="238">
        <f t="shared" si="64"/>
        <v>0</v>
      </c>
      <c r="R76" s="238">
        <f t="shared" si="64"/>
        <v>0.72528338098022771</v>
      </c>
      <c r="S76" s="238">
        <f t="shared" si="64"/>
        <v>0</v>
      </c>
      <c r="T76" s="238">
        <f t="shared" si="64"/>
        <v>1.3567260584987748</v>
      </c>
      <c r="U76" s="238">
        <f t="shared" si="64"/>
        <v>2.2723057763961672</v>
      </c>
      <c r="V76" s="203"/>
      <c r="W76" s="203"/>
      <c r="AE76" s="184" t="s">
        <v>845</v>
      </c>
      <c r="AF76" s="9">
        <f>MATCH(AE76,$B$24:$AJ$24,0)</f>
        <v>30</v>
      </c>
      <c r="AG76" s="9" t="e">
        <f>MATCH($AE76,AQ$51:AQ$83,0)</f>
        <v>#N/A</v>
      </c>
      <c r="AH76" s="46">
        <f>INDEX($B$18:$AK$18,$AF76)</f>
        <v>0</v>
      </c>
      <c r="AI76" s="46">
        <f>INDEX($B$20:$AK$20,$AF76)</f>
        <v>0</v>
      </c>
      <c r="AJ76" s="46">
        <f>INDEX($B$21:$AK$21,$AF76)</f>
        <v>0</v>
      </c>
      <c r="AK76" s="9">
        <f>IF(ISNA($AG76),0,INDEX(AS$7:AS$39,$AG76)+INDEX(AS$51:AS$83,$AG76)+INDEX(AU$51:AU$83,$AG76))</f>
        <v>0</v>
      </c>
      <c r="AL76" s="46">
        <f t="shared" si="60"/>
        <v>0</v>
      </c>
      <c r="AM76" s="184" t="s">
        <v>950</v>
      </c>
      <c r="AN76" s="9">
        <f>MATCH(AM76,BI$49:BI$63,0)</f>
        <v>15</v>
      </c>
      <c r="AO76" s="542">
        <f ca="1">AL76/MAX(Tiny,INDEX(BK$49:BK$63,AN76))</f>
        <v>0</v>
      </c>
      <c r="AQ76" s="103" t="s">
        <v>953</v>
      </c>
      <c r="AR76" s="100" t="s">
        <v>193</v>
      </c>
      <c r="AS76" s="134">
        <v>0</v>
      </c>
      <c r="AT76" s="134">
        <v>0</v>
      </c>
      <c r="AU76" s="134">
        <v>0</v>
      </c>
      <c r="AV76" s="134">
        <v>0</v>
      </c>
    </row>
    <row r="77" spans="1:59" ht="14.25" customHeight="1">
      <c r="A77" s="203"/>
      <c r="B77" s="203"/>
      <c r="C77" s="203"/>
      <c r="D77" s="213">
        <f t="shared" ref="D77:U77" si="65">D76/$U76</f>
        <v>0</v>
      </c>
      <c r="E77" s="213">
        <f t="shared" si="65"/>
        <v>1.734564483897345E-2</v>
      </c>
      <c r="F77" s="213">
        <f t="shared" si="65"/>
        <v>1.4704704803839079E-2</v>
      </c>
      <c r="G77" s="213">
        <f t="shared" si="65"/>
        <v>0</v>
      </c>
      <c r="H77" s="213">
        <f t="shared" si="65"/>
        <v>5.9924078522900891E-3</v>
      </c>
      <c r="I77" s="213">
        <f t="shared" si="65"/>
        <v>0</v>
      </c>
      <c r="J77" s="213">
        <f t="shared" si="65"/>
        <v>0</v>
      </c>
      <c r="K77" s="213">
        <f t="shared" si="65"/>
        <v>0</v>
      </c>
      <c r="L77" s="213">
        <f t="shared" si="65"/>
        <v>8.8016323365245372E-4</v>
      </c>
      <c r="M77" s="213">
        <f t="shared" si="65"/>
        <v>6.9594848772909623E-3</v>
      </c>
      <c r="N77" s="213">
        <f t="shared" si="65"/>
        <v>3.7863514020568055E-2</v>
      </c>
      <c r="O77" s="213">
        <f t="shared" si="65"/>
        <v>0</v>
      </c>
      <c r="P77" s="213">
        <f t="shared" si="65"/>
        <v>0</v>
      </c>
      <c r="Q77" s="213">
        <f t="shared" si="65"/>
        <v>0</v>
      </c>
      <c r="R77" s="213">
        <f t="shared" si="65"/>
        <v>0.31918388295897088</v>
      </c>
      <c r="S77" s="213">
        <f t="shared" si="65"/>
        <v>0</v>
      </c>
      <c r="T77" s="213">
        <f t="shared" si="65"/>
        <v>0.59707019741441492</v>
      </c>
      <c r="U77" s="213">
        <f t="shared" si="65"/>
        <v>1</v>
      </c>
      <c r="V77" s="203"/>
      <c r="W77" s="203"/>
      <c r="AJ77" s="93">
        <f>SUM(AJ48:AJ76)</f>
        <v>0</v>
      </c>
      <c r="AL77" s="93">
        <f>SUM(AL48:AL76)</f>
        <v>4.6308517641161133</v>
      </c>
      <c r="AQ77" s="103" t="s">
        <v>952</v>
      </c>
      <c r="AR77" s="100" t="s">
        <v>598</v>
      </c>
      <c r="AS77" s="134">
        <v>0</v>
      </c>
      <c r="AT77" s="134">
        <v>0</v>
      </c>
      <c r="AU77" s="134">
        <v>0</v>
      </c>
      <c r="AV77" s="134">
        <v>0</v>
      </c>
    </row>
    <row r="78" spans="1:59" ht="14.25" customHeight="1">
      <c r="A78" s="86" t="s">
        <v>989</v>
      </c>
      <c r="B78" s="106"/>
      <c r="C78" s="107"/>
      <c r="D78" s="88"/>
      <c r="E78" s="88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AQ78" s="103" t="s">
        <v>954</v>
      </c>
      <c r="AR78" s="100" t="s">
        <v>799</v>
      </c>
      <c r="AS78" s="134">
        <v>0</v>
      </c>
      <c r="AT78" s="134">
        <v>0</v>
      </c>
      <c r="AU78" s="134">
        <v>0</v>
      </c>
      <c r="AV78" s="134">
        <v>0</v>
      </c>
    </row>
    <row r="79" spans="1:59" ht="14.25" customHeight="1">
      <c r="A79" s="203"/>
      <c r="B79" s="203"/>
      <c r="C79" s="203"/>
      <c r="D79" s="262" t="str">
        <f t="shared" ref="D79:U79" si="66">B38</f>
        <v>INDELC</v>
      </c>
      <c r="E79" s="262" t="str">
        <f t="shared" si="66"/>
        <v>INDNGA</v>
      </c>
      <c r="F79" s="262" t="str">
        <f t="shared" si="66"/>
        <v>INDLPG</v>
      </c>
      <c r="G79" s="262" t="str">
        <f t="shared" si="66"/>
        <v>INDNGL</v>
      </c>
      <c r="H79" s="262" t="str">
        <f t="shared" si="66"/>
        <v>INDCOA</v>
      </c>
      <c r="I79" s="262" t="str">
        <f t="shared" si="66"/>
        <v>INDCOK</v>
      </c>
      <c r="J79" s="262" t="str">
        <f t="shared" si="66"/>
        <v>INDCOG</v>
      </c>
      <c r="K79" s="262" t="str">
        <f t="shared" si="66"/>
        <v>INDBFG</v>
      </c>
      <c r="L79" s="262" t="str">
        <f t="shared" si="66"/>
        <v>INDBCO</v>
      </c>
      <c r="M79" s="262" t="str">
        <f t="shared" si="66"/>
        <v>INDHFO</v>
      </c>
      <c r="N79" s="262" t="str">
        <f t="shared" si="66"/>
        <v>INDOIL</v>
      </c>
      <c r="O79" s="262" t="str">
        <f t="shared" si="66"/>
        <v>INDETH</v>
      </c>
      <c r="P79" s="262" t="str">
        <f t="shared" si="66"/>
        <v>INDNAP</v>
      </c>
      <c r="Q79" s="262" t="str">
        <f t="shared" si="66"/>
        <v>INDPTC</v>
      </c>
      <c r="R79" s="262" t="str">
        <f t="shared" si="66"/>
        <v>INDBIO</v>
      </c>
      <c r="S79" s="262" t="str">
        <f t="shared" si="66"/>
        <v>INDGEO</v>
      </c>
      <c r="T79" s="262" t="str">
        <f t="shared" si="66"/>
        <v>INDHET</v>
      </c>
      <c r="U79" s="262" t="str">
        <f t="shared" si="66"/>
        <v>TOTAL</v>
      </c>
      <c r="V79" s="203"/>
      <c r="W79" s="203"/>
      <c r="AQ79" s="99" t="s">
        <v>842</v>
      </c>
      <c r="AR79" s="100" t="s">
        <v>806</v>
      </c>
      <c r="AS79" s="134">
        <v>0</v>
      </c>
      <c r="AT79" s="134">
        <v>0</v>
      </c>
      <c r="AU79" s="134">
        <v>0</v>
      </c>
      <c r="AV79" s="134">
        <v>0</v>
      </c>
    </row>
    <row r="80" spans="1:59" ht="14.25" customHeight="1">
      <c r="A80" s="203"/>
      <c r="B80" s="203"/>
      <c r="C80" s="203" t="s">
        <v>13</v>
      </c>
      <c r="D80" s="257">
        <f t="shared" ref="D80:U80" si="67">B33</f>
        <v>2.432038229788124</v>
      </c>
      <c r="E80" s="257">
        <f t="shared" si="67"/>
        <v>0.11636668854450752</v>
      </c>
      <c r="F80" s="257">
        <f t="shared" si="67"/>
        <v>0.33413585665964007</v>
      </c>
      <c r="G80" s="257">
        <f t="shared" si="67"/>
        <v>0</v>
      </c>
      <c r="H80" s="257">
        <f t="shared" si="67"/>
        <v>3.60473799350872E-2</v>
      </c>
      <c r="I80" s="257">
        <f t="shared" si="67"/>
        <v>0</v>
      </c>
      <c r="J80" s="257">
        <f t="shared" si="67"/>
        <v>0</v>
      </c>
      <c r="K80" s="257">
        <f t="shared" si="67"/>
        <v>0</v>
      </c>
      <c r="L80" s="257">
        <f t="shared" si="67"/>
        <v>5.0867124218388956E-3</v>
      </c>
      <c r="M80" s="257">
        <f t="shared" si="67"/>
        <v>9.9129423162309771E-2</v>
      </c>
      <c r="N80" s="257">
        <f t="shared" si="67"/>
        <v>1.6607496324718809</v>
      </c>
      <c r="O80" s="257">
        <f t="shared" si="67"/>
        <v>0</v>
      </c>
      <c r="P80" s="257">
        <f t="shared" si="67"/>
        <v>0</v>
      </c>
      <c r="Q80" s="257">
        <f t="shared" si="67"/>
        <v>0</v>
      </c>
      <c r="R80" s="257">
        <f t="shared" si="67"/>
        <v>0.90304450797363689</v>
      </c>
      <c r="S80" s="257">
        <f t="shared" si="67"/>
        <v>0</v>
      </c>
      <c r="T80" s="257">
        <f t="shared" si="67"/>
        <v>2.8118151462469374</v>
      </c>
      <c r="U80" s="257">
        <f t="shared" si="67"/>
        <v>8.3984135772039625</v>
      </c>
      <c r="V80" s="203"/>
      <c r="W80" s="203"/>
      <c r="AQ80" s="99" t="s">
        <v>902</v>
      </c>
      <c r="AR80" s="100" t="s">
        <v>902</v>
      </c>
      <c r="AS80" s="137">
        <v>0</v>
      </c>
      <c r="AT80" s="137">
        <v>0</v>
      </c>
      <c r="AU80" s="137">
        <v>0</v>
      </c>
      <c r="AV80" s="137">
        <v>0</v>
      </c>
    </row>
    <row r="81" spans="1:48" ht="14.25" customHeight="1">
      <c r="A81" s="203"/>
      <c r="B81" s="203"/>
      <c r="C81" s="203" t="s">
        <v>14</v>
      </c>
      <c r="D81" s="257">
        <f t="shared" ref="D81:U81" si="68">D70</f>
        <v>2.432038229788124</v>
      </c>
      <c r="E81" s="257">
        <f t="shared" si="68"/>
        <v>0.11636668854450752</v>
      </c>
      <c r="F81" s="257">
        <f t="shared" si="68"/>
        <v>0.33413585665964007</v>
      </c>
      <c r="G81" s="257">
        <f t="shared" si="68"/>
        <v>0</v>
      </c>
      <c r="H81" s="257">
        <f t="shared" si="68"/>
        <v>3.60473799350872E-2</v>
      </c>
      <c r="I81" s="257">
        <f t="shared" si="68"/>
        <v>0</v>
      </c>
      <c r="J81" s="257">
        <f t="shared" si="68"/>
        <v>0</v>
      </c>
      <c r="K81" s="257">
        <f t="shared" si="68"/>
        <v>0</v>
      </c>
      <c r="L81" s="257">
        <f t="shared" si="68"/>
        <v>5.0867124218388956E-3</v>
      </c>
      <c r="M81" s="257">
        <f t="shared" si="68"/>
        <v>9.9129423162309771E-2</v>
      </c>
      <c r="N81" s="257">
        <f t="shared" si="68"/>
        <v>1.6607496324718809</v>
      </c>
      <c r="O81" s="257">
        <f t="shared" si="68"/>
        <v>0</v>
      </c>
      <c r="P81" s="257">
        <f t="shared" si="68"/>
        <v>0</v>
      </c>
      <c r="Q81" s="257">
        <f t="shared" si="68"/>
        <v>0</v>
      </c>
      <c r="R81" s="257">
        <f t="shared" si="68"/>
        <v>0.90304450797363689</v>
      </c>
      <c r="S81" s="257">
        <f t="shared" si="68"/>
        <v>0</v>
      </c>
      <c r="T81" s="257">
        <f t="shared" si="68"/>
        <v>2.8118151462469374</v>
      </c>
      <c r="U81" s="257">
        <f t="shared" si="68"/>
        <v>8.3984135772039625</v>
      </c>
      <c r="V81" s="203"/>
      <c r="W81" s="203"/>
      <c r="AQ81" s="104" t="s">
        <v>599</v>
      </c>
      <c r="AR81" s="100" t="s">
        <v>600</v>
      </c>
      <c r="AS81" s="134">
        <v>0</v>
      </c>
      <c r="AT81" s="134">
        <v>0</v>
      </c>
      <c r="AU81" s="134">
        <v>0</v>
      </c>
      <c r="AV81" s="134">
        <v>0</v>
      </c>
    </row>
    <row r="82" spans="1:48" ht="14.25" customHeight="1">
      <c r="A82" s="203"/>
      <c r="B82" s="203"/>
      <c r="C82" s="203"/>
      <c r="D82" s="258">
        <f t="shared" ref="D82:U82" si="69">IF((D81-D80)/100&gt;5%,"ERROR",IF((D81-D80)/100&lt;-5%,"ERROR",(D81-D80)/100))</f>
        <v>0</v>
      </c>
      <c r="E82" s="258">
        <f t="shared" si="69"/>
        <v>0</v>
      </c>
      <c r="F82" s="258">
        <f t="shared" si="69"/>
        <v>0</v>
      </c>
      <c r="G82" s="258">
        <f t="shared" si="69"/>
        <v>0</v>
      </c>
      <c r="H82" s="258">
        <f t="shared" si="69"/>
        <v>0</v>
      </c>
      <c r="I82" s="258">
        <f t="shared" si="69"/>
        <v>0</v>
      </c>
      <c r="J82" s="258">
        <f t="shared" si="69"/>
        <v>0</v>
      </c>
      <c r="K82" s="258">
        <f t="shared" si="69"/>
        <v>0</v>
      </c>
      <c r="L82" s="258">
        <f t="shared" si="69"/>
        <v>0</v>
      </c>
      <c r="M82" s="258">
        <f t="shared" si="69"/>
        <v>0</v>
      </c>
      <c r="N82" s="258">
        <f t="shared" si="69"/>
        <v>0</v>
      </c>
      <c r="O82" s="258">
        <f t="shared" si="69"/>
        <v>0</v>
      </c>
      <c r="P82" s="258">
        <f t="shared" si="69"/>
        <v>0</v>
      </c>
      <c r="Q82" s="258">
        <f t="shared" si="69"/>
        <v>0</v>
      </c>
      <c r="R82" s="258">
        <f t="shared" si="69"/>
        <v>0</v>
      </c>
      <c r="S82" s="258">
        <f t="shared" si="69"/>
        <v>0</v>
      </c>
      <c r="T82" s="258">
        <f t="shared" si="69"/>
        <v>0</v>
      </c>
      <c r="U82" s="258">
        <f t="shared" si="69"/>
        <v>0</v>
      </c>
      <c r="V82" s="203"/>
      <c r="W82" s="203"/>
      <c r="AQ82" s="104" t="s">
        <v>601</v>
      </c>
      <c r="AR82" s="100" t="s">
        <v>602</v>
      </c>
      <c r="AS82" s="134">
        <v>0</v>
      </c>
      <c r="AT82" s="134">
        <v>0</v>
      </c>
      <c r="AU82" s="134">
        <v>0</v>
      </c>
      <c r="AV82" s="134">
        <v>0</v>
      </c>
    </row>
    <row r="83" spans="1:48" ht="14.25" customHeight="1">
      <c r="A83" s="203"/>
      <c r="B83" s="203"/>
      <c r="C83" s="203" t="s">
        <v>15</v>
      </c>
      <c r="D83" s="257">
        <f t="shared" ref="D83:U83" si="70">B34</f>
        <v>2.8517616676370885</v>
      </c>
      <c r="E83" s="257">
        <f t="shared" si="70"/>
        <v>0.24836668854450752</v>
      </c>
      <c r="F83" s="257">
        <f t="shared" si="70"/>
        <v>0.87213585665964011</v>
      </c>
      <c r="G83" s="257">
        <f t="shared" si="70"/>
        <v>0</v>
      </c>
      <c r="H83" s="257">
        <f t="shared" si="70"/>
        <v>9.0047379935087199E-2</v>
      </c>
      <c r="I83" s="257">
        <f t="shared" si="70"/>
        <v>0</v>
      </c>
      <c r="J83" s="257">
        <f t="shared" si="70"/>
        <v>0</v>
      </c>
      <c r="K83" s="257">
        <f t="shared" si="70"/>
        <v>0</v>
      </c>
      <c r="L83" s="257">
        <f t="shared" si="70"/>
        <v>7.0867124218388956E-3</v>
      </c>
      <c r="M83" s="257">
        <f t="shared" si="70"/>
        <v>0.15212942316230976</v>
      </c>
      <c r="N83" s="257">
        <f t="shared" si="70"/>
        <v>1.6737496324718808</v>
      </c>
      <c r="O83" s="257">
        <f t="shared" si="70"/>
        <v>0</v>
      </c>
      <c r="P83" s="257">
        <f t="shared" si="70"/>
        <v>0.21299999999999999</v>
      </c>
      <c r="Q83" s="257">
        <f t="shared" si="70"/>
        <v>0.05</v>
      </c>
      <c r="R83" s="257">
        <f t="shared" si="70"/>
        <v>1.0200445079736369</v>
      </c>
      <c r="S83" s="257">
        <f t="shared" si="70"/>
        <v>0</v>
      </c>
      <c r="T83" s="257">
        <f t="shared" si="70"/>
        <v>3.0438151462469376</v>
      </c>
      <c r="U83" s="257">
        <f t="shared" si="70"/>
        <v>10.222137015052928</v>
      </c>
      <c r="V83" s="203"/>
      <c r="W83" s="203"/>
      <c r="AQ83" s="104" t="s">
        <v>603</v>
      </c>
      <c r="AR83" s="100" t="s">
        <v>604</v>
      </c>
      <c r="AS83" s="134">
        <v>0</v>
      </c>
      <c r="AT83" s="134">
        <v>0</v>
      </c>
      <c r="AU83" s="134">
        <v>0</v>
      </c>
      <c r="AV83" s="134">
        <v>0</v>
      </c>
    </row>
    <row r="84" spans="1:48" ht="14.25" customHeight="1">
      <c r="A84" s="203"/>
      <c r="B84" s="203"/>
      <c r="C84" s="203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03"/>
      <c r="W84" s="203"/>
      <c r="AQ84" s="104" t="s">
        <v>605</v>
      </c>
      <c r="AR84" s="100" t="s">
        <v>610</v>
      </c>
      <c r="AS84" s="134">
        <v>0</v>
      </c>
      <c r="AT84" s="134">
        <v>0</v>
      </c>
      <c r="AU84" s="134">
        <v>0</v>
      </c>
      <c r="AV84" s="134">
        <v>0</v>
      </c>
    </row>
    <row r="85" spans="1:48" ht="14.25" customHeight="1">
      <c r="A85" s="203"/>
      <c r="B85" s="203"/>
      <c r="C85" s="203"/>
      <c r="D85" s="258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03"/>
      <c r="W85" s="203"/>
      <c r="AQ85" s="104" t="s">
        <v>613</v>
      </c>
      <c r="AR85" s="100" t="s">
        <v>614</v>
      </c>
      <c r="AS85" s="134">
        <v>0</v>
      </c>
      <c r="AT85" s="134">
        <v>0</v>
      </c>
      <c r="AU85" s="134">
        <v>0</v>
      </c>
      <c r="AV85" s="134">
        <v>0</v>
      </c>
    </row>
    <row r="86" spans="1:48" ht="14.25" customHeight="1">
      <c r="A86" s="203"/>
      <c r="B86" s="203"/>
      <c r="C86" s="203"/>
      <c r="D86" s="257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03"/>
      <c r="W86" s="203"/>
      <c r="AQ86" s="104" t="s">
        <v>844</v>
      </c>
      <c r="AR86" s="100" t="s">
        <v>807</v>
      </c>
      <c r="AS86" s="134">
        <v>0</v>
      </c>
      <c r="AT86" s="134">
        <v>0</v>
      </c>
      <c r="AU86" s="134">
        <v>0</v>
      </c>
      <c r="AV86" s="134">
        <v>0</v>
      </c>
    </row>
    <row r="87" spans="1:48" ht="14.25" customHeight="1">
      <c r="A87" s="203"/>
      <c r="B87" s="203"/>
      <c r="C87" s="203"/>
      <c r="D87" s="258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258"/>
      <c r="P87" s="258"/>
      <c r="Q87" s="258"/>
      <c r="R87" s="258"/>
      <c r="S87" s="258"/>
      <c r="T87" s="258"/>
      <c r="U87" s="258"/>
      <c r="V87" s="203"/>
      <c r="W87" s="203"/>
      <c r="AQ87" s="473"/>
      <c r="AR87" s="100" t="s">
        <v>615</v>
      </c>
      <c r="AS87" s="137">
        <v>0</v>
      </c>
      <c r="AT87" s="137">
        <v>0</v>
      </c>
      <c r="AU87" s="137">
        <v>2.1900314999999997E-2</v>
      </c>
      <c r="AV87" s="137">
        <v>2.205E-2</v>
      </c>
    </row>
    <row r="88" spans="1:48" ht="14.25" customHeight="1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48" ht="14.25" customHeight="1"/>
    <row r="90" spans="1:48" ht="14.25" customHeight="1"/>
  </sheetData>
  <phoneticPr fontId="0" type="noConversion"/>
  <pageMargins left="0.35433070866141736" right="0.35433070866141736" top="0.39370078740157483" bottom="0.39370078740157483" header="0.51181102362204722" footer="0.51181102362204722"/>
  <pageSetup scale="56" orientation="landscape" horizontalDpi="300" verticalDpi="300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3:AB134"/>
  <sheetViews>
    <sheetView showGridLines="0" showRowColHeaders="0" showZeros="0" showOutlineSymbols="0" topLeftCell="IV65536" zoomScale="75" workbookViewId="0">
      <selection activeCell="Q8" sqref="Q8:R8 D27:G27 I27:S27 U27 G33 C34:G34 J34:R34 T34:V34 X34 X58:Y60 F58:F61 Y63 Y64:Z64 F63:F66 X66:X69 F68:F70 Y66:Y73 X74:Y74 F72:F76 Y78:Y80 F78:F81 H83 V89:V91"/>
    </sheetView>
  </sheetViews>
  <sheetFormatPr defaultColWidth="0" defaultRowHeight="12.75" zeroHeight="1"/>
  <cols>
    <col min="1" max="16384" width="0" style="613" hidden="1"/>
  </cols>
  <sheetData>
    <row r="3" spans="2:24" hidden="1">
      <c r="B3" s="612" t="s">
        <v>260</v>
      </c>
      <c r="C3" s="612" t="str">
        <f>Region</f>
        <v>FIM</v>
      </c>
      <c r="N3" s="612" t="s">
        <v>539</v>
      </c>
      <c r="O3" s="613" t="s">
        <v>403</v>
      </c>
      <c r="P3" s="613" t="s">
        <v>675</v>
      </c>
      <c r="R3" s="612" t="s">
        <v>537</v>
      </c>
      <c r="W3" s="612" t="s">
        <v>1319</v>
      </c>
    </row>
    <row r="4" spans="2:24" hidden="1">
      <c r="B4" s="613" t="s">
        <v>465</v>
      </c>
      <c r="C4" s="614">
        <f>MATCH(C3,B9:B26,0)</f>
        <v>18</v>
      </c>
      <c r="N4" s="615">
        <v>1</v>
      </c>
      <c r="O4" s="616">
        <v>9</v>
      </c>
      <c r="P4" s="617">
        <v>1.6</v>
      </c>
      <c r="R4" s="613" t="s">
        <v>538</v>
      </c>
      <c r="S4" s="618">
        <v>0.65</v>
      </c>
      <c r="W4" s="619" t="b">
        <f>C3="FIN"</f>
        <v>0</v>
      </c>
    </row>
    <row r="5" spans="2:24" hidden="1">
      <c r="B5" s="620" t="s">
        <v>467</v>
      </c>
      <c r="C5" s="621">
        <f ca="1">AuxYear</f>
        <v>2017</v>
      </c>
      <c r="N5" s="622">
        <v>2</v>
      </c>
      <c r="O5" s="623">
        <v>10.5</v>
      </c>
      <c r="P5" s="624">
        <v>1.5</v>
      </c>
    </row>
    <row r="6" spans="2:24" hidden="1">
      <c r="N6" s="625">
        <v>3</v>
      </c>
      <c r="O6" s="626">
        <v>11.3</v>
      </c>
      <c r="P6" s="627">
        <v>0.5</v>
      </c>
      <c r="W6" s="613" t="s">
        <v>501</v>
      </c>
    </row>
    <row r="7" spans="2:24" ht="18" hidden="1">
      <c r="C7" s="628" t="s">
        <v>1318</v>
      </c>
      <c r="D7" s="629" t="s">
        <v>181</v>
      </c>
      <c r="E7" s="629"/>
      <c r="F7" s="629"/>
      <c r="G7" s="629"/>
      <c r="H7" s="629"/>
      <c r="I7" s="629"/>
      <c r="J7" s="629"/>
    </row>
    <row r="8" spans="2:24" ht="15" hidden="1">
      <c r="B8" s="629" t="s">
        <v>466</v>
      </c>
      <c r="C8" s="627"/>
      <c r="D8" s="613" t="s">
        <v>213</v>
      </c>
      <c r="E8" s="613" t="s">
        <v>367</v>
      </c>
      <c r="F8" s="613" t="s">
        <v>365</v>
      </c>
      <c r="G8" s="613" t="s">
        <v>409</v>
      </c>
      <c r="H8" s="613" t="s">
        <v>215</v>
      </c>
      <c r="I8" s="613" t="s">
        <v>217</v>
      </c>
      <c r="J8" s="613" t="s">
        <v>411</v>
      </c>
      <c r="K8" s="613" t="s">
        <v>361</v>
      </c>
      <c r="L8" s="613" t="s">
        <v>363</v>
      </c>
      <c r="M8" s="613" t="s">
        <v>221</v>
      </c>
      <c r="N8" s="613" t="s">
        <v>369</v>
      </c>
      <c r="O8" s="613" t="s">
        <v>404</v>
      </c>
      <c r="P8" s="613" t="s">
        <v>405</v>
      </c>
      <c r="Q8" s="630" t="s">
        <v>359</v>
      </c>
      <c r="R8" s="630" t="s">
        <v>253</v>
      </c>
      <c r="S8" s="630" t="s">
        <v>357</v>
      </c>
      <c r="T8" s="613" t="s">
        <v>540</v>
      </c>
      <c r="U8" s="630" t="s">
        <v>354</v>
      </c>
      <c r="X8" s="613" t="s">
        <v>448</v>
      </c>
    </row>
    <row r="9" spans="2:24" hidden="1">
      <c r="B9" s="631" t="s">
        <v>264</v>
      </c>
      <c r="C9" s="632">
        <v>2.3824151810308098</v>
      </c>
      <c r="D9" s="633">
        <f t="shared" ref="D9:D26" si="0">D$27+$C9</f>
        <v>11.38241518103081</v>
      </c>
      <c r="E9" s="634"/>
      <c r="F9" s="634"/>
      <c r="G9" s="634"/>
      <c r="H9" s="634"/>
      <c r="I9" s="634"/>
      <c r="J9" s="634"/>
      <c r="K9" s="634"/>
      <c r="L9" s="635"/>
      <c r="M9" s="634"/>
      <c r="N9" s="634"/>
      <c r="O9" s="634"/>
      <c r="P9" s="617"/>
      <c r="Q9" s="616">
        <v>14.831250000000001</v>
      </c>
      <c r="R9" s="636">
        <v>7.9860576923076927</v>
      </c>
      <c r="S9" s="634">
        <v>15</v>
      </c>
      <c r="T9" s="634">
        <v>-2</v>
      </c>
      <c r="U9" s="617"/>
      <c r="W9" s="613" t="s">
        <v>264</v>
      </c>
      <c r="X9" s="637">
        <v>0.81499999999999995</v>
      </c>
    </row>
    <row r="10" spans="2:24" hidden="1">
      <c r="B10" s="638" t="s">
        <v>265</v>
      </c>
      <c r="C10" s="632">
        <v>0.44131278723404144</v>
      </c>
      <c r="D10" s="639">
        <f t="shared" si="0"/>
        <v>9.4413127872340414</v>
      </c>
      <c r="E10" s="630"/>
      <c r="F10" s="630"/>
      <c r="G10" s="630"/>
      <c r="H10" s="630"/>
      <c r="I10" s="630"/>
      <c r="J10" s="630"/>
      <c r="K10" s="630"/>
      <c r="L10" s="640"/>
      <c r="M10" s="630"/>
      <c r="N10" s="630"/>
      <c r="O10" s="630"/>
      <c r="P10" s="624"/>
      <c r="Q10" s="623">
        <v>16.118749999999999</v>
      </c>
      <c r="R10" s="641">
        <v>8.679326923076923</v>
      </c>
      <c r="S10" s="630">
        <v>15</v>
      </c>
      <c r="T10" s="630">
        <v>-2</v>
      </c>
      <c r="U10" s="624"/>
      <c r="W10" s="613" t="s">
        <v>265</v>
      </c>
      <c r="X10" s="642">
        <v>0.81499999999999995</v>
      </c>
    </row>
    <row r="11" spans="2:24" hidden="1">
      <c r="B11" s="638" t="s">
        <v>266</v>
      </c>
      <c r="C11" s="632">
        <v>6.3160634925590582</v>
      </c>
      <c r="D11" s="639">
        <f t="shared" si="0"/>
        <v>15.316063492559058</v>
      </c>
      <c r="E11" s="630"/>
      <c r="F11" s="630"/>
      <c r="G11" s="630"/>
      <c r="H11" s="630"/>
      <c r="I11" s="630"/>
      <c r="J11" s="630"/>
      <c r="K11" s="630"/>
      <c r="L11" s="640"/>
      <c r="M11" s="630"/>
      <c r="N11" s="630"/>
      <c r="O11" s="630"/>
      <c r="P11" s="624"/>
      <c r="Q11" s="623">
        <v>15.268750000000001</v>
      </c>
      <c r="R11" s="641">
        <v>8.221634615384616</v>
      </c>
      <c r="S11" s="630">
        <v>16.899999999999999</v>
      </c>
      <c r="T11" s="630">
        <v>-2</v>
      </c>
      <c r="U11" s="624"/>
      <c r="W11" s="613" t="s">
        <v>266</v>
      </c>
      <c r="X11" s="642">
        <v>0.81499999999999995</v>
      </c>
    </row>
    <row r="12" spans="2:24" hidden="1">
      <c r="B12" s="638" t="s">
        <v>267</v>
      </c>
      <c r="C12" s="632">
        <v>1.5</v>
      </c>
      <c r="D12" s="639">
        <f t="shared" si="0"/>
        <v>10.5</v>
      </c>
      <c r="E12" s="630"/>
      <c r="F12" s="630"/>
      <c r="G12" s="630"/>
      <c r="H12" s="630"/>
      <c r="I12" s="630"/>
      <c r="J12" s="630"/>
      <c r="K12" s="630"/>
      <c r="L12" s="640"/>
      <c r="M12" s="630"/>
      <c r="N12" s="630"/>
      <c r="O12" s="630"/>
      <c r="P12" s="624">
        <v>30</v>
      </c>
      <c r="Q12" s="623">
        <v>16.118749999999999</v>
      </c>
      <c r="R12" s="641">
        <v>8.679326923076923</v>
      </c>
      <c r="S12" s="630">
        <v>27.8</v>
      </c>
      <c r="T12" s="630">
        <v>-2</v>
      </c>
      <c r="U12" s="624"/>
      <c r="W12" s="613" t="s">
        <v>267</v>
      </c>
      <c r="X12" s="642">
        <v>0.81499999999999995</v>
      </c>
    </row>
    <row r="13" spans="2:24" hidden="1">
      <c r="B13" s="638" t="s">
        <v>1094</v>
      </c>
      <c r="C13" s="632">
        <v>3.0710785726744181</v>
      </c>
      <c r="D13" s="639">
        <f t="shared" si="0"/>
        <v>12.071078572674418</v>
      </c>
      <c r="E13" s="630"/>
      <c r="F13" s="630"/>
      <c r="G13" s="630"/>
      <c r="H13" s="630"/>
      <c r="I13" s="630"/>
      <c r="J13" s="630"/>
      <c r="K13" s="630"/>
      <c r="L13" s="640"/>
      <c r="M13" s="630"/>
      <c r="N13" s="630"/>
      <c r="O13" s="630"/>
      <c r="P13" s="624"/>
      <c r="Q13" s="623">
        <v>16.118749999999999</v>
      </c>
      <c r="R13" s="641">
        <v>8.679326923076923</v>
      </c>
      <c r="S13" s="630">
        <v>18.899999999999999</v>
      </c>
      <c r="T13" s="630">
        <v>-2</v>
      </c>
      <c r="U13" s="624"/>
      <c r="W13" s="613" t="s">
        <v>1094</v>
      </c>
      <c r="X13" s="642">
        <v>0.81499999999999995</v>
      </c>
    </row>
    <row r="14" spans="2:24" hidden="1">
      <c r="B14" s="638" t="s">
        <v>268</v>
      </c>
      <c r="C14" s="632">
        <v>2.8065256804612435</v>
      </c>
      <c r="D14" s="639">
        <f t="shared" si="0"/>
        <v>11.806525680461244</v>
      </c>
      <c r="E14" s="630"/>
      <c r="F14" s="630"/>
      <c r="G14" s="630"/>
      <c r="H14" s="630"/>
      <c r="I14" s="630"/>
      <c r="J14" s="630"/>
      <c r="K14" s="630"/>
      <c r="L14" s="640"/>
      <c r="M14" s="630"/>
      <c r="N14" s="630"/>
      <c r="O14" s="630"/>
      <c r="P14" s="624"/>
      <c r="Q14" s="623">
        <v>16.118749999999999</v>
      </c>
      <c r="R14" s="641">
        <v>8.679326923076923</v>
      </c>
      <c r="S14" s="630">
        <v>22.6</v>
      </c>
      <c r="T14" s="630">
        <v>-3</v>
      </c>
      <c r="U14" s="624"/>
      <c r="W14" s="613" t="s">
        <v>268</v>
      </c>
      <c r="X14" s="642">
        <v>0.81499999999999995</v>
      </c>
    </row>
    <row r="15" spans="2:24" hidden="1">
      <c r="B15" s="638" t="s">
        <v>269</v>
      </c>
      <c r="C15" s="632">
        <v>0</v>
      </c>
      <c r="D15" s="639">
        <f t="shared" si="0"/>
        <v>9</v>
      </c>
      <c r="E15" s="630"/>
      <c r="F15" s="630"/>
      <c r="G15" s="630"/>
      <c r="H15" s="630"/>
      <c r="I15" s="630"/>
      <c r="J15" s="630"/>
      <c r="K15" s="630"/>
      <c r="L15" s="640"/>
      <c r="M15" s="630"/>
      <c r="N15" s="630"/>
      <c r="O15" s="630"/>
      <c r="P15" s="624"/>
      <c r="Q15" s="623">
        <v>16.118749999999999</v>
      </c>
      <c r="R15" s="641">
        <v>8.679326923076923</v>
      </c>
      <c r="S15" s="630">
        <v>22.3</v>
      </c>
      <c r="T15" s="630">
        <v>-2</v>
      </c>
      <c r="U15" s="624"/>
      <c r="W15" s="613" t="s">
        <v>269</v>
      </c>
      <c r="X15" s="642">
        <v>0.81499999999999995</v>
      </c>
    </row>
    <row r="16" spans="2:24" hidden="1">
      <c r="B16" s="638" t="s">
        <v>1095</v>
      </c>
      <c r="C16" s="632">
        <v>0</v>
      </c>
      <c r="D16" s="639">
        <f t="shared" si="0"/>
        <v>9</v>
      </c>
      <c r="E16" s="630"/>
      <c r="F16" s="630"/>
      <c r="G16" s="630"/>
      <c r="H16" s="630"/>
      <c r="I16" s="630"/>
      <c r="J16" s="630"/>
      <c r="K16" s="630"/>
      <c r="L16" s="640"/>
      <c r="M16" s="630"/>
      <c r="N16" s="630"/>
      <c r="O16" s="630"/>
      <c r="P16" s="624">
        <v>20</v>
      </c>
      <c r="Q16" s="623">
        <v>16.118749999999999</v>
      </c>
      <c r="R16" s="641">
        <v>8.679326923076923</v>
      </c>
      <c r="S16" s="630">
        <v>16.899999999999999</v>
      </c>
      <c r="T16" s="630">
        <v>-1</v>
      </c>
      <c r="U16" s="624"/>
      <c r="W16" s="613" t="s">
        <v>1095</v>
      </c>
      <c r="X16" s="642">
        <v>0.81499999999999995</v>
      </c>
    </row>
    <row r="17" spans="2:24" hidden="1">
      <c r="B17" s="638" t="s">
        <v>1096</v>
      </c>
      <c r="C17" s="632">
        <v>4.8882345549473687</v>
      </c>
      <c r="D17" s="639">
        <f t="shared" si="0"/>
        <v>13.888234554947369</v>
      </c>
      <c r="E17" s="630"/>
      <c r="F17" s="630"/>
      <c r="G17" s="630"/>
      <c r="H17" s="630"/>
      <c r="I17" s="630"/>
      <c r="J17" s="630"/>
      <c r="K17" s="630"/>
      <c r="L17" s="640"/>
      <c r="M17" s="630"/>
      <c r="N17" s="630"/>
      <c r="O17" s="630"/>
      <c r="P17" s="624"/>
      <c r="Q17" s="623">
        <v>15.0375</v>
      </c>
      <c r="R17" s="641">
        <v>8.0971153846153836</v>
      </c>
      <c r="S17" s="630">
        <v>15</v>
      </c>
      <c r="T17" s="630">
        <v>-2</v>
      </c>
      <c r="U17" s="624"/>
      <c r="W17" s="613" t="s">
        <v>1096</v>
      </c>
      <c r="X17" s="642">
        <v>0.81499999999999995</v>
      </c>
    </row>
    <row r="18" spans="2:24" hidden="1">
      <c r="B18" s="638" t="s">
        <v>270</v>
      </c>
      <c r="C18" s="632">
        <v>0</v>
      </c>
      <c r="D18" s="639">
        <f t="shared" si="0"/>
        <v>9</v>
      </c>
      <c r="E18" s="630"/>
      <c r="F18" s="630"/>
      <c r="G18" s="630"/>
      <c r="H18" s="630"/>
      <c r="I18" s="630"/>
      <c r="J18" s="630"/>
      <c r="K18" s="630"/>
      <c r="L18" s="640"/>
      <c r="M18" s="630"/>
      <c r="N18" s="630"/>
      <c r="O18" s="630"/>
      <c r="P18" s="624"/>
      <c r="Q18" s="623">
        <v>14.96875</v>
      </c>
      <c r="R18" s="641">
        <v>8.0600961538461533</v>
      </c>
      <c r="S18" s="630">
        <v>15</v>
      </c>
      <c r="T18" s="630">
        <v>-2</v>
      </c>
      <c r="U18" s="624"/>
      <c r="W18" s="613" t="s">
        <v>270</v>
      </c>
      <c r="X18" s="642">
        <v>0.81499999999999995</v>
      </c>
    </row>
    <row r="19" spans="2:24" hidden="1">
      <c r="B19" s="638" t="s">
        <v>271</v>
      </c>
      <c r="C19" s="632">
        <v>2.9238104477611913</v>
      </c>
      <c r="D19" s="639">
        <f t="shared" si="0"/>
        <v>11.923810447761191</v>
      </c>
      <c r="E19" s="630"/>
      <c r="F19" s="630"/>
      <c r="G19" s="630"/>
      <c r="H19" s="630"/>
      <c r="I19" s="630"/>
      <c r="J19" s="630"/>
      <c r="K19" s="630"/>
      <c r="L19" s="640"/>
      <c r="M19" s="630"/>
      <c r="N19" s="630"/>
      <c r="O19" s="630"/>
      <c r="P19" s="624"/>
      <c r="Q19" s="623">
        <v>16.118749999999999</v>
      </c>
      <c r="R19" s="641">
        <v>8.679326923076923</v>
      </c>
      <c r="S19" s="630">
        <v>16</v>
      </c>
      <c r="T19" s="630">
        <v>-2</v>
      </c>
      <c r="U19" s="624"/>
      <c r="W19" s="613" t="s">
        <v>271</v>
      </c>
      <c r="X19" s="642">
        <v>0.81499999999999995</v>
      </c>
    </row>
    <row r="20" spans="2:24" hidden="1">
      <c r="B20" s="638" t="s">
        <v>563</v>
      </c>
      <c r="C20" s="632">
        <v>4.618240189720682</v>
      </c>
      <c r="D20" s="639">
        <f t="shared" si="0"/>
        <v>13.618240189720682</v>
      </c>
      <c r="E20" s="630"/>
      <c r="F20" s="630">
        <v>5.5</v>
      </c>
      <c r="G20" s="630"/>
      <c r="H20" s="630"/>
      <c r="I20" s="630"/>
      <c r="J20" s="630"/>
      <c r="K20" s="630"/>
      <c r="L20" s="640"/>
      <c r="M20" s="630"/>
      <c r="N20" s="630"/>
      <c r="O20" s="630"/>
      <c r="P20" s="624">
        <v>60</v>
      </c>
      <c r="Q20" s="623">
        <v>15.268750000000001</v>
      </c>
      <c r="R20" s="641">
        <v>8.221634615384616</v>
      </c>
      <c r="S20" s="630">
        <v>16.899999999999999</v>
      </c>
      <c r="T20" s="630">
        <v>-2</v>
      </c>
      <c r="U20" s="624"/>
      <c r="W20" s="613" t="s">
        <v>563</v>
      </c>
      <c r="X20" s="642">
        <v>0.81499999999999995</v>
      </c>
    </row>
    <row r="21" spans="2:24" hidden="1">
      <c r="B21" s="638" t="s">
        <v>705</v>
      </c>
      <c r="C21" s="632">
        <v>1.3674422515096658</v>
      </c>
      <c r="D21" s="639">
        <f t="shared" si="0"/>
        <v>10.367442251509665</v>
      </c>
      <c r="E21" s="630"/>
      <c r="F21" s="630"/>
      <c r="G21" s="630"/>
      <c r="H21" s="630"/>
      <c r="I21" s="630"/>
      <c r="J21" s="630"/>
      <c r="K21" s="630"/>
      <c r="L21" s="640"/>
      <c r="M21" s="630"/>
      <c r="N21" s="630"/>
      <c r="O21" s="630"/>
      <c r="P21" s="624"/>
      <c r="Q21" s="623">
        <v>15.956250000000001</v>
      </c>
      <c r="R21" s="641">
        <v>8.5918269230769226</v>
      </c>
      <c r="S21" s="630">
        <v>14</v>
      </c>
      <c r="T21" s="630">
        <v>-3</v>
      </c>
      <c r="U21" s="624"/>
      <c r="W21" s="613" t="s">
        <v>705</v>
      </c>
      <c r="X21" s="642">
        <v>0.81499999999999995</v>
      </c>
    </row>
    <row r="22" spans="2:24" hidden="1">
      <c r="B22" s="638" t="s">
        <v>1097</v>
      </c>
      <c r="C22" s="632">
        <v>0</v>
      </c>
      <c r="D22" s="639">
        <f t="shared" si="0"/>
        <v>9</v>
      </c>
      <c r="E22" s="630"/>
      <c r="F22" s="630">
        <v>5.9</v>
      </c>
      <c r="G22" s="630"/>
      <c r="H22" s="630"/>
      <c r="I22" s="630"/>
      <c r="J22" s="630"/>
      <c r="K22" s="630"/>
      <c r="L22" s="640"/>
      <c r="M22" s="630"/>
      <c r="N22" s="630">
        <f>N23</f>
        <v>23.3</v>
      </c>
      <c r="O22" s="630"/>
      <c r="P22" s="624"/>
      <c r="Q22" s="623">
        <v>15.956250000000001</v>
      </c>
      <c r="R22" s="641">
        <v>8.5918269230769226</v>
      </c>
      <c r="S22" s="630">
        <v>14</v>
      </c>
      <c r="T22" s="630">
        <v>-2</v>
      </c>
      <c r="U22" s="624"/>
      <c r="W22" s="613" t="s">
        <v>1097</v>
      </c>
      <c r="X22" s="642">
        <v>0.81499999999999995</v>
      </c>
    </row>
    <row r="23" spans="2:24" hidden="1">
      <c r="B23" s="638" t="s">
        <v>86</v>
      </c>
      <c r="C23" s="632">
        <v>-1.8</v>
      </c>
      <c r="D23" s="639">
        <f t="shared" si="0"/>
        <v>7.2</v>
      </c>
      <c r="E23" s="630"/>
      <c r="F23" s="630">
        <v>5.9</v>
      </c>
      <c r="G23" s="630">
        <v>33</v>
      </c>
      <c r="H23" s="630"/>
      <c r="I23" s="630"/>
      <c r="J23" s="630"/>
      <c r="K23" s="630"/>
      <c r="L23" s="640"/>
      <c r="M23" s="630"/>
      <c r="N23" s="630">
        <f>12.5+N29</f>
        <v>23.3</v>
      </c>
      <c r="O23" s="630"/>
      <c r="P23" s="624"/>
      <c r="Q23" s="623">
        <v>15.956250000000001</v>
      </c>
      <c r="R23" s="641">
        <v>8.5918269230769226</v>
      </c>
      <c r="S23" s="630">
        <v>14</v>
      </c>
      <c r="T23" s="630">
        <v>-2</v>
      </c>
      <c r="U23" s="624"/>
      <c r="W23" s="613" t="s">
        <v>86</v>
      </c>
      <c r="X23" s="642">
        <v>0.81499999999999995</v>
      </c>
    </row>
    <row r="24" spans="2:24" hidden="1">
      <c r="B24" s="638" t="s">
        <v>1098</v>
      </c>
      <c r="C24" s="632">
        <v>1</v>
      </c>
      <c r="D24" s="639">
        <f t="shared" si="0"/>
        <v>10</v>
      </c>
      <c r="E24" s="630"/>
      <c r="F24" s="630">
        <v>5.9</v>
      </c>
      <c r="G24" s="630">
        <v>31</v>
      </c>
      <c r="H24" s="630"/>
      <c r="I24" s="630"/>
      <c r="J24" s="630"/>
      <c r="K24" s="630"/>
      <c r="L24" s="640"/>
      <c r="M24" s="630">
        <v>60</v>
      </c>
      <c r="N24" s="630">
        <f>N23</f>
        <v>23.3</v>
      </c>
      <c r="O24" s="630"/>
      <c r="P24" s="624"/>
      <c r="Q24" s="623">
        <v>15.956250000000001</v>
      </c>
      <c r="R24" s="641">
        <v>8.5918269230769226</v>
      </c>
      <c r="S24" s="630">
        <v>14</v>
      </c>
      <c r="T24" s="630">
        <v>-2</v>
      </c>
      <c r="U24" s="624"/>
      <c r="W24" s="613" t="s">
        <v>1098</v>
      </c>
      <c r="X24" s="642">
        <v>0.81499999999999995</v>
      </c>
    </row>
    <row r="25" spans="2:24" hidden="1">
      <c r="B25" s="638" t="s">
        <v>1099</v>
      </c>
      <c r="C25" s="632">
        <v>-1.8</v>
      </c>
      <c r="D25" s="639">
        <f t="shared" si="0"/>
        <v>7.2</v>
      </c>
      <c r="E25" s="630"/>
      <c r="F25" s="630">
        <v>5.9</v>
      </c>
      <c r="G25" s="630">
        <v>33</v>
      </c>
      <c r="H25" s="630"/>
      <c r="I25" s="630"/>
      <c r="J25" s="630"/>
      <c r="K25" s="630"/>
      <c r="L25" s="640"/>
      <c r="M25" s="630">
        <v>65</v>
      </c>
      <c r="N25" s="630">
        <f>N23</f>
        <v>23.3</v>
      </c>
      <c r="O25" s="630"/>
      <c r="P25" s="624"/>
      <c r="Q25" s="623">
        <v>15.956250000000001</v>
      </c>
      <c r="R25" s="641">
        <v>8.5918269230769226</v>
      </c>
      <c r="S25" s="630">
        <v>14</v>
      </c>
      <c r="T25" s="630">
        <v>-2</v>
      </c>
      <c r="U25" s="624"/>
      <c r="W25" s="613" t="s">
        <v>1099</v>
      </c>
      <c r="X25" s="642">
        <v>0.81499999999999995</v>
      </c>
    </row>
    <row r="26" spans="2:24" hidden="1">
      <c r="B26" s="643" t="s">
        <v>1341</v>
      </c>
      <c r="C26" s="644">
        <v>3.0710785726744181</v>
      </c>
      <c r="D26" s="645">
        <f t="shared" si="0"/>
        <v>12.071078572674418</v>
      </c>
      <c r="E26" s="646"/>
      <c r="F26" s="646"/>
      <c r="G26" s="646"/>
      <c r="H26" s="646"/>
      <c r="I26" s="646"/>
      <c r="J26" s="646"/>
      <c r="K26" s="646"/>
      <c r="L26" s="647"/>
      <c r="M26" s="646"/>
      <c r="N26" s="646"/>
      <c r="O26" s="646"/>
      <c r="P26" s="627"/>
      <c r="Q26" s="626">
        <v>16.118749999999999</v>
      </c>
      <c r="R26" s="648">
        <v>8.679326923076923</v>
      </c>
      <c r="S26" s="646">
        <v>18.899999999999999</v>
      </c>
      <c r="T26" s="646">
        <v>-2</v>
      </c>
      <c r="U26" s="627"/>
      <c r="W26" s="613" t="s">
        <v>1341</v>
      </c>
      <c r="X26" s="649">
        <v>0.82</v>
      </c>
    </row>
    <row r="27" spans="2:24" hidden="1">
      <c r="C27" s="650" t="s">
        <v>401</v>
      </c>
      <c r="D27" s="640">
        <v>9</v>
      </c>
      <c r="E27" s="651">
        <v>16.600000000000001</v>
      </c>
      <c r="F27" s="651">
        <v>5</v>
      </c>
      <c r="G27" s="651">
        <v>32.6</v>
      </c>
      <c r="H27" s="651">
        <f>5.1+0.14*3.6</f>
        <v>5.6040000000000001</v>
      </c>
      <c r="I27" s="651">
        <f>3+0.14*3.6</f>
        <v>3.504</v>
      </c>
      <c r="J27" s="651">
        <f>4.4+0.075*3.6</f>
        <v>4.67</v>
      </c>
      <c r="K27" s="651">
        <f>3.8+0.94+0.25</f>
        <v>4.99</v>
      </c>
      <c r="L27" s="651">
        <v>3</v>
      </c>
      <c r="M27" s="651">
        <f>15*3.6 + 18 + 0.4*(2.5+0.14*3.6) + 7.4</f>
        <v>80.601600000000005</v>
      </c>
      <c r="N27" s="651">
        <f>14.3+3*3.6</f>
        <v>25.1</v>
      </c>
      <c r="O27" s="651">
        <f>4+4*3.6</f>
        <v>18.399999999999999</v>
      </c>
      <c r="P27" s="651">
        <f>10.8+0.28*3.6</f>
        <v>11.808000000000002</v>
      </c>
      <c r="Q27" s="613">
        <v>13</v>
      </c>
      <c r="R27" s="613">
        <v>7</v>
      </c>
      <c r="S27" s="613">
        <f>41.6-21</f>
        <v>20.6</v>
      </c>
      <c r="T27" s="613">
        <f>INDEX($O$4:$P$6,-INDEX(T$9:T$26,RegIndex),2)</f>
        <v>1.5</v>
      </c>
      <c r="U27" s="613">
        <v>10</v>
      </c>
      <c r="W27" s="613" t="s">
        <v>502</v>
      </c>
      <c r="X27" s="649">
        <f>INDEX(X$9:X$26,RegIndex)</f>
        <v>0.82</v>
      </c>
    </row>
    <row r="28" spans="2:24" hidden="1">
      <c r="C28" s="613" t="s">
        <v>402</v>
      </c>
      <c r="D28" s="652">
        <f t="array" ref="D28:P28">IF(INDEX($D$9:$P$26,RegIndex,0)&gt;0,INDEX($D$9:$P$26,RegIndex,0),D27:P27)</f>
        <v>12.071078572674418</v>
      </c>
      <c r="E28" s="653">
        <v>16.600000000000001</v>
      </c>
      <c r="F28" s="653">
        <v>5</v>
      </c>
      <c r="G28" s="653">
        <v>32.6</v>
      </c>
      <c r="H28" s="653">
        <v>5.6040000000000001</v>
      </c>
      <c r="I28" s="653">
        <v>3.504</v>
      </c>
      <c r="J28" s="653">
        <v>4.67</v>
      </c>
      <c r="K28" s="653">
        <v>4.99</v>
      </c>
      <c r="L28" s="653">
        <v>3</v>
      </c>
      <c r="M28" s="653">
        <v>80.601600000000005</v>
      </c>
      <c r="N28" s="653">
        <v>25.1</v>
      </c>
      <c r="O28" s="653">
        <v>18.399999999999999</v>
      </c>
      <c r="P28" s="653">
        <v>11.808000000000002</v>
      </c>
      <c r="Q28" s="652">
        <f t="array" ref="Q28:U28">IF(INDEX($Q$9:$U$26,RegIndex,0)&gt;0,INDEX($Q$9:$U$26,RegIndex,0),Q27:U27)+IF(Q29:U29&gt;0,Q29:U29,0)</f>
        <v>17.118749999999999</v>
      </c>
      <c r="R28" s="653">
        <v>9.679326923076923</v>
      </c>
      <c r="S28" s="653">
        <v>23.4</v>
      </c>
      <c r="T28" s="653">
        <v>12</v>
      </c>
      <c r="U28" s="654">
        <v>10.5</v>
      </c>
    </row>
    <row r="29" spans="2:24" hidden="1">
      <c r="C29" s="613" t="s">
        <v>781</v>
      </c>
      <c r="D29" s="652">
        <v>1.25</v>
      </c>
      <c r="E29" s="655">
        <v>3.3</v>
      </c>
      <c r="F29" s="653">
        <f>2.4*0+0.85*3.6</f>
        <v>3.06</v>
      </c>
      <c r="G29" s="653">
        <f>3.3*3.6</f>
        <v>11.879999999999999</v>
      </c>
      <c r="H29" s="653">
        <f>0.145*3.6</f>
        <v>0.52200000000000002</v>
      </c>
      <c r="I29" s="653">
        <f>0.145*3.6</f>
        <v>0.52200000000000002</v>
      </c>
      <c r="J29" s="653">
        <f>0.075*3.6</f>
        <v>0.27</v>
      </c>
      <c r="K29" s="656">
        <f>0.15*3.85+0.52</f>
        <v>1.0975000000000001</v>
      </c>
      <c r="L29" s="653">
        <f>L28*0.14</f>
        <v>0.42000000000000004</v>
      </c>
      <c r="M29" s="653">
        <f>15*3.6+1.4*3.6</f>
        <v>59.04</v>
      </c>
      <c r="N29" s="655">
        <f>3*3.6</f>
        <v>10.8</v>
      </c>
      <c r="O29" s="655">
        <f>4*3.6</f>
        <v>14.4</v>
      </c>
      <c r="P29" s="653">
        <f>P28*0.085</f>
        <v>1.0036800000000001</v>
      </c>
      <c r="Q29" s="657">
        <v>1</v>
      </c>
      <c r="R29" s="655">
        <v>1</v>
      </c>
      <c r="S29" s="655">
        <v>4.5</v>
      </c>
      <c r="T29" s="653">
        <f>INDEX($O$4:$P$6,-INDEX(T$9:T$26,RegIndex),1)</f>
        <v>10.5</v>
      </c>
      <c r="U29" s="658">
        <v>0.5</v>
      </c>
      <c r="W29" s="659" t="s">
        <v>414</v>
      </c>
      <c r="X29" s="660">
        <v>0.86</v>
      </c>
    </row>
    <row r="30" spans="2:24" hidden="1">
      <c r="B30" s="613" t="s">
        <v>374</v>
      </c>
    </row>
    <row r="31" spans="2:24" hidden="1">
      <c r="B31" s="613" t="s">
        <v>373</v>
      </c>
      <c r="C31" s="614">
        <f ca="1">IEA_Year</f>
        <v>2010</v>
      </c>
    </row>
    <row r="32" spans="2:24" hidden="1">
      <c r="C32" s="661" t="s">
        <v>272</v>
      </c>
      <c r="D32" s="662"/>
      <c r="E32" s="662"/>
      <c r="F32" s="662"/>
      <c r="G32" s="661" t="s">
        <v>273</v>
      </c>
      <c r="H32" s="662"/>
      <c r="I32" s="662"/>
      <c r="J32" s="662"/>
      <c r="K32" s="663"/>
      <c r="L32" s="661" t="s">
        <v>274</v>
      </c>
      <c r="M32" s="662"/>
      <c r="N32" s="662"/>
      <c r="O32" s="663"/>
      <c r="P32" s="661" t="s">
        <v>276</v>
      </c>
      <c r="Q32" s="662"/>
      <c r="R32" s="662"/>
      <c r="S32" s="662"/>
      <c r="T32" s="663"/>
      <c r="U32" s="661" t="s">
        <v>275</v>
      </c>
      <c r="V32" s="662"/>
      <c r="W32" s="662"/>
      <c r="X32" s="663"/>
    </row>
    <row r="33" spans="2:24" hidden="1">
      <c r="C33" s="623"/>
      <c r="D33" s="630"/>
      <c r="E33" s="630"/>
      <c r="F33" s="630"/>
      <c r="G33" s="664" t="s">
        <v>277</v>
      </c>
      <c r="H33" s="665"/>
      <c r="I33" s="665"/>
      <c r="J33" s="630"/>
      <c r="K33" s="624"/>
      <c r="L33" s="623"/>
      <c r="M33" s="630"/>
      <c r="N33" s="630"/>
      <c r="O33" s="624"/>
      <c r="P33" s="623"/>
      <c r="Q33" s="630"/>
      <c r="R33" s="630"/>
      <c r="S33" s="630"/>
      <c r="T33" s="624"/>
      <c r="U33" s="623"/>
      <c r="V33" s="630"/>
      <c r="W33" s="630"/>
      <c r="X33" s="624"/>
    </row>
    <row r="34" spans="2:24" hidden="1">
      <c r="B34" s="646" t="s">
        <v>573</v>
      </c>
      <c r="C34" s="626" t="s">
        <v>261</v>
      </c>
      <c r="D34" s="646" t="s">
        <v>262</v>
      </c>
      <c r="E34" s="646" t="s">
        <v>263</v>
      </c>
      <c r="F34" s="624" t="s">
        <v>408</v>
      </c>
      <c r="G34" s="626" t="s">
        <v>214</v>
      </c>
      <c r="H34" s="646" t="s">
        <v>216</v>
      </c>
      <c r="I34" s="646" t="s">
        <v>456</v>
      </c>
      <c r="J34" s="646" t="s">
        <v>218</v>
      </c>
      <c r="K34" s="627" t="s">
        <v>219</v>
      </c>
      <c r="L34" s="626" t="s">
        <v>220</v>
      </c>
      <c r="M34" s="646" t="s">
        <v>222</v>
      </c>
      <c r="N34" s="646" t="s">
        <v>407</v>
      </c>
      <c r="O34" s="627" t="s">
        <v>406</v>
      </c>
      <c r="P34" s="626" t="s">
        <v>251</v>
      </c>
      <c r="Q34" s="646" t="s">
        <v>252</v>
      </c>
      <c r="R34" s="646" t="s">
        <v>254</v>
      </c>
      <c r="S34" s="646" t="s">
        <v>539</v>
      </c>
      <c r="T34" s="627" t="s">
        <v>353</v>
      </c>
      <c r="U34" s="626" t="s">
        <v>250</v>
      </c>
      <c r="V34" s="646" t="s">
        <v>249</v>
      </c>
      <c r="W34" s="646" t="s">
        <v>247</v>
      </c>
      <c r="X34" s="627" t="s">
        <v>338</v>
      </c>
    </row>
    <row r="35" spans="2:24" hidden="1">
      <c r="B35" s="666" t="s">
        <v>264</v>
      </c>
      <c r="C35" s="667">
        <v>4.9509999999999996</v>
      </c>
      <c r="D35" s="668">
        <v>6.1520000000000001</v>
      </c>
      <c r="E35" s="668">
        <v>3.8498490000000025</v>
      </c>
      <c r="F35" s="669">
        <v>4.1727860000000003</v>
      </c>
      <c r="G35" s="667">
        <v>18.9559125</v>
      </c>
      <c r="H35" s="668">
        <v>187.8860875</v>
      </c>
      <c r="I35" s="668">
        <v>2.76</v>
      </c>
      <c r="J35" s="668">
        <v>4.4217283299972188</v>
      </c>
      <c r="K35" s="670">
        <v>45.534128725149159</v>
      </c>
      <c r="L35" s="667">
        <v>1.6879999999999999</v>
      </c>
      <c r="M35" s="668">
        <v>1.2314799952625413</v>
      </c>
      <c r="N35" s="668">
        <v>8.7767999999999999E-2</v>
      </c>
      <c r="O35" s="670">
        <v>0</v>
      </c>
      <c r="P35" s="671">
        <v>1.1477469119569876</v>
      </c>
      <c r="Q35" s="672">
        <v>0.47157397261618184</v>
      </c>
      <c r="R35" s="672">
        <v>7.1299457142857143</v>
      </c>
      <c r="S35" s="672">
        <v>0.9</v>
      </c>
      <c r="T35" s="669">
        <v>1.96</v>
      </c>
      <c r="U35" s="667">
        <v>3.4315509999999998</v>
      </c>
      <c r="V35" s="668">
        <v>6.6503995845892755E-2</v>
      </c>
      <c r="W35" s="668">
        <v>0.6447944811401698</v>
      </c>
      <c r="X35" s="670">
        <v>8.8701523013937522E-2</v>
      </c>
    </row>
    <row r="36" spans="2:24" hidden="1">
      <c r="B36" s="666" t="s">
        <v>265</v>
      </c>
      <c r="C36" s="667">
        <v>4.7610000000000001</v>
      </c>
      <c r="D36" s="668">
        <v>0</v>
      </c>
      <c r="E36" s="668">
        <v>1.2243669999999991</v>
      </c>
      <c r="F36" s="670">
        <v>0.28399999999999997</v>
      </c>
      <c r="G36" s="667">
        <v>6.3882000000000003</v>
      </c>
      <c r="H36" s="668">
        <v>4.311799999999999</v>
      </c>
      <c r="I36" s="668">
        <v>3.044</v>
      </c>
      <c r="J36" s="668">
        <v>1.3056839330820738</v>
      </c>
      <c r="K36" s="670">
        <v>2.5081507236915805</v>
      </c>
      <c r="L36" s="667">
        <v>1.786</v>
      </c>
      <c r="M36" s="668">
        <v>0.41351975185790268</v>
      </c>
      <c r="N36" s="668">
        <v>0.459144</v>
      </c>
      <c r="O36" s="670">
        <v>20.486000000000001</v>
      </c>
      <c r="P36" s="667">
        <v>0.35904189616314813</v>
      </c>
      <c r="Q36" s="668">
        <v>0.10286964981570897</v>
      </c>
      <c r="R36" s="668">
        <v>1.7338178571428571</v>
      </c>
      <c r="S36" s="668">
        <v>0.11</v>
      </c>
      <c r="T36" s="670">
        <v>1.4520000000000002</v>
      </c>
      <c r="U36" s="667">
        <v>3.9676079999999998</v>
      </c>
      <c r="V36" s="668">
        <v>0.26064608069742096</v>
      </c>
      <c r="W36" s="668">
        <v>0.43158510746431272</v>
      </c>
      <c r="X36" s="670">
        <v>0.50259501442682852</v>
      </c>
    </row>
    <row r="37" spans="2:24" hidden="1">
      <c r="B37" s="666" t="s">
        <v>266</v>
      </c>
      <c r="C37" s="667">
        <v>7.2709999999999999</v>
      </c>
      <c r="D37" s="668">
        <v>1.6080000000000001</v>
      </c>
      <c r="E37" s="668">
        <v>4.8209999999999997</v>
      </c>
      <c r="F37" s="670">
        <v>4.9355000000000003E-2</v>
      </c>
      <c r="G37" s="667">
        <v>2.8591299999999999</v>
      </c>
      <c r="H37" s="668">
        <v>9.8408699999999989</v>
      </c>
      <c r="I37" s="668">
        <v>1.9</v>
      </c>
      <c r="J37" s="668">
        <v>1.9558065340773994</v>
      </c>
      <c r="K37" s="670">
        <v>3.2791692532333023</v>
      </c>
      <c r="L37" s="667">
        <v>3.2120000000000002</v>
      </c>
      <c r="M37" s="668">
        <v>0.27608400044590781</v>
      </c>
      <c r="N37" s="668">
        <v>0.60839799999999999</v>
      </c>
      <c r="O37" s="670">
        <v>1.57</v>
      </c>
      <c r="P37" s="667">
        <v>8.4680139493041917</v>
      </c>
      <c r="Q37" s="668">
        <v>4.7996634858209504</v>
      </c>
      <c r="R37" s="668">
        <v>4.5565949999999997</v>
      </c>
      <c r="S37" s="668">
        <v>1.21</v>
      </c>
      <c r="T37" s="670">
        <v>1.26</v>
      </c>
      <c r="U37" s="667">
        <v>9.9580000000000002</v>
      </c>
      <c r="V37" s="668">
        <v>0.68632851246682058</v>
      </c>
      <c r="W37" s="668">
        <v>1.0044728532692708</v>
      </c>
      <c r="X37" s="670">
        <v>6.0253062864028539E-3</v>
      </c>
    </row>
    <row r="38" spans="2:24" hidden="1">
      <c r="B38" s="666" t="s">
        <v>267</v>
      </c>
      <c r="C38" s="667">
        <v>754.14</v>
      </c>
      <c r="D38" s="668">
        <v>0</v>
      </c>
      <c r="E38" s="668">
        <v>77.59</v>
      </c>
      <c r="F38" s="670">
        <v>42.84131</v>
      </c>
      <c r="G38" s="667">
        <v>12.563964000000002</v>
      </c>
      <c r="H38" s="668">
        <v>2305.9360360000001</v>
      </c>
      <c r="I38" s="668">
        <v>224.25</v>
      </c>
      <c r="J38" s="668">
        <v>40.53664260440371</v>
      </c>
      <c r="K38" s="670">
        <v>1486.5481676111108</v>
      </c>
      <c r="L38" s="667">
        <v>32.722999999999999</v>
      </c>
      <c r="M38" s="668">
        <v>4.1431098609157688</v>
      </c>
      <c r="N38" s="668">
        <v>6.1440000000000001</v>
      </c>
      <c r="O38" s="670">
        <v>69.016999999999996</v>
      </c>
      <c r="P38" s="667">
        <v>29.123814724292505</v>
      </c>
      <c r="Q38" s="668">
        <v>10</v>
      </c>
      <c r="R38" s="668">
        <v>53.048742857142855</v>
      </c>
      <c r="S38" s="668">
        <v>26</v>
      </c>
      <c r="T38" s="670">
        <v>32.239680000000007</v>
      </c>
      <c r="U38" s="667">
        <v>115.35</v>
      </c>
      <c r="V38" s="668">
        <v>7.4989163415691371E-3</v>
      </c>
      <c r="W38" s="668">
        <v>0.10159688773298656</v>
      </c>
      <c r="X38" s="670">
        <v>0.5981274382314693</v>
      </c>
    </row>
    <row r="39" spans="2:24" hidden="1">
      <c r="B39" s="666" t="s">
        <v>1094</v>
      </c>
      <c r="C39" s="667">
        <v>73.760000000000005</v>
      </c>
      <c r="D39" s="668">
        <v>7.242</v>
      </c>
      <c r="E39" s="668">
        <v>21.138000000000012</v>
      </c>
      <c r="F39" s="670">
        <v>4.8500680000000003</v>
      </c>
      <c r="G39" s="667">
        <v>37.650599999999997</v>
      </c>
      <c r="H39" s="668">
        <v>63.216400000000007</v>
      </c>
      <c r="I39" s="668">
        <v>14.989000000000001</v>
      </c>
      <c r="J39" s="668">
        <v>4.1695241762592605</v>
      </c>
      <c r="K39" s="670">
        <v>111.03192742385076</v>
      </c>
      <c r="L39" s="667">
        <v>3.968</v>
      </c>
      <c r="M39" s="668">
        <v>1.1494746435057883</v>
      </c>
      <c r="N39" s="668">
        <v>0.68716699999999997</v>
      </c>
      <c r="O39" s="670">
        <v>5.9980000000000002</v>
      </c>
      <c r="P39" s="667">
        <v>10.548093215033019</v>
      </c>
      <c r="Q39" s="668">
        <v>3.199263585552544</v>
      </c>
      <c r="R39" s="668">
        <v>21.610062428571428</v>
      </c>
      <c r="S39" s="668">
        <v>2.75</v>
      </c>
      <c r="T39" s="670">
        <v>3.78</v>
      </c>
      <c r="U39" s="667">
        <v>10.333368</v>
      </c>
      <c r="V39" s="668">
        <v>0.17704088071077806</v>
      </c>
      <c r="W39" s="668">
        <v>0.62999512149102099</v>
      </c>
      <c r="X39" s="670">
        <v>0.15351892722682475</v>
      </c>
    </row>
    <row r="40" spans="2:24" hidden="1">
      <c r="B40" s="666" t="s">
        <v>268</v>
      </c>
      <c r="C40" s="667">
        <v>20.795999999999999</v>
      </c>
      <c r="D40" s="668">
        <v>0</v>
      </c>
      <c r="E40" s="668">
        <v>8.3294300000000021</v>
      </c>
      <c r="F40" s="670">
        <v>0.28608899999999998</v>
      </c>
      <c r="G40" s="667">
        <v>16.897198499999998</v>
      </c>
      <c r="H40" s="668">
        <v>35.49050050000001</v>
      </c>
      <c r="I40" s="668">
        <v>8.48</v>
      </c>
      <c r="J40" s="668">
        <v>2.7562825574822671</v>
      </c>
      <c r="K40" s="670">
        <v>50.67047447001277</v>
      </c>
      <c r="L40" s="667">
        <v>0.68</v>
      </c>
      <c r="M40" s="668">
        <v>0.69801684458483615</v>
      </c>
      <c r="N40" s="668">
        <v>0.214</v>
      </c>
      <c r="O40" s="670">
        <v>0.65300000000000002</v>
      </c>
      <c r="P40" s="667">
        <v>1.2924327923019927</v>
      </c>
      <c r="Q40" s="668">
        <v>0.7452536251684031</v>
      </c>
      <c r="R40" s="668">
        <v>6.532538999999999</v>
      </c>
      <c r="S40" s="668">
        <v>0.95</v>
      </c>
      <c r="T40" s="670">
        <v>0.71399999999999997</v>
      </c>
      <c r="U40" s="667">
        <v>10.197934</v>
      </c>
      <c r="V40" s="668">
        <v>3.3276853469896159E-2</v>
      </c>
      <c r="W40" s="668">
        <v>0.30936717697783966</v>
      </c>
      <c r="X40" s="670">
        <v>0.36935596955226413</v>
      </c>
    </row>
    <row r="41" spans="2:24" hidden="1">
      <c r="B41" s="666" t="s">
        <v>269</v>
      </c>
      <c r="C41" s="667">
        <v>43.76400000000001</v>
      </c>
      <c r="D41" s="668">
        <v>29.504999999999999</v>
      </c>
      <c r="E41" s="668">
        <v>28.10199999999999</v>
      </c>
      <c r="F41" s="670">
        <v>3.3803900000000002</v>
      </c>
      <c r="G41" s="667">
        <v>24.9375</v>
      </c>
      <c r="H41" s="668">
        <v>255.0625</v>
      </c>
      <c r="I41" s="668">
        <v>16</v>
      </c>
      <c r="J41" s="668">
        <v>8.6324248131881713</v>
      </c>
      <c r="K41" s="670">
        <v>252.82868924915826</v>
      </c>
      <c r="L41" s="667">
        <v>3.2690000000000001</v>
      </c>
      <c r="M41" s="668">
        <v>0.72082092401680031</v>
      </c>
      <c r="N41" s="668">
        <v>0.81896700000000011</v>
      </c>
      <c r="O41" s="670">
        <v>6.06</v>
      </c>
      <c r="P41" s="667">
        <v>6.9314621708246289</v>
      </c>
      <c r="Q41" s="668">
        <v>1.4</v>
      </c>
      <c r="R41" s="668">
        <v>13.140514285714286</v>
      </c>
      <c r="S41" s="668">
        <v>2.6</v>
      </c>
      <c r="T41" s="670">
        <v>0.56000000000000005</v>
      </c>
      <c r="U41" s="667">
        <v>16.227</v>
      </c>
      <c r="V41" s="668">
        <v>3.1059345535219079E-2</v>
      </c>
      <c r="W41" s="668">
        <v>0.17611388426696248</v>
      </c>
      <c r="X41" s="670">
        <v>0.4928267701978184</v>
      </c>
    </row>
    <row r="42" spans="2:24" hidden="1">
      <c r="B42" s="666" t="s">
        <v>1095</v>
      </c>
      <c r="C42" s="667">
        <v>127.01900000000001</v>
      </c>
      <c r="D42" s="668">
        <v>0</v>
      </c>
      <c r="E42" s="668">
        <v>48.722694999999987</v>
      </c>
      <c r="F42" s="670">
        <v>1.4716479999999998</v>
      </c>
      <c r="G42" s="667">
        <v>2.9683799999999998</v>
      </c>
      <c r="H42" s="668">
        <v>114.83162</v>
      </c>
      <c r="I42" s="668">
        <v>12.4</v>
      </c>
      <c r="J42" s="668">
        <v>8.2830587428303009</v>
      </c>
      <c r="K42" s="670">
        <v>17.899767052941129</v>
      </c>
      <c r="L42" s="667">
        <v>0</v>
      </c>
      <c r="M42" s="668">
        <v>1.8264786265291508</v>
      </c>
      <c r="N42" s="668">
        <v>1.495374</v>
      </c>
      <c r="O42" s="670">
        <v>0.02</v>
      </c>
      <c r="P42" s="667">
        <v>27.668408044552269</v>
      </c>
      <c r="Q42" s="668">
        <v>21.3</v>
      </c>
      <c r="R42" s="668">
        <v>0.87481757142857131</v>
      </c>
      <c r="S42" s="668">
        <v>6</v>
      </c>
      <c r="T42" s="670">
        <v>0.58799999999999997</v>
      </c>
      <c r="U42" s="667">
        <v>37.634999999999998</v>
      </c>
      <c r="V42" s="668">
        <v>2.1395458765482402E-2</v>
      </c>
      <c r="W42" s="668">
        <v>0.23406289117473283</v>
      </c>
      <c r="X42" s="670">
        <v>0.44954165005978469</v>
      </c>
    </row>
    <row r="43" spans="2:24" hidden="1">
      <c r="B43" s="666" t="s">
        <v>1096</v>
      </c>
      <c r="C43" s="667">
        <v>34.709000000000003</v>
      </c>
      <c r="D43" s="668">
        <v>7.7329999999999997</v>
      </c>
      <c r="E43" s="668">
        <v>21.943164000000003</v>
      </c>
      <c r="F43" s="670">
        <v>1.345405</v>
      </c>
      <c r="G43" s="667">
        <v>30.501324</v>
      </c>
      <c r="H43" s="668">
        <v>148.96067599999998</v>
      </c>
      <c r="I43" s="668">
        <v>10.015000000000001</v>
      </c>
      <c r="J43" s="668">
        <v>8.6839718934372669</v>
      </c>
      <c r="K43" s="670">
        <v>61.871495494949407</v>
      </c>
      <c r="L43" s="667">
        <v>1.379</v>
      </c>
      <c r="M43" s="668">
        <v>3.2800970680788413</v>
      </c>
      <c r="N43" s="668">
        <v>0.93834200000000001</v>
      </c>
      <c r="O43" s="670">
        <v>13.012</v>
      </c>
      <c r="P43" s="667">
        <v>4.3735726754482656</v>
      </c>
      <c r="Q43" s="668">
        <v>2.2067352377292058</v>
      </c>
      <c r="R43" s="668">
        <v>8.3770778571428561</v>
      </c>
      <c r="S43" s="668">
        <v>2.2799999999999998</v>
      </c>
      <c r="T43" s="670">
        <v>8.5798199999999998</v>
      </c>
      <c r="U43" s="667">
        <v>22.063074</v>
      </c>
      <c r="V43" s="668">
        <v>3.6328723839841773E-2</v>
      </c>
      <c r="W43" s="668">
        <v>1.2820948557574527</v>
      </c>
      <c r="X43" s="670">
        <v>0.1937691910021242</v>
      </c>
    </row>
    <row r="44" spans="2:24" hidden="1">
      <c r="B44" s="666" t="s">
        <v>270</v>
      </c>
      <c r="C44" s="667">
        <v>13.795999999999999</v>
      </c>
      <c r="D44" s="668">
        <v>33.195</v>
      </c>
      <c r="E44" s="668">
        <v>25.431764999999984</v>
      </c>
      <c r="F44" s="670">
        <v>0.48399999999999999</v>
      </c>
      <c r="G44" s="667">
        <v>17.0268525</v>
      </c>
      <c r="H44" s="668">
        <v>256.17566149999993</v>
      </c>
      <c r="I44" s="668">
        <v>8.4700000000000006</v>
      </c>
      <c r="J44" s="668">
        <v>3.6585808160599465</v>
      </c>
      <c r="K44" s="670">
        <v>72.581826141087987</v>
      </c>
      <c r="L44" s="667">
        <v>5.6360000000000001</v>
      </c>
      <c r="M44" s="668">
        <v>0.21046186170623468</v>
      </c>
      <c r="N44" s="668">
        <v>0.14000000000000001</v>
      </c>
      <c r="O44" s="670">
        <v>2.028</v>
      </c>
      <c r="P44" s="667">
        <v>15.058579502598228</v>
      </c>
      <c r="Q44" s="668">
        <v>3.9</v>
      </c>
      <c r="R44" s="668">
        <v>16.83567557142857</v>
      </c>
      <c r="S44" s="668">
        <v>1.375</v>
      </c>
      <c r="T44" s="670">
        <v>13.888000000000002</v>
      </c>
      <c r="U44" s="667">
        <v>5.9533519999999998</v>
      </c>
      <c r="V44" s="668">
        <v>0</v>
      </c>
      <c r="W44" s="668">
        <v>4.7284286230681469E-2</v>
      </c>
      <c r="X44" s="670">
        <v>0.55000000000000004</v>
      </c>
    </row>
    <row r="45" spans="2:24" hidden="1">
      <c r="B45" s="666" t="s">
        <v>271</v>
      </c>
      <c r="C45" s="667">
        <v>20.628</v>
      </c>
      <c r="D45" s="668">
        <v>0.59199999999999997</v>
      </c>
      <c r="E45" s="668">
        <v>32.32</v>
      </c>
      <c r="F45" s="670">
        <v>1.027717</v>
      </c>
      <c r="G45" s="667">
        <v>14.847987000000002</v>
      </c>
      <c r="H45" s="668">
        <v>306.36001300000004</v>
      </c>
      <c r="I45" s="668">
        <v>3.4460000000000002</v>
      </c>
      <c r="J45" s="668">
        <v>7.0294227473302069</v>
      </c>
      <c r="K45" s="670">
        <v>50.19947393562358</v>
      </c>
      <c r="L45" s="667">
        <v>0.87</v>
      </c>
      <c r="M45" s="668">
        <v>0.48670891663368732</v>
      </c>
      <c r="N45" s="668">
        <v>4.4999999999999998E-2</v>
      </c>
      <c r="O45" s="670">
        <v>2.2000000000000002</v>
      </c>
      <c r="P45" s="667">
        <v>16.3250842289814</v>
      </c>
      <c r="Q45" s="668">
        <v>3.6</v>
      </c>
      <c r="R45" s="668">
        <v>13.080895285714284</v>
      </c>
      <c r="S45" s="668">
        <v>1.44</v>
      </c>
      <c r="T45" s="670">
        <v>2.9370000000000003</v>
      </c>
      <c r="U45" s="667">
        <v>26.385968999999999</v>
      </c>
      <c r="V45" s="668">
        <v>9.510576333013953E-3</v>
      </c>
      <c r="W45" s="668">
        <v>0.40923739536361015</v>
      </c>
      <c r="X45" s="670">
        <v>0.3141447283668074</v>
      </c>
    </row>
    <row r="46" spans="2:24" hidden="1">
      <c r="B46" s="666" t="s">
        <v>563</v>
      </c>
      <c r="C46" s="667">
        <v>25.788</v>
      </c>
      <c r="D46" s="668">
        <v>2</v>
      </c>
      <c r="E46" s="668">
        <v>53.852000000000004</v>
      </c>
      <c r="F46" s="670">
        <v>0.38839999999999997</v>
      </c>
      <c r="G46" s="667">
        <v>5.3761599999999969</v>
      </c>
      <c r="H46" s="668">
        <v>83.123840000000001</v>
      </c>
      <c r="I46" s="668">
        <v>17.7</v>
      </c>
      <c r="J46" s="668">
        <v>23.433187620045313</v>
      </c>
      <c r="K46" s="670">
        <v>30.145299666292551</v>
      </c>
      <c r="L46" s="667">
        <v>0.74099999999999999</v>
      </c>
      <c r="M46" s="668">
        <v>0.86381159420289855</v>
      </c>
      <c r="N46" s="668">
        <v>0.13200000000000001</v>
      </c>
      <c r="O46" s="670">
        <v>1.43</v>
      </c>
      <c r="P46" s="667">
        <v>51.581114870235204</v>
      </c>
      <c r="Q46" s="668">
        <v>33.858233420311464</v>
      </c>
      <c r="R46" s="668">
        <v>14.113885714285713</v>
      </c>
      <c r="S46" s="668">
        <v>15.487200000000001</v>
      </c>
      <c r="T46" s="670">
        <v>4.8</v>
      </c>
      <c r="U46" s="667">
        <v>72.044539</v>
      </c>
      <c r="V46" s="668">
        <v>3.9649685286754263E-2</v>
      </c>
      <c r="W46" s="668">
        <v>0.64859317646575132</v>
      </c>
      <c r="X46" s="670">
        <v>0.11675713824749445</v>
      </c>
    </row>
    <row r="47" spans="2:24" hidden="1">
      <c r="B47" s="666" t="s">
        <v>705</v>
      </c>
      <c r="C47" s="667">
        <v>76.066000000000003</v>
      </c>
      <c r="D47" s="668">
        <v>0.6</v>
      </c>
      <c r="E47" s="668">
        <v>58.38306399999999</v>
      </c>
      <c r="F47" s="670">
        <v>0.81520000000000004</v>
      </c>
      <c r="G47" s="667">
        <v>26.983620000000005</v>
      </c>
      <c r="H47" s="668">
        <v>98.837888000000021</v>
      </c>
      <c r="I47" s="668">
        <v>19.02</v>
      </c>
      <c r="J47" s="668">
        <v>34.556541172691659</v>
      </c>
      <c r="K47" s="670">
        <v>162.46632986418456</v>
      </c>
      <c r="L47" s="667">
        <v>2.5369999999999999</v>
      </c>
      <c r="M47" s="668">
        <v>1.0015096695434562</v>
      </c>
      <c r="N47" s="668">
        <v>1.508</v>
      </c>
      <c r="O47" s="670">
        <v>6.5350000000000001</v>
      </c>
      <c r="P47" s="667">
        <v>38.307124103398571</v>
      </c>
      <c r="Q47" s="668">
        <v>15.758194229906499</v>
      </c>
      <c r="R47" s="668">
        <v>10.804422857142857</v>
      </c>
      <c r="S47" s="668">
        <v>9</v>
      </c>
      <c r="T47" s="670">
        <v>2.3940000000000006</v>
      </c>
      <c r="U47" s="667">
        <v>63.765611999999997</v>
      </c>
      <c r="V47" s="668">
        <v>4.9291785788141779E-2</v>
      </c>
      <c r="W47" s="668">
        <v>0.14943253182681346</v>
      </c>
      <c r="X47" s="670">
        <v>0.51227568238504473</v>
      </c>
    </row>
    <row r="48" spans="2:24" hidden="1">
      <c r="B48" s="666" t="s">
        <v>1097</v>
      </c>
      <c r="C48" s="667">
        <v>0</v>
      </c>
      <c r="D48" s="668">
        <v>0</v>
      </c>
      <c r="E48" s="668">
        <v>0</v>
      </c>
      <c r="F48" s="670">
        <v>0</v>
      </c>
      <c r="G48" s="667">
        <v>0.82062500000000005</v>
      </c>
      <c r="H48" s="668">
        <v>1.5385059999999995</v>
      </c>
      <c r="I48" s="668">
        <v>9.1999999999999998E-2</v>
      </c>
      <c r="J48" s="668">
        <v>0.32485701168842396</v>
      </c>
      <c r="K48" s="670">
        <v>4.7165731371428574</v>
      </c>
      <c r="L48" s="667">
        <v>0</v>
      </c>
      <c r="M48" s="668">
        <v>0</v>
      </c>
      <c r="N48" s="668">
        <v>0</v>
      </c>
      <c r="O48" s="670">
        <v>0</v>
      </c>
      <c r="P48" s="667">
        <v>0</v>
      </c>
      <c r="Q48" s="668">
        <v>0</v>
      </c>
      <c r="R48" s="668">
        <v>0</v>
      </c>
      <c r="S48" s="668">
        <v>0</v>
      </c>
      <c r="T48" s="670">
        <v>0</v>
      </c>
      <c r="U48" s="667">
        <v>0.14699999999999999</v>
      </c>
      <c r="V48" s="668">
        <v>5.2857142857142853E-2</v>
      </c>
      <c r="W48" s="668">
        <v>0</v>
      </c>
      <c r="X48" s="670">
        <v>0.55000000000000004</v>
      </c>
    </row>
    <row r="49" spans="1:28" hidden="1">
      <c r="B49" s="666" t="s">
        <v>86</v>
      </c>
      <c r="C49" s="667">
        <v>2.7</v>
      </c>
      <c r="D49" s="668">
        <v>0</v>
      </c>
      <c r="E49" s="668">
        <v>1.3031999999999995</v>
      </c>
      <c r="F49" s="670">
        <v>0.48</v>
      </c>
      <c r="G49" s="667">
        <v>0</v>
      </c>
      <c r="H49" s="668">
        <v>1.510974</v>
      </c>
      <c r="I49" s="668">
        <v>0.49989999999999996</v>
      </c>
      <c r="J49" s="668">
        <v>0.32485701168842396</v>
      </c>
      <c r="K49" s="670">
        <v>1.6530295542857141</v>
      </c>
      <c r="L49" s="667">
        <v>0</v>
      </c>
      <c r="M49" s="668">
        <v>0.15645044851094367</v>
      </c>
      <c r="N49" s="668">
        <v>0.28499200000000002</v>
      </c>
      <c r="O49" s="670">
        <v>0</v>
      </c>
      <c r="P49" s="667">
        <v>0.43014715401364156</v>
      </c>
      <c r="Q49" s="668">
        <v>0.14319767101260772</v>
      </c>
      <c r="R49" s="668">
        <v>9.4903714285714286E-2</v>
      </c>
      <c r="S49" s="668">
        <v>0.09</v>
      </c>
      <c r="T49" s="670">
        <v>0</v>
      </c>
      <c r="U49" s="667">
        <v>10.276018000000001</v>
      </c>
      <c r="V49" s="668">
        <v>0.25979158942042996</v>
      </c>
      <c r="W49" s="668">
        <v>0.8201987336794323</v>
      </c>
      <c r="X49" s="670">
        <v>4.0009676900137903E-2</v>
      </c>
    </row>
    <row r="50" spans="1:28" hidden="1">
      <c r="B50" s="666" t="s">
        <v>1098</v>
      </c>
      <c r="C50" s="667">
        <v>0</v>
      </c>
      <c r="D50" s="668">
        <v>0</v>
      </c>
      <c r="E50" s="668">
        <v>0.61</v>
      </c>
      <c r="F50" s="670">
        <v>0.95899999999999996</v>
      </c>
      <c r="G50" s="667">
        <v>0</v>
      </c>
      <c r="H50" s="668">
        <v>1.924388</v>
      </c>
      <c r="I50" s="668">
        <v>0.41399999999999998</v>
      </c>
      <c r="J50" s="668">
        <v>0.11911423761908879</v>
      </c>
      <c r="K50" s="670">
        <v>2.4672129028571428</v>
      </c>
      <c r="L50" s="667">
        <v>1.23</v>
      </c>
      <c r="M50" s="668">
        <v>2.4371657892558705E-2</v>
      </c>
      <c r="N50" s="668">
        <v>0.17208600000000002</v>
      </c>
      <c r="O50" s="670">
        <v>0</v>
      </c>
      <c r="P50" s="667">
        <v>0.56718567994914826</v>
      </c>
      <c r="Q50" s="668">
        <v>0.23001273623410753</v>
      </c>
      <c r="R50" s="668">
        <v>0.36501428571428568</v>
      </c>
      <c r="S50" s="668">
        <v>0.25</v>
      </c>
      <c r="T50" s="670">
        <v>0.94499999999999995</v>
      </c>
      <c r="U50" s="667">
        <v>1.097</v>
      </c>
      <c r="V50" s="668">
        <v>0.69053315783215707</v>
      </c>
      <c r="W50" s="668">
        <v>0.27118060698096952</v>
      </c>
      <c r="X50" s="670">
        <v>8.0000000000000127E-2</v>
      </c>
    </row>
    <row r="51" spans="1:28" hidden="1">
      <c r="B51" s="666" t="s">
        <v>1099</v>
      </c>
      <c r="C51" s="667">
        <v>3.0780000000000003</v>
      </c>
      <c r="D51" s="668">
        <v>0.10299999999999999</v>
      </c>
      <c r="E51" s="668">
        <v>1.5323669999999998</v>
      </c>
      <c r="F51" s="670">
        <v>7.909999999999999E-2</v>
      </c>
      <c r="G51" s="667">
        <v>0</v>
      </c>
      <c r="H51" s="668">
        <v>3.0674000000000001</v>
      </c>
      <c r="I51" s="668">
        <v>0.71</v>
      </c>
      <c r="J51" s="668">
        <v>0.40890185203904178</v>
      </c>
      <c r="K51" s="670">
        <v>2.036045531428571</v>
      </c>
      <c r="L51" s="667">
        <v>0.123</v>
      </c>
      <c r="M51" s="668">
        <v>0.1951271151465126</v>
      </c>
      <c r="N51" s="668">
        <v>0</v>
      </c>
      <c r="O51" s="670">
        <v>0</v>
      </c>
      <c r="P51" s="667">
        <v>1.0061899886862045</v>
      </c>
      <c r="Q51" s="668">
        <v>0.35765312862792698</v>
      </c>
      <c r="R51" s="668">
        <v>0</v>
      </c>
      <c r="S51" s="668">
        <v>0.09</v>
      </c>
      <c r="T51" s="670">
        <v>0</v>
      </c>
      <c r="U51" s="667">
        <v>10.261010000000001</v>
      </c>
      <c r="V51" s="668">
        <v>0.30698759239955958</v>
      </c>
      <c r="W51" s="668">
        <v>0.8777885651131998</v>
      </c>
      <c r="X51" s="670">
        <v>2.4364073322216795E-2</v>
      </c>
    </row>
    <row r="52" spans="1:28" hidden="1">
      <c r="B52" s="673" t="s">
        <v>1341</v>
      </c>
      <c r="C52" s="674">
        <v>0</v>
      </c>
      <c r="D52" s="675">
        <v>0</v>
      </c>
      <c r="E52" s="675">
        <v>0</v>
      </c>
      <c r="F52" s="676">
        <v>0</v>
      </c>
      <c r="G52" s="674">
        <v>0</v>
      </c>
      <c r="H52" s="675">
        <v>0</v>
      </c>
      <c r="I52" s="675">
        <v>0</v>
      </c>
      <c r="J52" s="675">
        <v>0</v>
      </c>
      <c r="K52" s="676">
        <v>0</v>
      </c>
      <c r="L52" s="674">
        <v>0</v>
      </c>
      <c r="M52" s="675">
        <v>0</v>
      </c>
      <c r="N52" s="675">
        <v>0</v>
      </c>
      <c r="O52" s="676">
        <v>0</v>
      </c>
      <c r="P52" s="674">
        <v>0</v>
      </c>
      <c r="Q52" s="675">
        <v>0</v>
      </c>
      <c r="R52" s="675">
        <v>0</v>
      </c>
      <c r="S52" s="675">
        <v>0</v>
      </c>
      <c r="T52" s="676">
        <v>0</v>
      </c>
      <c r="U52" s="674">
        <v>0</v>
      </c>
      <c r="V52" s="675">
        <v>0</v>
      </c>
      <c r="W52" s="675">
        <v>0</v>
      </c>
      <c r="X52" s="676">
        <v>0</v>
      </c>
    </row>
    <row r="53" spans="1:28" hidden="1">
      <c r="B53" s="677" t="s">
        <v>278</v>
      </c>
      <c r="C53" s="678">
        <f t="shared" ref="C53:X53" si="1">SUM(C35:C51)</f>
        <v>1213.2270000000001</v>
      </c>
      <c r="D53" s="648">
        <f t="shared" si="1"/>
        <v>88.72999999999999</v>
      </c>
      <c r="E53" s="648">
        <f t="shared" si="1"/>
        <v>389.15290099999999</v>
      </c>
      <c r="F53" s="648">
        <f t="shared" si="1"/>
        <v>62.914467999999992</v>
      </c>
      <c r="G53" s="678">
        <f t="shared" si="1"/>
        <v>218.77745349999998</v>
      </c>
      <c r="H53" s="648">
        <f t="shared" si="1"/>
        <v>3878.0751604999996</v>
      </c>
      <c r="I53" s="648">
        <f t="shared" si="1"/>
        <v>344.18989999999997</v>
      </c>
      <c r="J53" s="648">
        <f t="shared" si="1"/>
        <v>150.60058605391981</v>
      </c>
      <c r="K53" s="679">
        <f t="shared" si="1"/>
        <v>2358.4377607370002</v>
      </c>
      <c r="L53" s="678">
        <f t="shared" si="1"/>
        <v>59.841999999999985</v>
      </c>
      <c r="M53" s="648">
        <f t="shared" si="1"/>
        <v>16.677522978833832</v>
      </c>
      <c r="N53" s="648">
        <f t="shared" si="1"/>
        <v>13.735238000000001</v>
      </c>
      <c r="O53" s="679">
        <f t="shared" si="1"/>
        <v>129.00900000000001</v>
      </c>
      <c r="P53" s="680">
        <f t="shared" si="1"/>
        <v>213.18801190773939</v>
      </c>
      <c r="Q53" s="656">
        <f t="shared" si="1"/>
        <v>102.07265074279559</v>
      </c>
      <c r="R53" s="656">
        <f t="shared" si="1"/>
        <v>172.29891000000001</v>
      </c>
      <c r="S53" s="656">
        <f t="shared" si="1"/>
        <v>70.532200000000003</v>
      </c>
      <c r="T53" s="654">
        <f t="shared" si="1"/>
        <v>76.097499999999997</v>
      </c>
      <c r="U53" s="678">
        <f t="shared" si="1"/>
        <v>419.09403499999996</v>
      </c>
      <c r="V53" s="648">
        <f t="shared" si="1"/>
        <v>2.72870029759012</v>
      </c>
      <c r="W53" s="648">
        <f t="shared" si="1"/>
        <v>8.0377985549352076</v>
      </c>
      <c r="X53" s="679">
        <f t="shared" si="1"/>
        <v>5.0420130892191555</v>
      </c>
    </row>
    <row r="54" spans="1:28" hidden="1">
      <c r="E54" s="681"/>
      <c r="G54" s="681"/>
      <c r="H54" s="681"/>
    </row>
    <row r="55" spans="1:28" hidden="1">
      <c r="E55" s="681"/>
    </row>
    <row r="56" spans="1:28" hidden="1">
      <c r="B56" s="613" t="s">
        <v>351</v>
      </c>
      <c r="F56" s="612" t="s">
        <v>349</v>
      </c>
      <c r="I56" s="612" t="s">
        <v>246</v>
      </c>
      <c r="M56" s="612" t="s">
        <v>352</v>
      </c>
      <c r="Q56" s="612" t="s">
        <v>46</v>
      </c>
      <c r="R56" s="613">
        <v>9</v>
      </c>
      <c r="T56" s="612" t="s">
        <v>691</v>
      </c>
      <c r="AB56" s="614" t="s">
        <v>1317</v>
      </c>
    </row>
    <row r="57" spans="1:28" hidden="1">
      <c r="E57" s="613" t="s">
        <v>449</v>
      </c>
      <c r="F57" s="613" t="s">
        <v>348</v>
      </c>
      <c r="G57" s="613" t="s">
        <v>403</v>
      </c>
      <c r="H57" s="613" t="s">
        <v>284</v>
      </c>
      <c r="I57" s="613" t="s">
        <v>245</v>
      </c>
      <c r="J57" s="613" t="s">
        <v>243</v>
      </c>
      <c r="K57" s="613" t="s">
        <v>244</v>
      </c>
      <c r="M57" s="613" t="s">
        <v>245</v>
      </c>
      <c r="N57" s="613" t="s">
        <v>243</v>
      </c>
      <c r="O57" s="613" t="s">
        <v>244</v>
      </c>
      <c r="R57" s="613" t="s">
        <v>283</v>
      </c>
      <c r="U57" s="613" t="s">
        <v>243</v>
      </c>
      <c r="V57" s="613" t="s">
        <v>244</v>
      </c>
      <c r="X57" s="613" t="s">
        <v>279</v>
      </c>
      <c r="Z57" s="613" t="s">
        <v>280</v>
      </c>
      <c r="AB57" s="614" t="s">
        <v>403</v>
      </c>
    </row>
    <row r="58" spans="1:28" hidden="1">
      <c r="A58" s="613">
        <v>2</v>
      </c>
      <c r="B58" s="613" t="str">
        <f t="shared" ref="B58:B82" si="2">LEFT(C58,3)</f>
        <v>IIS</v>
      </c>
      <c r="C58" s="613" t="s">
        <v>213</v>
      </c>
      <c r="D58" s="613" t="s">
        <v>261</v>
      </c>
      <c r="E58" s="613" t="s">
        <v>961</v>
      </c>
      <c r="F58" s="682">
        <f>INDEX($D$28:$P$28,A58-1)</f>
        <v>12.071078572674418</v>
      </c>
      <c r="G58" s="683">
        <f>INDEX($D$29:$P$29,A58-1)*(F58/INDEX($D$27:$P$27,A58-1))^0.2</f>
        <v>1.325594600707408</v>
      </c>
      <c r="H58" s="684">
        <f>INDEX($C$35:$X$52,RegIndex,$A58-1)</f>
        <v>0</v>
      </c>
      <c r="I58" s="685">
        <v>0.65</v>
      </c>
      <c r="J58" s="686">
        <f ca="1">(G58-F58*I58*Calibrati22!C9)/(F58*Calibrati22!C$14)</f>
        <v>0.12201750496505731</v>
      </c>
      <c r="K58" s="685">
        <f t="shared" ref="K58:K82" si="3">1-J58-I58</f>
        <v>0.22798249503494261</v>
      </c>
      <c r="M58" s="687">
        <f t="shared" ref="M58:M81" si="4">$H58*$F58*I58</f>
        <v>0</v>
      </c>
      <c r="N58" s="641">
        <f t="shared" ref="N58:N81" si="5">$H58*$F58*J58</f>
        <v>0</v>
      </c>
      <c r="O58" s="688">
        <f t="shared" ref="O58:O81" si="6">$H58*$F58*K58</f>
        <v>0</v>
      </c>
      <c r="Q58" s="623" t="s">
        <v>961</v>
      </c>
      <c r="R58" s="689">
        <f t="shared" ref="R58:R90" si="7">VLOOKUP(Q58,$E$58:$M$93,R$56,FALSE)</f>
        <v>0</v>
      </c>
      <c r="T58" s="613" t="s">
        <v>961</v>
      </c>
      <c r="U58" s="690">
        <f t="shared" ref="U58:V62" si="8">IF(N58,N58/SUMIF($B$58:$B$76,LEFT($T58,3),N$58:N$76),0)</f>
        <v>0</v>
      </c>
      <c r="V58" s="691">
        <f t="shared" si="8"/>
        <v>0</v>
      </c>
      <c r="X58" s="613">
        <v>4.2</v>
      </c>
      <c r="Y58" s="613">
        <v>1.74</v>
      </c>
      <c r="AB58" s="692">
        <f ca="1">F58*(I58*Calibrati22!C9+J58*Calibrati22!C$14)</f>
        <v>1.325594600707408</v>
      </c>
    </row>
    <row r="59" spans="1:28" hidden="1">
      <c r="A59" s="613">
        <f>A58+1</f>
        <v>3</v>
      </c>
      <c r="B59" s="613" t="str">
        <f t="shared" si="2"/>
        <v>IIS</v>
      </c>
      <c r="C59" s="613" t="s">
        <v>367</v>
      </c>
      <c r="D59" s="613" t="s">
        <v>262</v>
      </c>
      <c r="E59" s="613" t="s">
        <v>368</v>
      </c>
      <c r="F59" s="682">
        <f>INDEX($D$28:$P$28,A59-1)</f>
        <v>16.600000000000001</v>
      </c>
      <c r="G59" s="683">
        <f>INDEX($D$29:$P$29,A59-1)*SQRT(F59/INDEX($D$27:$P$27,A59-1))</f>
        <v>3.3</v>
      </c>
      <c r="H59" s="684">
        <f>INDEX($C$35:$X$52,RegIndex,$A59-1)</f>
        <v>0</v>
      </c>
      <c r="I59" s="685">
        <v>0.8</v>
      </c>
      <c r="J59" s="686">
        <f ca="1">(G59-F59*I59*Calibrati22!C10)/(F59*Calibrati22!C$14)</f>
        <v>0.13199464524765725</v>
      </c>
      <c r="K59" s="685">
        <f t="shared" si="3"/>
        <v>6.8005354752342706E-2</v>
      </c>
      <c r="M59" s="687">
        <f t="shared" si="4"/>
        <v>0</v>
      </c>
      <c r="N59" s="641">
        <f t="shared" si="5"/>
        <v>0</v>
      </c>
      <c r="O59" s="688">
        <f t="shared" si="6"/>
        <v>0</v>
      </c>
      <c r="Q59" s="623" t="s">
        <v>368</v>
      </c>
      <c r="R59" s="689">
        <f t="shared" si="7"/>
        <v>0</v>
      </c>
      <c r="T59" s="613" t="s">
        <v>368</v>
      </c>
      <c r="U59" s="690">
        <f t="shared" si="8"/>
        <v>0</v>
      </c>
      <c r="V59" s="691">
        <f t="shared" si="8"/>
        <v>0</v>
      </c>
      <c r="X59" s="613">
        <v>12.4</v>
      </c>
      <c r="Y59" s="613">
        <f>8.36+1.483</f>
        <v>9.843</v>
      </c>
      <c r="AB59" s="692">
        <f ca="1">F59*(I59*Calibrati22!C10+J59*Calibrati22!C$14)</f>
        <v>3.3</v>
      </c>
    </row>
    <row r="60" spans="1:28" hidden="1">
      <c r="A60" s="613">
        <f>A59+1</f>
        <v>4</v>
      </c>
      <c r="B60" s="613" t="str">
        <f t="shared" si="2"/>
        <v>IIS</v>
      </c>
      <c r="C60" s="613" t="s">
        <v>365</v>
      </c>
      <c r="D60" s="613" t="s">
        <v>263</v>
      </c>
      <c r="E60" s="613" t="s">
        <v>366</v>
      </c>
      <c r="F60" s="682">
        <f>INDEX($D$28:$P$28,A60-1)</f>
        <v>5</v>
      </c>
      <c r="G60" s="683">
        <f>INDEX($D$29:$P$29,A60-1)*SQRT(F60/INDEX($D$27:$P$27,A60-1))</f>
        <v>3.06</v>
      </c>
      <c r="H60" s="684">
        <f>INDEX($C$35:$X$52,RegIndex,$A60-1)</f>
        <v>0</v>
      </c>
      <c r="I60" s="685">
        <v>0.5</v>
      </c>
      <c r="J60" s="686">
        <f ca="1">(G60-F60*I60*Calibrati22!C11)/(F60*Calibrati22!C$14)</f>
        <v>0.40222222222222226</v>
      </c>
      <c r="K60" s="685">
        <f t="shared" si="3"/>
        <v>9.7777777777777741E-2</v>
      </c>
      <c r="M60" s="687">
        <f t="shared" si="4"/>
        <v>0</v>
      </c>
      <c r="N60" s="641">
        <f t="shared" si="5"/>
        <v>0</v>
      </c>
      <c r="O60" s="688">
        <f t="shared" si="6"/>
        <v>0</v>
      </c>
      <c r="Q60" s="623" t="s">
        <v>366</v>
      </c>
      <c r="R60" s="689">
        <f t="shared" si="7"/>
        <v>0</v>
      </c>
      <c r="T60" s="613" t="s">
        <v>366</v>
      </c>
      <c r="U60" s="690">
        <f t="shared" si="8"/>
        <v>0</v>
      </c>
      <c r="V60" s="691">
        <f t="shared" si="8"/>
        <v>0</v>
      </c>
      <c r="X60" s="613">
        <v>3</v>
      </c>
      <c r="Y60" s="613">
        <v>1.2889999999999999</v>
      </c>
      <c r="AB60" s="692">
        <f ca="1">F60*(I60*Calibrati22!C11+J60*Calibrati22!C$14)</f>
        <v>3.0600000000000005</v>
      </c>
    </row>
    <row r="61" spans="1:28" hidden="1">
      <c r="A61" s="613">
        <f>A60+1</f>
        <v>5</v>
      </c>
      <c r="B61" s="613" t="str">
        <f t="shared" si="2"/>
        <v>IIS</v>
      </c>
      <c r="C61" s="613" t="s">
        <v>409</v>
      </c>
      <c r="D61" s="613" t="s">
        <v>408</v>
      </c>
      <c r="E61" s="613" t="s">
        <v>410</v>
      </c>
      <c r="F61" s="682">
        <f>INDEX($D$28:$P$28,A61-1)</f>
        <v>32.6</v>
      </c>
      <c r="G61" s="683">
        <f>INDEX($D$29:$P$29,A61-1)/INDEX($D$27:$P$27,A61-1)*F61</f>
        <v>11.879999999999999</v>
      </c>
      <c r="H61" s="684">
        <f>INDEX($C$35:$X$52,RegIndex,$A61-1)</f>
        <v>0</v>
      </c>
      <c r="I61" s="685">
        <v>0.85</v>
      </c>
      <c r="J61" s="686">
        <f ca="1">(G61-F61*I61*Calibrati22!C12)/(F61*Calibrati22!C$14)</f>
        <v>2.7130197682344835E-2</v>
      </c>
      <c r="K61" s="685">
        <f t="shared" si="3"/>
        <v>0.12286980231765521</v>
      </c>
      <c r="M61" s="687">
        <f t="shared" si="4"/>
        <v>0</v>
      </c>
      <c r="N61" s="641">
        <f t="shared" si="5"/>
        <v>0</v>
      </c>
      <c r="O61" s="688">
        <f t="shared" si="6"/>
        <v>0</v>
      </c>
      <c r="Q61" s="623" t="s">
        <v>410</v>
      </c>
      <c r="R61" s="689">
        <f t="shared" si="7"/>
        <v>0</v>
      </c>
      <c r="T61" s="613" t="s">
        <v>410</v>
      </c>
      <c r="U61" s="690">
        <f t="shared" si="8"/>
        <v>0</v>
      </c>
      <c r="V61" s="691">
        <f t="shared" si="8"/>
        <v>0</v>
      </c>
      <c r="AB61" s="692">
        <f ca="1">F61*(I61*Calibrati22!C12+J61*Calibrati22!C$14)</f>
        <v>11.879999999999999</v>
      </c>
    </row>
    <row r="62" spans="1:28" hidden="1">
      <c r="B62" s="613" t="str">
        <f t="shared" si="2"/>
        <v>IIS</v>
      </c>
      <c r="C62" s="613" t="s">
        <v>1285</v>
      </c>
      <c r="D62" s="613" t="s">
        <v>560</v>
      </c>
      <c r="E62" s="613" t="s">
        <v>1286</v>
      </c>
      <c r="F62" s="693">
        <f ca="1">MAX(G62,Calibrati22!T57-SUM(M58:O61))</f>
        <v>3.8745770435523269E-2</v>
      </c>
      <c r="G62" s="694">
        <f ca="1">MAX(0,AuxData2!B28-SUMPRODUCT(H58:H61,F58:F61,I58:I61*Calibrati22!C9:C12+J58:J61*Calibrati22!C14))</f>
        <v>2.3313240334398473E-2</v>
      </c>
      <c r="H62" s="684">
        <v>1</v>
      </c>
      <c r="I62" s="695">
        <f ca="1">IF(F62&gt;0,MIN(1-J62,(G62-F62*J62*Calibrati22!C14)/Calibrati22!C13/F62),0)</f>
        <v>0.36327789985177061</v>
      </c>
      <c r="J62" s="696">
        <f ca="1">IF(F62&gt;0,(G62/F62)^1.5,1)</f>
        <v>0.46673192670739028</v>
      </c>
      <c r="K62" s="685">
        <f t="shared" si="3"/>
        <v>0.16999017344083911</v>
      </c>
      <c r="M62" s="687">
        <f t="shared" si="4"/>
        <v>1.4075482111955718E-2</v>
      </c>
      <c r="N62" s="641">
        <f t="shared" si="5"/>
        <v>1.8083888087134015E-2</v>
      </c>
      <c r="O62" s="688">
        <f t="shared" si="6"/>
        <v>6.5864002364335369E-3</v>
      </c>
      <c r="Q62" s="623" t="s">
        <v>1286</v>
      </c>
      <c r="R62" s="689">
        <f t="shared" si="7"/>
        <v>1.4075482111955718E-2</v>
      </c>
      <c r="T62" s="613" t="s">
        <v>1286</v>
      </c>
      <c r="U62" s="690">
        <f t="shared" si="8"/>
        <v>1</v>
      </c>
      <c r="V62" s="691">
        <f t="shared" si="8"/>
        <v>1</v>
      </c>
      <c r="AB62" s="692"/>
    </row>
    <row r="63" spans="1:28" hidden="1">
      <c r="A63" s="613">
        <f>A61+1</f>
        <v>6</v>
      </c>
      <c r="B63" s="613" t="str">
        <f t="shared" si="2"/>
        <v>INM</v>
      </c>
      <c r="C63" s="613" t="s">
        <v>215</v>
      </c>
      <c r="D63" s="613" t="s">
        <v>214</v>
      </c>
      <c r="E63" s="613" t="s">
        <v>964</v>
      </c>
      <c r="F63" s="682">
        <f ca="1">INDEX($D$28:$P$28,A63-1)</f>
        <v>5.6040000000000001</v>
      </c>
      <c r="G63" s="697">
        <f ca="1">INDEX($D$29:$P$29,A63-1)</f>
        <v>0.52200000000000002</v>
      </c>
      <c r="H63" s="684">
        <f ca="1">INDEX($C$35:$X$52,RegIndex,$A63-1)</f>
        <v>0</v>
      </c>
      <c r="I63" s="685">
        <v>0.87</v>
      </c>
      <c r="J63" s="686">
        <f ca="1">(G63-F63*I63*Calibrati22!C16)/(F63*Calibrati22!C$21)</f>
        <v>9.7028907922912216E-2</v>
      </c>
      <c r="K63" s="685">
        <f t="shared" si="3"/>
        <v>3.2971092077087816E-2</v>
      </c>
      <c r="M63" s="687">
        <f t="shared" si="4"/>
        <v>0</v>
      </c>
      <c r="N63" s="641">
        <f t="shared" si="5"/>
        <v>0</v>
      </c>
      <c r="O63" s="688">
        <f t="shared" si="6"/>
        <v>0</v>
      </c>
      <c r="Q63" s="623" t="s">
        <v>962</v>
      </c>
      <c r="R63" s="689">
        <f t="shared" si="7"/>
        <v>1.8083888087134015E-2</v>
      </c>
      <c r="T63" s="613" t="s">
        <v>964</v>
      </c>
      <c r="U63" s="690">
        <f t="shared" ref="U63:V67" si="9">N63/SUMIF($B$58:$B$76,LEFT($T63,3),N$58:N$76)</f>
        <v>0</v>
      </c>
      <c r="V63" s="691">
        <f t="shared" si="9"/>
        <v>0</v>
      </c>
      <c r="X63" s="613">
        <v>5</v>
      </c>
      <c r="Y63" s="613">
        <v>5.8</v>
      </c>
      <c r="AB63" s="692">
        <f ca="1">F63*(I63*Calibrati22!C16+J63*Calibrati22!C$21)</f>
        <v>0.52200000000000002</v>
      </c>
    </row>
    <row r="64" spans="1:28" hidden="1">
      <c r="A64" s="613">
        <f t="shared" ref="A64:A76" si="10">A63+1</f>
        <v>7</v>
      </c>
      <c r="B64" s="613" t="str">
        <f t="shared" si="2"/>
        <v>INM</v>
      </c>
      <c r="C64" s="613" t="s">
        <v>217</v>
      </c>
      <c r="D64" s="613" t="s">
        <v>216</v>
      </c>
      <c r="E64" s="613" t="s">
        <v>965</v>
      </c>
      <c r="F64" s="682">
        <f ca="1">INDEX($D$28:$P$28,A64-1)</f>
        <v>3.504</v>
      </c>
      <c r="G64" s="697">
        <f ca="1">INDEX($D$29:$P$29,A64-1)</f>
        <v>0.52200000000000002</v>
      </c>
      <c r="H64" s="684">
        <f ca="1">INDEX($C$35:$X$52,RegIndex,$A64-1)</f>
        <v>0</v>
      </c>
      <c r="I64" s="685">
        <v>0.82</v>
      </c>
      <c r="J64" s="686">
        <f ca="1">(G64-F64*I64*Calibrati22!C17)/(F64*Calibrati22!C$21)</f>
        <v>0.15517979452054798</v>
      </c>
      <c r="K64" s="685">
        <f t="shared" si="3"/>
        <v>2.4820205479452073E-2</v>
      </c>
      <c r="M64" s="687">
        <f t="shared" si="4"/>
        <v>0</v>
      </c>
      <c r="N64" s="641">
        <f t="shared" si="5"/>
        <v>0</v>
      </c>
      <c r="O64" s="688">
        <f t="shared" si="6"/>
        <v>0</v>
      </c>
      <c r="Q64" s="623" t="s">
        <v>963</v>
      </c>
      <c r="R64" s="689">
        <f t="shared" si="7"/>
        <v>6.5864002364335369E-3</v>
      </c>
      <c r="T64" s="613" t="s">
        <v>965</v>
      </c>
      <c r="U64" s="690">
        <f t="shared" si="9"/>
        <v>0</v>
      </c>
      <c r="V64" s="691">
        <f t="shared" si="9"/>
        <v>0</v>
      </c>
      <c r="X64" s="613">
        <v>3</v>
      </c>
      <c r="Y64" s="613">
        <v>3.7</v>
      </c>
      <c r="Z64" s="613">
        <v>3.2</v>
      </c>
      <c r="AB64" s="692">
        <f ca="1">F64*(I64*Calibrati22!C17+J64*Calibrati22!C$21)</f>
        <v>0.52200000000000002</v>
      </c>
    </row>
    <row r="65" spans="1:28" hidden="1">
      <c r="A65" s="613">
        <f t="shared" si="10"/>
        <v>8</v>
      </c>
      <c r="B65" s="613" t="str">
        <f t="shared" si="2"/>
        <v>INM</v>
      </c>
      <c r="C65" s="613" t="s">
        <v>411</v>
      </c>
      <c r="D65" s="613" t="s">
        <v>413</v>
      </c>
      <c r="E65" s="613" t="s">
        <v>412</v>
      </c>
      <c r="F65" s="682">
        <f ca="1">INDEX($D$28:$P$28,A65-1)</f>
        <v>4.67</v>
      </c>
      <c r="G65" s="697">
        <f ca="1">INDEX($D$29:$P$29,A65-1)</f>
        <v>0.27</v>
      </c>
      <c r="H65" s="684">
        <f ca="1">INDEX($C$35:$X$52,RegIndex,$A65-1)</f>
        <v>0</v>
      </c>
      <c r="I65" s="685">
        <v>0.9</v>
      </c>
      <c r="J65" s="686">
        <f ca="1">(G65-F65*I65*Calibrati22!C18)/(F65*Calibrati22!C$21)</f>
        <v>6.0224839400428269E-2</v>
      </c>
      <c r="K65" s="685">
        <f t="shared" si="3"/>
        <v>3.9775160599571757E-2</v>
      </c>
      <c r="M65" s="687">
        <f t="shared" si="4"/>
        <v>0</v>
      </c>
      <c r="N65" s="641">
        <f t="shared" si="5"/>
        <v>0</v>
      </c>
      <c r="O65" s="688">
        <f t="shared" si="6"/>
        <v>0</v>
      </c>
      <c r="Q65" s="623" t="s">
        <v>964</v>
      </c>
      <c r="R65" s="689">
        <f t="shared" si="7"/>
        <v>0</v>
      </c>
      <c r="T65" s="613" t="s">
        <v>412</v>
      </c>
      <c r="U65" s="690">
        <f t="shared" si="9"/>
        <v>0</v>
      </c>
      <c r="V65" s="691">
        <f t="shared" si="9"/>
        <v>0</v>
      </c>
      <c r="AB65" s="692"/>
    </row>
    <row r="66" spans="1:28" hidden="1">
      <c r="A66" s="613">
        <f t="shared" si="10"/>
        <v>9</v>
      </c>
      <c r="B66" s="613" t="str">
        <f t="shared" si="2"/>
        <v>INM</v>
      </c>
      <c r="C66" s="613" t="s">
        <v>361</v>
      </c>
      <c r="D66" s="613" t="s">
        <v>218</v>
      </c>
      <c r="E66" s="613" t="s">
        <v>362</v>
      </c>
      <c r="F66" s="682">
        <f ca="1">INDEX($D$28:$P$28,A66-1)</f>
        <v>4.99</v>
      </c>
      <c r="G66" s="697">
        <f ca="1">INDEX($D$29:$P$29,A66-1)</f>
        <v>1.0975000000000001</v>
      </c>
      <c r="H66" s="684">
        <f ca="1">INDEX($C$35:$X$52,RegIndex,$A66-1)</f>
        <v>0</v>
      </c>
      <c r="I66" s="685">
        <v>0.8</v>
      </c>
      <c r="J66" s="686">
        <f ca="1">(G66-F66*I66*Calibrati22!C19)/(F66*Calibrati22!C$21)</f>
        <v>7.9104041416165671E-2</v>
      </c>
      <c r="K66" s="685">
        <f t="shared" si="3"/>
        <v>0.12089595858383428</v>
      </c>
      <c r="M66" s="687">
        <f t="shared" si="4"/>
        <v>0</v>
      </c>
      <c r="N66" s="641">
        <f t="shared" si="5"/>
        <v>0</v>
      </c>
      <c r="O66" s="688">
        <f t="shared" si="6"/>
        <v>0</v>
      </c>
      <c r="Q66" s="623" t="s">
        <v>965</v>
      </c>
      <c r="R66" s="689">
        <f t="shared" si="7"/>
        <v>0</v>
      </c>
      <c r="T66" s="613" t="s">
        <v>362</v>
      </c>
      <c r="U66" s="690">
        <f t="shared" si="9"/>
        <v>0</v>
      </c>
      <c r="V66" s="691">
        <f t="shared" si="9"/>
        <v>0</v>
      </c>
      <c r="X66" s="613">
        <v>3.5</v>
      </c>
      <c r="Y66" s="613">
        <v>5.75</v>
      </c>
      <c r="Z66" s="613" t="s">
        <v>281</v>
      </c>
      <c r="AB66" s="692">
        <f ca="1">F66*(I66*Calibrati22!C19+J66*Calibrati22!C$21)</f>
        <v>1.0975000000000001</v>
      </c>
    </row>
    <row r="67" spans="1:28" hidden="1">
      <c r="A67" s="613">
        <f t="shared" si="10"/>
        <v>10</v>
      </c>
      <c r="B67" s="613" t="str">
        <f t="shared" si="2"/>
        <v>INM</v>
      </c>
      <c r="C67" s="613" t="s">
        <v>363</v>
      </c>
      <c r="D67" s="613" t="s">
        <v>219</v>
      </c>
      <c r="E67" s="613" t="s">
        <v>364</v>
      </c>
      <c r="F67" s="693">
        <f ca="1">MAX(G67,Calibrati22!T58-SUM(M63:O66))</f>
        <v>0.33379286666477526</v>
      </c>
      <c r="G67" s="694">
        <f ca="1">MAX(0,AuxData2!B32-SUMPRODUCT(H63:H66,F63:F66,I63:I66*Calibrati22!C16:C19+J63:J66*Calibrati22!C21))</f>
        <v>8.3539111198261198E-2</v>
      </c>
      <c r="H67" s="684">
        <v>1</v>
      </c>
      <c r="I67" s="695">
        <f ca="1">IF(F67&gt;0,MIN(1-J67,(G67-F67*J67*Calibrati22!C21)/Calibrati22!C20/F67),0)</f>
        <v>0.52030477165689437</v>
      </c>
      <c r="J67" s="696">
        <f ca="1">IF(F67&gt;0,(G67/F67)^1.5,1)</f>
        <v>0.12520428674781922</v>
      </c>
      <c r="K67" s="685">
        <f t="shared" si="3"/>
        <v>0.35449094159528638</v>
      </c>
      <c r="M67" s="687">
        <f t="shared" si="4"/>
        <v>0.17367402127071607</v>
      </c>
      <c r="N67" s="641">
        <f t="shared" si="5"/>
        <v>4.1792297792273107E-2</v>
      </c>
      <c r="O67" s="688">
        <f t="shared" si="6"/>
        <v>0.11832654760178606</v>
      </c>
      <c r="Q67" s="623" t="s">
        <v>412</v>
      </c>
      <c r="R67" s="689">
        <f t="shared" si="7"/>
        <v>0</v>
      </c>
      <c r="T67" s="613" t="s">
        <v>364</v>
      </c>
      <c r="U67" s="690">
        <f t="shared" si="9"/>
        <v>1</v>
      </c>
      <c r="V67" s="691">
        <f t="shared" si="9"/>
        <v>1</v>
      </c>
      <c r="X67" s="613">
        <v>1.1000000000000001</v>
      </c>
      <c r="Y67" s="613">
        <v>2.2999999999999998</v>
      </c>
      <c r="AB67" s="692">
        <f ca="1">F67*(I67*Calibrati22!C20+J67*Calibrati22!C$21)</f>
        <v>8.3539111198261198E-2</v>
      </c>
    </row>
    <row r="68" spans="1:28" hidden="1">
      <c r="A68" s="613">
        <f t="shared" si="10"/>
        <v>11</v>
      </c>
      <c r="B68" s="613" t="str">
        <f t="shared" si="2"/>
        <v>INF</v>
      </c>
      <c r="C68" s="613" t="s">
        <v>221</v>
      </c>
      <c r="D68" s="613" t="s">
        <v>220</v>
      </c>
      <c r="E68" s="613" t="s">
        <v>259</v>
      </c>
      <c r="F68" s="682">
        <f ca="1">INDEX($D$28:$P$28,A68-1)</f>
        <v>80.601600000000005</v>
      </c>
      <c r="G68" s="697">
        <f ca="1">INDEX($D$29:$P$29,A68-1)</f>
        <v>59.04</v>
      </c>
      <c r="H68" s="684">
        <f ca="1">INDEX($C$35:$X$52,RegIndex,$A68-1)</f>
        <v>0</v>
      </c>
      <c r="I68" s="685">
        <v>0.8</v>
      </c>
      <c r="J68" s="686">
        <f ca="1">MIN(1-I68,(G68-F68*I68*Calibrati22!C23)/(F68*Calibrati22!C$27))</f>
        <v>9.5352229584043297E-2</v>
      </c>
      <c r="K68" s="685">
        <f t="shared" si="3"/>
        <v>0.10464777041595663</v>
      </c>
      <c r="M68" s="687">
        <f t="shared" si="4"/>
        <v>0</v>
      </c>
      <c r="N68" s="641">
        <f t="shared" si="5"/>
        <v>0</v>
      </c>
      <c r="O68" s="688">
        <f t="shared" si="6"/>
        <v>0</v>
      </c>
      <c r="Q68" s="623" t="s">
        <v>362</v>
      </c>
      <c r="R68" s="689">
        <f t="shared" si="7"/>
        <v>0</v>
      </c>
      <c r="T68" s="613" t="s">
        <v>259</v>
      </c>
      <c r="U68" s="690">
        <f t="shared" ref="U68:V71" si="11">IF(N68,N68/SUMIF($B$58:$B$76,LEFT($T68,3),N$58:N$76),0)</f>
        <v>0</v>
      </c>
      <c r="V68" s="691">
        <f t="shared" si="11"/>
        <v>0</v>
      </c>
      <c r="X68" s="613">
        <v>53</v>
      </c>
      <c r="Y68" s="613">
        <f>15000*3.6/1000</f>
        <v>54</v>
      </c>
      <c r="AB68" s="613">
        <f ca="1">F68*(I68*Calibrati22!C23+J68*Calibrati22!C$27)</f>
        <v>59.04</v>
      </c>
    </row>
    <row r="69" spans="1:28" hidden="1">
      <c r="A69" s="613">
        <f t="shared" si="10"/>
        <v>12</v>
      </c>
      <c r="B69" s="613" t="str">
        <f t="shared" si="2"/>
        <v>INF</v>
      </c>
      <c r="C69" s="613" t="s">
        <v>369</v>
      </c>
      <c r="D69" s="613" t="s">
        <v>222</v>
      </c>
      <c r="E69" s="613" t="s">
        <v>370</v>
      </c>
      <c r="F69" s="682">
        <f ca="1">INDEX($D$28:$P$28,A69-1)</f>
        <v>25.1</v>
      </c>
      <c r="G69" s="697">
        <f ca="1">INDEX($D$29:$P$29,A69-1)</f>
        <v>10.8</v>
      </c>
      <c r="H69" s="684">
        <f ca="1">INDEX($C$35:$X$52,RegIndex,$A69-1)</f>
        <v>0</v>
      </c>
      <c r="I69" s="685">
        <v>0.67</v>
      </c>
      <c r="J69" s="686">
        <f ca="1">(G69-F69*I69*Calibrati22!C24)/(F69*Calibrati22!C$27)</f>
        <v>6.3689571610465248E-2</v>
      </c>
      <c r="K69" s="685">
        <f t="shared" si="3"/>
        <v>0.26631042838953467</v>
      </c>
      <c r="M69" s="687">
        <f t="shared" si="4"/>
        <v>0</v>
      </c>
      <c r="N69" s="641">
        <f t="shared" si="5"/>
        <v>0</v>
      </c>
      <c r="O69" s="688">
        <f t="shared" si="6"/>
        <v>0</v>
      </c>
      <c r="Q69" s="623" t="s">
        <v>364</v>
      </c>
      <c r="R69" s="689">
        <f t="shared" si="7"/>
        <v>0.17367402127071607</v>
      </c>
      <c r="T69" s="613" t="s">
        <v>370</v>
      </c>
      <c r="U69" s="690">
        <f t="shared" si="11"/>
        <v>0</v>
      </c>
      <c r="V69" s="691">
        <f t="shared" si="11"/>
        <v>0</v>
      </c>
      <c r="X69" s="613">
        <v>14</v>
      </c>
      <c r="Y69" s="613">
        <f>14.3+21.6</f>
        <v>35.900000000000006</v>
      </c>
      <c r="AB69" s="613">
        <f ca="1">F69*(I69*Calibrati22!C24+J69*Calibrati22!C$27)</f>
        <v>10.799999999999999</v>
      </c>
    </row>
    <row r="70" spans="1:28" hidden="1">
      <c r="A70" s="613">
        <f t="shared" si="10"/>
        <v>13</v>
      </c>
      <c r="B70" s="613" t="str">
        <f t="shared" si="2"/>
        <v>INF</v>
      </c>
      <c r="C70" s="613" t="s">
        <v>404</v>
      </c>
      <c r="D70" s="613" t="s">
        <v>407</v>
      </c>
      <c r="E70" s="613" t="s">
        <v>417</v>
      </c>
      <c r="F70" s="682">
        <f ca="1">INDEX($D$28:$P$28,A70-1)</f>
        <v>18.399999999999999</v>
      </c>
      <c r="G70" s="697">
        <f ca="1">INDEX($D$29:$P$29,A70-1)</f>
        <v>14.4</v>
      </c>
      <c r="H70" s="684">
        <f ca="1">INDEX($C$35:$X$52,RegIndex,$A70-1)</f>
        <v>0</v>
      </c>
      <c r="I70" s="685">
        <v>0.75</v>
      </c>
      <c r="J70" s="686">
        <f ca="1">(G70-F70*I70*Calibrati22!C25)/(F70*Calibrati22!C$27)</f>
        <v>0.11093679964141644</v>
      </c>
      <c r="K70" s="685">
        <f t="shared" si="3"/>
        <v>0.13906320035858355</v>
      </c>
      <c r="M70" s="687">
        <f t="shared" si="4"/>
        <v>0</v>
      </c>
      <c r="N70" s="641">
        <f t="shared" si="5"/>
        <v>0</v>
      </c>
      <c r="O70" s="688">
        <f t="shared" si="6"/>
        <v>0</v>
      </c>
      <c r="Q70" s="623" t="s">
        <v>966</v>
      </c>
      <c r="R70" s="689">
        <f t="shared" si="7"/>
        <v>4.1792297792273107E-2</v>
      </c>
      <c r="T70" s="613" t="s">
        <v>417</v>
      </c>
      <c r="U70" s="690">
        <f t="shared" si="11"/>
        <v>0</v>
      </c>
      <c r="V70" s="691">
        <f t="shared" si="11"/>
        <v>0</v>
      </c>
      <c r="Y70" s="698">
        <f>50*100/175</f>
        <v>28.571428571428573</v>
      </c>
      <c r="Z70" s="613" t="s">
        <v>282</v>
      </c>
      <c r="AB70" s="613">
        <f ca="1">F70*(I70*Calibrati22!C25+J70*Calibrati22!C$27)</f>
        <v>14.4</v>
      </c>
    </row>
    <row r="71" spans="1:28" hidden="1">
      <c r="A71" s="613">
        <f t="shared" si="10"/>
        <v>14</v>
      </c>
      <c r="B71" s="613" t="str">
        <f t="shared" si="2"/>
        <v>INF</v>
      </c>
      <c r="C71" s="613" t="s">
        <v>405</v>
      </c>
      <c r="D71" s="613" t="s">
        <v>406</v>
      </c>
      <c r="E71" s="613" t="s">
        <v>418</v>
      </c>
      <c r="F71" s="693">
        <f ca="1">MAX(G71,Calibrati22!T59-SUM(M68:O70))</f>
        <v>3.8265745408053047E-2</v>
      </c>
      <c r="G71" s="694">
        <f ca="1">MAX(0,AuxData2!B29-SUMPRODUCT(H68:H70,F68:F70,I68:I70*Calibrati22!C23:C25+J68:J70*Calibrati22!C27))</f>
        <v>2.3313240334398473E-2</v>
      </c>
      <c r="H71" s="684">
        <v>1</v>
      </c>
      <c r="I71" s="695">
        <f ca="1">IF(F71&gt;0,MIN(1-J71,(G71-F71*J71*Calibrati22!C27)/Calibrati22!C26/F71),0)</f>
        <v>0.15616035344394436</v>
      </c>
      <c r="J71" s="696">
        <f ca="1">IF(F71&gt;0,(G71/F71)^1.1,1)</f>
        <v>0.57979132017220225</v>
      </c>
      <c r="K71" s="685">
        <f t="shared" si="3"/>
        <v>0.26404832638385339</v>
      </c>
      <c r="M71" s="687">
        <f t="shared" si="4"/>
        <v>5.9755923277175545E-3</v>
      </c>
      <c r="N71" s="641">
        <f t="shared" si="5"/>
        <v>2.2186147047508462E-2</v>
      </c>
      <c r="O71" s="688">
        <f t="shared" si="6"/>
        <v>1.010400603282703E-2</v>
      </c>
      <c r="Q71" s="623" t="s">
        <v>967</v>
      </c>
      <c r="R71" s="689">
        <f t="shared" si="7"/>
        <v>0.11832654760178606</v>
      </c>
      <c r="T71" s="613" t="s">
        <v>418</v>
      </c>
      <c r="U71" s="690">
        <f t="shared" si="11"/>
        <v>1</v>
      </c>
      <c r="V71" s="691">
        <f t="shared" si="11"/>
        <v>1</v>
      </c>
      <c r="Y71" s="698">
        <f>50*100/175</f>
        <v>28.571428571428573</v>
      </c>
      <c r="Z71" s="613" t="s">
        <v>282</v>
      </c>
      <c r="AB71" s="613">
        <f ca="1">F71*(I71*Calibrati22!C26+J71*Calibrati22!C$27)</f>
        <v>2.3313240334398473E-2</v>
      </c>
    </row>
    <row r="72" spans="1:28" hidden="1">
      <c r="A72" s="613">
        <f t="shared" si="10"/>
        <v>15</v>
      </c>
      <c r="B72" s="613" t="str">
        <f t="shared" si="2"/>
        <v>ICH</v>
      </c>
      <c r="C72" s="613" t="s">
        <v>359</v>
      </c>
      <c r="D72" s="613" t="s">
        <v>251</v>
      </c>
      <c r="E72" s="613" t="s">
        <v>360</v>
      </c>
      <c r="F72" s="693">
        <f ca="1">INDEX($Q$28:$U$28,$A72-$A$71)</f>
        <v>17.118749999999999</v>
      </c>
      <c r="G72" s="697">
        <f ca="1">INDEX($Q$29:$U$29,$A72-$A$71)</f>
        <v>1</v>
      </c>
      <c r="H72" s="684">
        <f ca="1">INDEX($C$35:$X$52,RegIndex,$A72-1)</f>
        <v>0</v>
      </c>
      <c r="I72" s="685">
        <v>0.3</v>
      </c>
      <c r="J72" s="686">
        <f ca="1">(G72-F72*I72*Calibrati22!C29)/(F72*Calibrati22!C$35)</f>
        <v>2.9599458439819894E-2</v>
      </c>
      <c r="K72" s="685">
        <f t="shared" si="3"/>
        <v>0.67040054156018014</v>
      </c>
      <c r="M72" s="687">
        <f t="shared" si="4"/>
        <v>0</v>
      </c>
      <c r="N72" s="641">
        <f t="shared" si="5"/>
        <v>0</v>
      </c>
      <c r="O72" s="688">
        <f t="shared" si="6"/>
        <v>0</v>
      </c>
      <c r="Q72" s="623" t="s">
        <v>259</v>
      </c>
      <c r="R72" s="689">
        <f t="shared" si="7"/>
        <v>0</v>
      </c>
      <c r="T72" s="613" t="s">
        <v>360</v>
      </c>
      <c r="U72" s="690">
        <f t="shared" ref="U72:V77" si="12">N72/SUMIF($B$58:$B$77,LEFT($T72,3),N$58:N$77)</f>
        <v>0</v>
      </c>
      <c r="V72" s="691">
        <f t="shared" si="12"/>
        <v>0</v>
      </c>
      <c r="Y72" s="699">
        <v>60</v>
      </c>
      <c r="AB72" s="692">
        <f ca="1">F72*(I72*Calibrati22!C29+J72*Calibrati22!C$35)</f>
        <v>1</v>
      </c>
    </row>
    <row r="73" spans="1:28" hidden="1">
      <c r="A73" s="613">
        <f t="shared" si="10"/>
        <v>16</v>
      </c>
      <c r="B73" s="613" t="str">
        <f t="shared" si="2"/>
        <v>ICH</v>
      </c>
      <c r="C73" s="613" t="s">
        <v>253</v>
      </c>
      <c r="D73" s="613" t="s">
        <v>252</v>
      </c>
      <c r="E73" s="613" t="s">
        <v>972</v>
      </c>
      <c r="F73" s="693">
        <f ca="1">INDEX($Q$28:$U$28,$A73-$A$71)</f>
        <v>9.679326923076923</v>
      </c>
      <c r="G73" s="697">
        <f ca="1">INDEX($Q$29:$U$29,$A73-$A$71)</f>
        <v>1</v>
      </c>
      <c r="H73" s="684">
        <f ca="1">INDEX($C$35:$X$52,RegIndex,$A73-1)</f>
        <v>0</v>
      </c>
      <c r="I73" s="685">
        <v>0.25</v>
      </c>
      <c r="J73" s="686">
        <f ca="1">(G73-F73*I73*Calibrati22!C30)/(F73*Calibrati22!C$35)</f>
        <v>8.1576009122667589E-2</v>
      </c>
      <c r="K73" s="685">
        <f t="shared" si="3"/>
        <v>0.6684239908773324</v>
      </c>
      <c r="M73" s="687">
        <f t="shared" si="4"/>
        <v>0</v>
      </c>
      <c r="N73" s="641">
        <f t="shared" si="5"/>
        <v>0</v>
      </c>
      <c r="O73" s="688">
        <f t="shared" si="6"/>
        <v>0</v>
      </c>
      <c r="Q73" s="623" t="s">
        <v>370</v>
      </c>
      <c r="R73" s="689">
        <f t="shared" si="7"/>
        <v>0</v>
      </c>
      <c r="T73" s="613" t="s">
        <v>972</v>
      </c>
      <c r="U73" s="690">
        <f t="shared" si="12"/>
        <v>0</v>
      </c>
      <c r="V73" s="691">
        <f t="shared" si="12"/>
        <v>0</v>
      </c>
      <c r="Y73" s="613">
        <v>7.5</v>
      </c>
      <c r="AB73" s="692">
        <f ca="1">F73*(I73*Calibrati22!C30+J73*Calibrati22!C$35)</f>
        <v>1</v>
      </c>
    </row>
    <row r="74" spans="1:28" hidden="1">
      <c r="A74" s="613">
        <f t="shared" si="10"/>
        <v>17</v>
      </c>
      <c r="B74" s="613" t="str">
        <f t="shared" si="2"/>
        <v>ICH</v>
      </c>
      <c r="C74" s="613" t="s">
        <v>357</v>
      </c>
      <c r="D74" s="613" t="s">
        <v>254</v>
      </c>
      <c r="E74" s="613" t="s">
        <v>358</v>
      </c>
      <c r="F74" s="693">
        <f ca="1">INDEX($Q$28:$U$28,$A74-$A$71)</f>
        <v>23.4</v>
      </c>
      <c r="G74" s="697">
        <f ca="1">INDEX($Q$29:$U$29,$A74-$A$71)</f>
        <v>4.5</v>
      </c>
      <c r="H74" s="684">
        <f ca="1">INDEX($C$35:$X$52,RegIndex,$A74-1)</f>
        <v>0</v>
      </c>
      <c r="I74" s="685">
        <v>0.3</v>
      </c>
      <c r="J74" s="686">
        <f ca="1">(G74-F74*I74*Calibrati22!C31)/(F74*Calibrati22!C$35)</f>
        <v>0.16907051282051283</v>
      </c>
      <c r="K74" s="685">
        <f t="shared" si="3"/>
        <v>0.53092948717948718</v>
      </c>
      <c r="M74" s="687">
        <f t="shared" si="4"/>
        <v>0</v>
      </c>
      <c r="N74" s="641">
        <f t="shared" si="5"/>
        <v>0</v>
      </c>
      <c r="O74" s="688">
        <f t="shared" si="6"/>
        <v>0</v>
      </c>
      <c r="Q74" s="623" t="s">
        <v>417</v>
      </c>
      <c r="R74" s="689">
        <f t="shared" si="7"/>
        <v>0</v>
      </c>
      <c r="T74" s="613" t="s">
        <v>358</v>
      </c>
      <c r="U74" s="690">
        <f t="shared" si="12"/>
        <v>0</v>
      </c>
      <c r="V74" s="691">
        <f t="shared" si="12"/>
        <v>0</v>
      </c>
      <c r="X74" s="613">
        <v>28</v>
      </c>
      <c r="Y74" s="613">
        <v>39.6</v>
      </c>
      <c r="AB74" s="692">
        <f ca="1">F74*(I74*Calibrati22!C31+J74*Calibrati22!C$35)</f>
        <v>4.5</v>
      </c>
    </row>
    <row r="75" spans="1:28" hidden="1">
      <c r="A75" s="613">
        <f t="shared" si="10"/>
        <v>18</v>
      </c>
      <c r="B75" s="613" t="str">
        <f t="shared" si="2"/>
        <v>ICH</v>
      </c>
      <c r="C75" s="613" t="s">
        <v>540</v>
      </c>
      <c r="D75" s="613" t="s">
        <v>539</v>
      </c>
      <c r="E75" s="613" t="s">
        <v>541</v>
      </c>
      <c r="F75" s="693">
        <f ca="1">INDEX($Q$28:$U$28,$A75-$A$71)</f>
        <v>12</v>
      </c>
      <c r="G75" s="697">
        <f ca="1">INDEX($Q$29:$U$29,$A75-$A$71)</f>
        <v>10.5</v>
      </c>
      <c r="H75" s="684">
        <f ca="1">INDEX($C$35:$X$52,RegIndex,$A75-1)</f>
        <v>0</v>
      </c>
      <c r="I75" s="685">
        <v>0.8</v>
      </c>
      <c r="J75" s="686">
        <f ca="1">(G75-F75*I75*Calibrati22!C32)/(F75*Calibrati22!C$35)</f>
        <v>7.8124999999999875E-2</v>
      </c>
      <c r="K75" s="685">
        <f t="shared" si="3"/>
        <v>0.12187500000000007</v>
      </c>
      <c r="M75" s="687">
        <f t="shared" si="4"/>
        <v>0</v>
      </c>
      <c r="N75" s="641">
        <f t="shared" si="5"/>
        <v>0</v>
      </c>
      <c r="O75" s="688">
        <f t="shared" si="6"/>
        <v>0</v>
      </c>
      <c r="Q75" s="623" t="s">
        <v>418</v>
      </c>
      <c r="R75" s="689">
        <f t="shared" si="7"/>
        <v>5.9755923277175545E-3</v>
      </c>
      <c r="T75" s="613" t="s">
        <v>541</v>
      </c>
      <c r="U75" s="690">
        <f t="shared" si="12"/>
        <v>0</v>
      </c>
      <c r="V75" s="691">
        <f t="shared" si="12"/>
        <v>0</v>
      </c>
      <c r="AB75" s="692">
        <f ca="1">F75*(I75*Calibrati22!C32+J75*Calibrati22!C$35)</f>
        <v>10.499999999999998</v>
      </c>
    </row>
    <row r="76" spans="1:28" hidden="1">
      <c r="A76" s="613">
        <f t="shared" si="10"/>
        <v>19</v>
      </c>
      <c r="B76" s="613" t="str">
        <f t="shared" si="2"/>
        <v>ICH</v>
      </c>
      <c r="C76" s="613" t="s">
        <v>354</v>
      </c>
      <c r="D76" s="613" t="s">
        <v>353</v>
      </c>
      <c r="E76" s="613" t="s">
        <v>356</v>
      </c>
      <c r="F76" s="693">
        <f ca="1">INDEX($Q$28:$U$28,A76-A$71)</f>
        <v>10.5</v>
      </c>
      <c r="G76" s="697">
        <f ca="1">INDEX($Q$29:$U$29,$A76-$A$71)</f>
        <v>0.5</v>
      </c>
      <c r="H76" s="684">
        <f ca="1">INDEX($C$35:$X$52,RegIndex,$A76-1)</f>
        <v>0</v>
      </c>
      <c r="I76" s="685">
        <v>0.3</v>
      </c>
      <c r="J76" s="686">
        <f ca="1">(G76-F76*I76*Calibrati22!C33)/(F76*Calibrati22!C$35)</f>
        <v>1.8353174603174604E-2</v>
      </c>
      <c r="K76" s="685">
        <f t="shared" si="3"/>
        <v>0.68164682539682531</v>
      </c>
      <c r="M76" s="687">
        <f t="shared" si="4"/>
        <v>0</v>
      </c>
      <c r="N76" s="641">
        <f t="shared" si="5"/>
        <v>0</v>
      </c>
      <c r="O76" s="688">
        <f t="shared" si="6"/>
        <v>0</v>
      </c>
      <c r="Q76" s="623" t="s">
        <v>968</v>
      </c>
      <c r="R76" s="689">
        <f t="shared" si="7"/>
        <v>2.2186147047508462E-2</v>
      </c>
      <c r="T76" s="613" t="s">
        <v>356</v>
      </c>
      <c r="U76" s="690">
        <f t="shared" si="12"/>
        <v>0</v>
      </c>
      <c r="V76" s="691">
        <f t="shared" si="12"/>
        <v>0</v>
      </c>
      <c r="AB76" s="692">
        <f ca="1">F76*(I76*Calibrati22!C33+J76*Calibrati22!C$35)</f>
        <v>0.5</v>
      </c>
    </row>
    <row r="77" spans="1:28" hidden="1">
      <c r="B77" s="613" t="str">
        <f t="shared" si="2"/>
        <v>ICH</v>
      </c>
      <c r="C77" s="613" t="s">
        <v>535</v>
      </c>
      <c r="D77" s="613" t="s">
        <v>560</v>
      </c>
      <c r="E77" s="613" t="s">
        <v>536</v>
      </c>
      <c r="F77" s="693">
        <f ca="1">MAX(G77,Calibrati22!T60-SUM(M72:O76))</f>
        <v>1.378323900329276</v>
      </c>
      <c r="G77" s="694">
        <f ca="1">MAX(0,AuxData2!B30-SUMPRODUCT(H72:H76,F72:F76,I72:I76*Calibrati22!C29:C33+J72:J76*Calibrati22!C35))</f>
        <v>0.26883496568466353</v>
      </c>
      <c r="H77" s="684">
        <v>1</v>
      </c>
      <c r="I77" s="695">
        <f ca="1">IF(F77&gt;0,MIN(1-J77,(G77-F77*J77*Calibrati22!C35)/Calibrati22!C34/F77),0)</f>
        <v>0.22343645949598287</v>
      </c>
      <c r="J77" s="696">
        <f ca="1">IF(F77&gt;0,(G77/F77)^1.35,1)</f>
        <v>0.11007318435710355</v>
      </c>
      <c r="K77" s="695">
        <f t="shared" si="3"/>
        <v>0.66649035614691354</v>
      </c>
      <c r="M77" s="687">
        <f t="shared" si="4"/>
        <v>0.30796781232826742</v>
      </c>
      <c r="N77" s="641">
        <f t="shared" si="5"/>
        <v>0.15171650078474641</v>
      </c>
      <c r="O77" s="688">
        <f t="shared" si="6"/>
        <v>0.91863958721626215</v>
      </c>
      <c r="Q77" s="623" t="s">
        <v>969</v>
      </c>
      <c r="R77" s="689">
        <f t="shared" si="7"/>
        <v>1.010400603282703E-2</v>
      </c>
      <c r="T77" s="613" t="s">
        <v>536</v>
      </c>
      <c r="U77" s="690">
        <f t="shared" si="12"/>
        <v>1</v>
      </c>
      <c r="V77" s="691">
        <f t="shared" si="12"/>
        <v>1</v>
      </c>
    </row>
    <row r="78" spans="1:28" hidden="1">
      <c r="A78" s="613">
        <v>20</v>
      </c>
      <c r="B78" s="613" t="str">
        <f t="shared" si="2"/>
        <v>ILP</v>
      </c>
      <c r="C78" s="613" t="s">
        <v>454</v>
      </c>
      <c r="D78" s="613" t="s">
        <v>250</v>
      </c>
      <c r="E78" s="613" t="s">
        <v>341</v>
      </c>
      <c r="F78" s="682">
        <f ca="1">L123</f>
        <v>9.4906480381714129</v>
      </c>
      <c r="G78" s="683">
        <f ca="1">L128</f>
        <v>2.6401706380526733</v>
      </c>
      <c r="H78" s="684">
        <f ca="1">INDEX($C$35:$X$52,RegIndex,$A78-1)</f>
        <v>0</v>
      </c>
      <c r="I78" s="685">
        <f ca="1">0.5/F78</f>
        <v>5.2683441424547471E-2</v>
      </c>
      <c r="J78" s="686">
        <f ca="1">(G78-F78*I78*Calibrati22!C37)/(F78*Calibrati22!C$42)</f>
        <v>0.27818655032131628</v>
      </c>
      <c r="K78" s="685">
        <f t="shared" si="3"/>
        <v>0.66913000825413615</v>
      </c>
      <c r="M78" s="687">
        <f t="shared" si="4"/>
        <v>0</v>
      </c>
      <c r="N78" s="641">
        <f t="shared" si="5"/>
        <v>0</v>
      </c>
      <c r="O78" s="688">
        <f t="shared" si="6"/>
        <v>0</v>
      </c>
      <c r="Q78" s="623" t="s">
        <v>360</v>
      </c>
      <c r="R78" s="689">
        <f t="shared" si="7"/>
        <v>0</v>
      </c>
      <c r="T78" s="613" t="s">
        <v>341</v>
      </c>
      <c r="U78" s="690">
        <f t="shared" ref="U78:U83" si="13">N78/SUMIF($B$58:$B$83,LEFT($T78,3),N$58:N$83)</f>
        <v>0</v>
      </c>
      <c r="V78" s="691">
        <f t="shared" ref="V78:V83" si="14">IF(O78,O78/SUMIF($B$58:$B$83,LEFT($T78,3),O$58:O$83),0)</f>
        <v>0</v>
      </c>
      <c r="Y78" s="613">
        <f>13+0.9</f>
        <v>13.9</v>
      </c>
      <c r="AB78" s="700">
        <f ca="1">F78*(I78*Calibrati22!C37+J78*Calibrati22!C$42)</f>
        <v>2.6401706380526733</v>
      </c>
    </row>
    <row r="79" spans="1:28" hidden="1">
      <c r="A79" s="613">
        <f>A78+1</f>
        <v>21</v>
      </c>
      <c r="B79" s="613" t="str">
        <f t="shared" si="2"/>
        <v>ILP</v>
      </c>
      <c r="C79" s="613" t="s">
        <v>340</v>
      </c>
      <c r="D79" s="613" t="s">
        <v>249</v>
      </c>
      <c r="E79" s="613" t="s">
        <v>342</v>
      </c>
      <c r="F79" s="682">
        <f ca="1">L124</f>
        <v>6.2934919119468509</v>
      </c>
      <c r="G79" s="683">
        <f ca="1">L129</f>
        <v>8.4656594492968811</v>
      </c>
      <c r="H79" s="684">
        <f ca="1">INDEX($C$35:$X$52,RegIndex,$A79-1)*H$78</f>
        <v>0</v>
      </c>
      <c r="I79" s="685">
        <v>0</v>
      </c>
      <c r="J79" s="686">
        <f ca="1">(G79-F79*I79*Calibrati22!C38)/(F79*Calibrati22!C$42)</f>
        <v>1.3451450431240937</v>
      </c>
      <c r="K79" s="685">
        <f t="shared" si="3"/>
        <v>-0.34514504312409366</v>
      </c>
      <c r="M79" s="687">
        <f t="shared" si="4"/>
        <v>0</v>
      </c>
      <c r="N79" s="641">
        <f t="shared" si="5"/>
        <v>0</v>
      </c>
      <c r="O79" s="688">
        <f t="shared" si="6"/>
        <v>0</v>
      </c>
      <c r="Q79" s="623" t="s">
        <v>972</v>
      </c>
      <c r="R79" s="689">
        <f t="shared" si="7"/>
        <v>0</v>
      </c>
      <c r="T79" s="613" t="s">
        <v>342</v>
      </c>
      <c r="U79" s="690">
        <f t="shared" si="13"/>
        <v>0</v>
      </c>
      <c r="V79" s="691">
        <f t="shared" si="14"/>
        <v>0</v>
      </c>
      <c r="Y79" s="613">
        <f>0+7.3</f>
        <v>7.3</v>
      </c>
      <c r="AB79" s="613">
        <f ca="1">F79*(I79*Calibrati22!C38+J79*Calibrati22!C$42)</f>
        <v>8.4656594492968811</v>
      </c>
    </row>
    <row r="80" spans="1:28" hidden="1">
      <c r="A80" s="613">
        <f>A79+1</f>
        <v>22</v>
      </c>
      <c r="B80" s="613" t="str">
        <f t="shared" si="2"/>
        <v>ILP</v>
      </c>
      <c r="C80" s="613" t="s">
        <v>347</v>
      </c>
      <c r="D80" s="613" t="s">
        <v>247</v>
      </c>
      <c r="E80" s="613" t="s">
        <v>343</v>
      </c>
      <c r="F80" s="682">
        <f ca="1">L125</f>
        <v>16.881827068900289</v>
      </c>
      <c r="G80" s="683">
        <f ca="1">L130</f>
        <v>2.3684590890211825</v>
      </c>
      <c r="H80" s="684">
        <f ca="1">INDEX($C$35:$X$52,RegIndex,$A80-1)*H$78</f>
        <v>0</v>
      </c>
      <c r="I80" s="685">
        <f ca="1">1.8/F80</f>
        <v>0.10662353029998518</v>
      </c>
      <c r="J80" s="686">
        <f ca="1">(G80-F80*I80*Calibrati22!C39)/(F80*Calibrati22!C$42)</f>
        <v>0.1402963719125141</v>
      </c>
      <c r="K80" s="685">
        <f t="shared" si="3"/>
        <v>0.75308009778750074</v>
      </c>
      <c r="M80" s="687">
        <f t="shared" si="4"/>
        <v>0</v>
      </c>
      <c r="N80" s="641">
        <f t="shared" si="5"/>
        <v>0</v>
      </c>
      <c r="O80" s="688">
        <f t="shared" si="6"/>
        <v>0</v>
      </c>
      <c r="Q80" s="623" t="s">
        <v>358</v>
      </c>
      <c r="R80" s="689">
        <f t="shared" si="7"/>
        <v>0</v>
      </c>
      <c r="T80" s="613" t="s">
        <v>343</v>
      </c>
      <c r="U80" s="690">
        <f t="shared" si="13"/>
        <v>0</v>
      </c>
      <c r="V80" s="691">
        <f t="shared" si="14"/>
        <v>0</v>
      </c>
      <c r="Y80" s="613">
        <f>5.1+2.2</f>
        <v>7.3</v>
      </c>
      <c r="AB80" s="700">
        <f ca="1">F80*(I80*Calibrati22!C39+J80*Calibrati22!C$42)</f>
        <v>2.3684590890211825</v>
      </c>
    </row>
    <row r="81" spans="1:28" hidden="1">
      <c r="A81" s="613">
        <f>A80+1</f>
        <v>23</v>
      </c>
      <c r="B81" s="613" t="str">
        <f t="shared" si="2"/>
        <v>ILP</v>
      </c>
      <c r="C81" s="613" t="s">
        <v>339</v>
      </c>
      <c r="D81" s="613" t="s">
        <v>338</v>
      </c>
      <c r="E81" s="613" t="s">
        <v>344</v>
      </c>
      <c r="F81" s="682">
        <f ca="1">L126</f>
        <v>2.7094634146341465</v>
      </c>
      <c r="G81" s="694">
        <f ca="1">L131</f>
        <v>1.3680000000000001</v>
      </c>
      <c r="H81" s="684">
        <f ca="1">INDEX($C$35:$X$52,RegIndex,$A81-1)*H$78</f>
        <v>0</v>
      </c>
      <c r="I81" s="685">
        <f ca="1">0.85/F81</f>
        <v>0.31371525277257667</v>
      </c>
      <c r="J81" s="686">
        <f ca="1">(G81-F81*I81*Calibrati22!C40)/(F81*Calibrati22!C$42)</f>
        <v>0.50489701857986458</v>
      </c>
      <c r="K81" s="685">
        <f t="shared" si="3"/>
        <v>0.18138772864755875</v>
      </c>
      <c r="M81" s="687">
        <f t="shared" si="4"/>
        <v>0</v>
      </c>
      <c r="N81" s="641">
        <f t="shared" si="5"/>
        <v>0</v>
      </c>
      <c r="O81" s="688">
        <f t="shared" si="6"/>
        <v>0</v>
      </c>
      <c r="Q81" s="623" t="s">
        <v>541</v>
      </c>
      <c r="R81" s="689">
        <f t="shared" si="7"/>
        <v>0</v>
      </c>
      <c r="T81" s="613" t="s">
        <v>344</v>
      </c>
      <c r="U81" s="690">
        <f t="shared" si="13"/>
        <v>0</v>
      </c>
      <c r="V81" s="691">
        <f t="shared" si="14"/>
        <v>0</v>
      </c>
    </row>
    <row r="82" spans="1:28" hidden="1">
      <c r="B82" s="613" t="str">
        <f t="shared" si="2"/>
        <v>ILP</v>
      </c>
      <c r="C82" s="613" t="s">
        <v>346</v>
      </c>
      <c r="D82" s="613" t="s">
        <v>560</v>
      </c>
      <c r="E82" s="613" t="s">
        <v>345</v>
      </c>
      <c r="F82" s="693">
        <f ca="1">MAX(G82,Calibrati22!U61+Calibrati22!C61-SUM(M78:O81)-F83*H83)</f>
        <v>8.4085427166987942E-2</v>
      </c>
      <c r="G82" s="694">
        <f ca="1">MAX(0,AuxData2!B31-SUMPRODUCT(H78:H81,F78:F81,I78:I81*Calibrati22!C37:C40+J78:J81*Calibrati22!C42)-G83*H83)</f>
        <v>2.0722880297243083E-2</v>
      </c>
      <c r="H82" s="684">
        <v>1</v>
      </c>
      <c r="I82" s="695">
        <f ca="1">IF(F82&gt;0,MIN(1-J82,(G82-F82*J82*Calibrati22!C42)/Calibrati22!C41/F82),0)</f>
        <v>0.50174444357144721</v>
      </c>
      <c r="J82" s="696">
        <f ca="1">IF(F82&gt;0,(G82/F82)^1.2,1)</f>
        <v>0.18624098516118551</v>
      </c>
      <c r="K82" s="695">
        <f t="shared" si="3"/>
        <v>0.31201457126736731</v>
      </c>
      <c r="M82" s="687">
        <f t="shared" ref="M82:O83" si="15">$H82*$F82*I82</f>
        <v>4.2189395866367815E-2</v>
      </c>
      <c r="N82" s="641">
        <f t="shared" si="15"/>
        <v>1.5660152793278946E-2</v>
      </c>
      <c r="O82" s="688">
        <f t="shared" si="15"/>
        <v>2.6235878507341184E-2</v>
      </c>
      <c r="Q82" s="623" t="s">
        <v>356</v>
      </c>
      <c r="R82" s="689">
        <f t="shared" si="7"/>
        <v>0</v>
      </c>
      <c r="T82" s="613" t="s">
        <v>345</v>
      </c>
      <c r="U82" s="690">
        <f t="shared" si="13"/>
        <v>1</v>
      </c>
      <c r="V82" s="691">
        <f t="shared" si="14"/>
        <v>1</v>
      </c>
      <c r="AB82" s="700">
        <f ca="1">F82*(I82*Calibrati22!C41+J82*Calibrati22!C$42)</f>
        <v>2.0722880297243083E-2</v>
      </c>
    </row>
    <row r="83" spans="1:28" hidden="1">
      <c r="B83" s="613" t="s">
        <v>978</v>
      </c>
      <c r="C83" s="613" t="s">
        <v>1392</v>
      </c>
      <c r="D83" s="613" t="s">
        <v>1207</v>
      </c>
      <c r="E83" s="613" t="s">
        <v>1147</v>
      </c>
      <c r="F83" s="701">
        <f>L128*H83</f>
        <v>0</v>
      </c>
      <c r="G83" s="701">
        <f>L133*H83</f>
        <v>0</v>
      </c>
      <c r="H83" s="702">
        <v>0</v>
      </c>
      <c r="I83" s="695">
        <v>0</v>
      </c>
      <c r="J83" s="696" t="b">
        <f>IF(H83,G83/F83)</f>
        <v>0</v>
      </c>
      <c r="K83" s="695">
        <f>1-J83-I83</f>
        <v>1</v>
      </c>
      <c r="M83" s="687">
        <f t="shared" si="15"/>
        <v>0</v>
      </c>
      <c r="N83" s="641">
        <f>$H83*$F83*J83</f>
        <v>0</v>
      </c>
      <c r="O83" s="688">
        <f t="shared" si="15"/>
        <v>0</v>
      </c>
      <c r="Q83" s="623" t="s">
        <v>536</v>
      </c>
      <c r="R83" s="689">
        <f t="shared" si="7"/>
        <v>0.30796781232826742</v>
      </c>
      <c r="T83" s="613" t="s">
        <v>1147</v>
      </c>
      <c r="U83" s="690">
        <f t="shared" si="13"/>
        <v>0</v>
      </c>
      <c r="V83" s="691">
        <f t="shared" si="14"/>
        <v>0</v>
      </c>
      <c r="AB83" s="700"/>
    </row>
    <row r="84" spans="1:28" hidden="1">
      <c r="D84" s="613" t="s">
        <v>225</v>
      </c>
      <c r="E84" s="613" t="s">
        <v>962</v>
      </c>
      <c r="F84" s="703"/>
      <c r="M84" s="687">
        <f>SUMIF($B$58:$B$80,LEFT(E84,3),$N$58:$N$80)</f>
        <v>1.8083888087134015E-2</v>
      </c>
      <c r="N84" s="641"/>
      <c r="O84" s="688"/>
      <c r="Q84" s="623" t="s">
        <v>973</v>
      </c>
      <c r="R84" s="689">
        <f t="shared" si="7"/>
        <v>0.15171650078474641</v>
      </c>
      <c r="U84" s="704"/>
    </row>
    <row r="85" spans="1:28" hidden="1">
      <c r="D85" s="613" t="s">
        <v>241</v>
      </c>
      <c r="E85" s="613" t="s">
        <v>966</v>
      </c>
      <c r="M85" s="687">
        <f>SUMIF($B$58:$B$80,LEFT(E85,3),$N$58:$N$80)</f>
        <v>4.1792297792273107E-2</v>
      </c>
      <c r="N85" s="641"/>
      <c r="O85" s="688"/>
      <c r="Q85" s="623" t="s">
        <v>974</v>
      </c>
      <c r="R85" s="689">
        <f t="shared" si="7"/>
        <v>0.91863958721626215</v>
      </c>
    </row>
    <row r="86" spans="1:28" hidden="1">
      <c r="D86" s="613" t="s">
        <v>237</v>
      </c>
      <c r="E86" s="613" t="s">
        <v>968</v>
      </c>
      <c r="M86" s="687">
        <f>SUMIF($B$58:$B$80,LEFT(E86,3),$N$58:$N$80)</f>
        <v>2.2186147047508462E-2</v>
      </c>
      <c r="N86" s="641"/>
      <c r="O86" s="688"/>
      <c r="Q86" s="623" t="s">
        <v>341</v>
      </c>
      <c r="R86" s="689">
        <f t="shared" si="7"/>
        <v>0</v>
      </c>
    </row>
    <row r="87" spans="1:28" hidden="1">
      <c r="D87" s="613" t="s">
        <v>230</v>
      </c>
      <c r="E87" s="613" t="s">
        <v>973</v>
      </c>
      <c r="M87" s="687">
        <f>SUMIF($B$58:$B$80,LEFT(E87,3),$N$58:$N$80)</f>
        <v>0.15171650078474641</v>
      </c>
      <c r="N87" s="641"/>
      <c r="O87" s="688"/>
      <c r="Q87" s="623" t="s">
        <v>342</v>
      </c>
      <c r="R87" s="689">
        <f t="shared" si="7"/>
        <v>0</v>
      </c>
      <c r="T87" s="612" t="s">
        <v>328</v>
      </c>
    </row>
    <row r="88" spans="1:28" hidden="1">
      <c r="D88" s="613" t="s">
        <v>233</v>
      </c>
      <c r="E88" s="613" t="s">
        <v>970</v>
      </c>
      <c r="M88" s="687">
        <f>SUMIF($B$58:$B$83,LEFT(E88,3),$N$58:$N$83)</f>
        <v>1.5660152793278946E-2</v>
      </c>
      <c r="N88" s="641"/>
      <c r="O88" s="688"/>
      <c r="Q88" s="623" t="s">
        <v>343</v>
      </c>
      <c r="R88" s="689">
        <f t="shared" si="7"/>
        <v>0</v>
      </c>
      <c r="V88" s="613" t="s">
        <v>329</v>
      </c>
      <c r="W88" s="613" t="s">
        <v>330</v>
      </c>
    </row>
    <row r="89" spans="1:28" hidden="1">
      <c r="D89" s="613" t="s">
        <v>226</v>
      </c>
      <c r="E89" s="613" t="s">
        <v>963</v>
      </c>
      <c r="M89" s="687">
        <f>SUMIF($B$58:$B$80,LEFT(E89,3),$O$58:$O$80)</f>
        <v>6.5864002364335369E-3</v>
      </c>
      <c r="N89" s="641"/>
      <c r="O89" s="688"/>
      <c r="Q89" s="623" t="s">
        <v>344</v>
      </c>
      <c r="R89" s="689">
        <f t="shared" si="7"/>
        <v>0</v>
      </c>
      <c r="T89" s="613" t="s">
        <v>359</v>
      </c>
      <c r="U89" s="614">
        <f>A72</f>
        <v>15</v>
      </c>
      <c r="V89" s="705">
        <v>47</v>
      </c>
      <c r="W89" s="700">
        <f>VLOOKUP($C$3,$B$35:$X$52,U89,FALSE)*V89</f>
        <v>0</v>
      </c>
    </row>
    <row r="90" spans="1:28" hidden="1">
      <c r="D90" s="613" t="s">
        <v>242</v>
      </c>
      <c r="E90" s="613" t="s">
        <v>967</v>
      </c>
      <c r="M90" s="687">
        <f>SUMIF($B$58:$B$80,LEFT(E90,3),$O$58:$O$80)</f>
        <v>0.11832654760178606</v>
      </c>
      <c r="N90" s="641"/>
      <c r="O90" s="688"/>
      <c r="Q90" s="623" t="s">
        <v>345</v>
      </c>
      <c r="R90" s="689">
        <f t="shared" si="7"/>
        <v>4.2189395866367815E-2</v>
      </c>
      <c r="T90" s="613" t="s">
        <v>253</v>
      </c>
      <c r="U90" s="614">
        <f>A73</f>
        <v>16</v>
      </c>
      <c r="V90" s="705">
        <v>42.5</v>
      </c>
      <c r="W90" s="700">
        <f>VLOOKUP($C$3,$B$35:$X$52,U90,FALSE)*V90</f>
        <v>0</v>
      </c>
    </row>
    <row r="91" spans="1:28" hidden="1">
      <c r="D91" s="613" t="s">
        <v>238</v>
      </c>
      <c r="E91" s="613" t="s">
        <v>969</v>
      </c>
      <c r="M91" s="687">
        <f>SUMIF($B$58:$B$80,LEFT(E91,3),$O$58:$O$80)</f>
        <v>1.010400603282703E-2</v>
      </c>
      <c r="N91" s="641"/>
      <c r="O91" s="688"/>
      <c r="Q91" s="623" t="s">
        <v>970</v>
      </c>
      <c r="R91" s="689">
        <f>VLOOKUP(Q91,$E$58:$M$93,R$56,FALSE)</f>
        <v>1.5660152793278946E-2</v>
      </c>
      <c r="T91" s="613" t="s">
        <v>357</v>
      </c>
      <c r="U91" s="614">
        <f>A74</f>
        <v>17</v>
      </c>
      <c r="V91" s="705">
        <v>21</v>
      </c>
      <c r="W91" s="700">
        <f>VLOOKUP($C$3,$B$35:$X$52,U91,FALSE)*V91</f>
        <v>0</v>
      </c>
    </row>
    <row r="92" spans="1:28" hidden="1">
      <c r="D92" s="613" t="s">
        <v>229</v>
      </c>
      <c r="E92" s="613" t="s">
        <v>974</v>
      </c>
      <c r="M92" s="687">
        <f>SUMIF($B$58:$B$80,LEFT(E92,3),$O$58:$O$80)</f>
        <v>0.91863958721626215</v>
      </c>
      <c r="N92" s="641"/>
      <c r="O92" s="688"/>
      <c r="Q92" s="623" t="s">
        <v>971</v>
      </c>
      <c r="R92" s="689">
        <f>VLOOKUP(Q92,$E$58:$M$93,R$56,FALSE)</f>
        <v>2.6235878507341184E-2</v>
      </c>
      <c r="T92" s="613" t="s">
        <v>354</v>
      </c>
      <c r="U92" s="614">
        <f>A76</f>
        <v>19</v>
      </c>
      <c r="V92" s="705">
        <v>20</v>
      </c>
      <c r="W92" s="700">
        <f>VLOOKUP($C$3,$B$35:$X$52,U92,FALSE)*V92</f>
        <v>0</v>
      </c>
    </row>
    <row r="93" spans="1:28" hidden="1">
      <c r="D93" s="613" t="s">
        <v>234</v>
      </c>
      <c r="E93" s="613" t="s">
        <v>971</v>
      </c>
      <c r="M93" s="687">
        <f>SUMIF($B$58:$B$83,LEFT(E93,3),$O$58:$O$83)</f>
        <v>2.6235878507341184E-2</v>
      </c>
      <c r="N93" s="641"/>
      <c r="O93" s="688"/>
      <c r="T93" s="613" t="s">
        <v>535</v>
      </c>
      <c r="U93" s="614">
        <f>A77</f>
        <v>0</v>
      </c>
      <c r="V93" s="706">
        <f ca="1">MAX(0,AuxData2!$S$37-SUM(W89:W92))</f>
        <v>0</v>
      </c>
      <c r="W93" s="700">
        <f>V93</f>
        <v>0</v>
      </c>
    </row>
    <row r="94" spans="1:28" hidden="1">
      <c r="Q94" s="704"/>
      <c r="R94" s="704"/>
    </row>
    <row r="95" spans="1:28" hidden="1"/>
    <row r="96" spans="1:28" hidden="1"/>
    <row r="97" spans="1:21" hidden="1"/>
    <row r="98" spans="1:21" ht="18" hidden="1">
      <c r="A98" s="707" t="s">
        <v>1128</v>
      </c>
      <c r="B98" s="708"/>
      <c r="C98" s="708"/>
      <c r="D98" s="708"/>
      <c r="E98" s="708"/>
      <c r="F98" s="708"/>
      <c r="G98" s="708"/>
      <c r="H98" s="708"/>
      <c r="I98" s="708"/>
      <c r="J98" s="708"/>
      <c r="K98" s="708"/>
      <c r="L98" s="708"/>
      <c r="M98" s="708"/>
      <c r="N98" s="708"/>
      <c r="O98" s="708"/>
      <c r="P98" s="708"/>
    </row>
    <row r="99" spans="1:21" hidden="1">
      <c r="H99" s="681"/>
      <c r="I99" s="681"/>
    </row>
    <row r="100" spans="1:21" hidden="1">
      <c r="B100" s="709">
        <f ca="1">BaseYear</f>
        <v>2010</v>
      </c>
      <c r="C100" s="613" t="s">
        <v>446</v>
      </c>
      <c r="L100" s="710">
        <f>MATCH(Region,$G$101:$K$101,0)</f>
        <v>1</v>
      </c>
      <c r="P100" s="614" t="s">
        <v>50</v>
      </c>
    </row>
    <row r="101" spans="1:21" hidden="1">
      <c r="C101" s="613" t="s">
        <v>447</v>
      </c>
      <c r="G101" s="613" t="s">
        <v>1341</v>
      </c>
      <c r="H101" s="613" t="s">
        <v>1097</v>
      </c>
      <c r="I101" s="613" t="s">
        <v>86</v>
      </c>
      <c r="J101" s="613" t="s">
        <v>1098</v>
      </c>
      <c r="K101" s="613" t="s">
        <v>1099</v>
      </c>
      <c r="L101" s="613" t="s">
        <v>1194</v>
      </c>
      <c r="N101" s="613" t="s">
        <v>983</v>
      </c>
      <c r="O101" s="613" t="s">
        <v>450</v>
      </c>
      <c r="P101" s="711">
        <v>0.81</v>
      </c>
      <c r="S101" s="612" t="s">
        <v>1215</v>
      </c>
    </row>
    <row r="102" spans="1:21" hidden="1">
      <c r="B102" s="631" t="s">
        <v>264</v>
      </c>
      <c r="C102" s="712">
        <v>2.2870539999999999</v>
      </c>
      <c r="E102" s="613" t="s">
        <v>446</v>
      </c>
      <c r="F102" s="613" t="s">
        <v>284</v>
      </c>
      <c r="G102" s="681">
        <v>0</v>
      </c>
      <c r="H102" s="713">
        <v>3.4000000000000002E-2</v>
      </c>
      <c r="I102" s="636">
        <v>5.1226500000000001</v>
      </c>
      <c r="J102" s="636">
        <v>0.48499999999999999</v>
      </c>
      <c r="K102" s="714">
        <v>2.57701</v>
      </c>
      <c r="L102" s="638">
        <f t="shared" ref="L102:L126" si="16">INDEX($G102:$K102,$L$100)</f>
        <v>0</v>
      </c>
      <c r="N102" s="613" t="s">
        <v>451</v>
      </c>
      <c r="O102" s="613" t="s">
        <v>913</v>
      </c>
      <c r="P102" s="715">
        <v>0.9</v>
      </c>
      <c r="S102" s="613" t="s">
        <v>1182</v>
      </c>
      <c r="T102" s="681">
        <f>L102</f>
        <v>0</v>
      </c>
      <c r="U102" s="681">
        <f>T102*L121</f>
        <v>0</v>
      </c>
    </row>
    <row r="103" spans="1:21" hidden="1">
      <c r="B103" s="638" t="s">
        <v>265</v>
      </c>
      <c r="C103" s="716">
        <v>2.6005050000000001</v>
      </c>
      <c r="E103" s="613" t="s">
        <v>1131</v>
      </c>
      <c r="F103" s="613" t="s">
        <v>1132</v>
      </c>
      <c r="G103" s="651">
        <v>0</v>
      </c>
      <c r="H103" s="645">
        <v>0</v>
      </c>
      <c r="I103" s="647">
        <f>3.165-0.415</f>
        <v>2.75</v>
      </c>
      <c r="J103" s="647">
        <v>0</v>
      </c>
      <c r="K103" s="717">
        <v>2.35</v>
      </c>
      <c r="L103" s="638">
        <f t="shared" si="16"/>
        <v>0</v>
      </c>
      <c r="N103" s="613" t="s">
        <v>451</v>
      </c>
      <c r="O103" s="613" t="s">
        <v>906</v>
      </c>
      <c r="P103" s="715">
        <v>0.9</v>
      </c>
      <c r="S103" s="613" t="s">
        <v>1183</v>
      </c>
      <c r="T103" s="681">
        <f>H78-T102</f>
        <v>0</v>
      </c>
      <c r="U103" s="681">
        <f>T103*L122</f>
        <v>0</v>
      </c>
    </row>
    <row r="104" spans="1:21" hidden="1">
      <c r="B104" s="638" t="s">
        <v>266</v>
      </c>
      <c r="C104" s="716">
        <v>3.3400129999999999</v>
      </c>
      <c r="E104" s="613" t="s">
        <v>1388</v>
      </c>
      <c r="F104" s="613" t="s">
        <v>1389</v>
      </c>
      <c r="I104" s="613">
        <v>0.41499999999999998</v>
      </c>
      <c r="K104" s="613">
        <v>0.5</v>
      </c>
      <c r="L104" s="638">
        <f t="shared" si="16"/>
        <v>0</v>
      </c>
      <c r="N104" s="613" t="s">
        <v>451</v>
      </c>
      <c r="O104" s="613" t="s">
        <v>655</v>
      </c>
      <c r="P104" s="649">
        <v>0.8</v>
      </c>
    </row>
    <row r="105" spans="1:21" hidden="1">
      <c r="B105" s="638" t="s">
        <v>267</v>
      </c>
      <c r="C105" s="716">
        <v>18.723914000000001</v>
      </c>
      <c r="E105" s="613" t="s">
        <v>1133</v>
      </c>
      <c r="F105" s="613" t="s">
        <v>1134</v>
      </c>
      <c r="G105" s="681">
        <v>0.1</v>
      </c>
      <c r="H105" s="681">
        <v>0.73542700000000005</v>
      </c>
      <c r="I105" s="681">
        <v>13.102</v>
      </c>
      <c r="J105" s="681">
        <v>3.1030000000000002</v>
      </c>
      <c r="K105" s="681">
        <v>19.041</v>
      </c>
      <c r="L105" s="689">
        <f t="shared" si="16"/>
        <v>0.1</v>
      </c>
      <c r="N105" s="613" t="s">
        <v>1391</v>
      </c>
      <c r="P105" s="718">
        <f>SUM(L103:L104)</f>
        <v>0</v>
      </c>
      <c r="S105" s="612" t="s">
        <v>1188</v>
      </c>
    </row>
    <row r="106" spans="1:21" hidden="1">
      <c r="B106" s="638" t="s">
        <v>1094</v>
      </c>
      <c r="C106" s="716">
        <v>1.9302619999999999</v>
      </c>
      <c r="E106" s="613" t="s">
        <v>1129</v>
      </c>
      <c r="F106" s="613" t="s">
        <v>1130</v>
      </c>
      <c r="G106" s="651">
        <v>15</v>
      </c>
      <c r="H106" s="651">
        <v>16.104803544529247</v>
      </c>
      <c r="I106" s="651">
        <v>18.38</v>
      </c>
      <c r="J106" s="651">
        <v>16.104803544529247</v>
      </c>
      <c r="K106" s="651">
        <v>16.441081081081084</v>
      </c>
      <c r="L106" s="689">
        <f t="shared" si="16"/>
        <v>15</v>
      </c>
      <c r="N106" s="613" t="s">
        <v>1143</v>
      </c>
      <c r="P106" s="719">
        <f>INDEX($G108:$K108,L$100)</f>
        <v>5.0999999999999996</v>
      </c>
      <c r="S106" s="613" t="s">
        <v>1174</v>
      </c>
      <c r="T106" s="700">
        <f>L113*H$79</f>
        <v>0</v>
      </c>
      <c r="U106" s="700">
        <f>IF(U$102,T106/U$102,0)</f>
        <v>0</v>
      </c>
    </row>
    <row r="107" spans="1:21" hidden="1">
      <c r="B107" s="638" t="s">
        <v>268</v>
      </c>
      <c r="C107" s="716">
        <v>4.0889009999999999</v>
      </c>
      <c r="E107" s="613" t="s">
        <v>1135</v>
      </c>
      <c r="F107" s="613" t="s">
        <v>1187</v>
      </c>
      <c r="G107" s="681">
        <f>I107</f>
        <v>0.77</v>
      </c>
      <c r="H107" s="681">
        <v>0.8</v>
      </c>
      <c r="I107" s="681">
        <v>0.77</v>
      </c>
      <c r="J107" s="681">
        <v>0.8</v>
      </c>
      <c r="K107" s="681">
        <v>0.61381314545513455</v>
      </c>
      <c r="L107" s="689">
        <f t="shared" si="16"/>
        <v>0.77</v>
      </c>
      <c r="N107" s="613" t="s">
        <v>1144</v>
      </c>
      <c r="P107" s="719">
        <v>2.8</v>
      </c>
      <c r="S107" s="613" t="s">
        <v>1177</v>
      </c>
      <c r="T107" s="700">
        <f>L112*H$79</f>
        <v>0</v>
      </c>
      <c r="U107" s="700">
        <f>IF(U$102,T107/U$102,0)</f>
        <v>0</v>
      </c>
    </row>
    <row r="108" spans="1:21" hidden="1">
      <c r="B108" s="638" t="s">
        <v>269</v>
      </c>
      <c r="C108" s="716">
        <v>2.9841229999999999</v>
      </c>
      <c r="E108" s="613" t="s">
        <v>1136</v>
      </c>
      <c r="F108" s="613" t="s">
        <v>1186</v>
      </c>
      <c r="G108" s="613">
        <v>5.0999999999999996</v>
      </c>
      <c r="H108" s="651">
        <v>5.2</v>
      </c>
      <c r="I108" s="651">
        <v>5.056</v>
      </c>
      <c r="J108" s="651">
        <v>5.2</v>
      </c>
      <c r="K108" s="651">
        <v>5.3949999999999996</v>
      </c>
      <c r="L108" s="638">
        <f t="shared" si="16"/>
        <v>5.0999999999999996</v>
      </c>
      <c r="N108" s="613" t="s">
        <v>1145</v>
      </c>
      <c r="P108" s="719">
        <f>2.3</f>
        <v>2.2999999999999998</v>
      </c>
      <c r="S108" s="613" t="s">
        <v>1178</v>
      </c>
      <c r="T108" s="700">
        <f>L116*(H$80-P$105)*(L118)</f>
        <v>0</v>
      </c>
      <c r="U108" s="700">
        <f>IF(U$102,T108/U$102,0)</f>
        <v>0</v>
      </c>
    </row>
    <row r="109" spans="1:21" hidden="1">
      <c r="B109" s="638" t="s">
        <v>1095</v>
      </c>
      <c r="C109" s="716">
        <v>15.977</v>
      </c>
      <c r="E109" s="613" t="s">
        <v>1133</v>
      </c>
      <c r="F109" s="613" t="s">
        <v>502</v>
      </c>
      <c r="G109" s="613">
        <v>0.4</v>
      </c>
      <c r="H109" s="652">
        <v>3</v>
      </c>
      <c r="I109" s="653">
        <v>62.2</v>
      </c>
      <c r="J109" s="653">
        <v>13</v>
      </c>
      <c r="K109" s="654">
        <v>75</v>
      </c>
      <c r="L109" s="638">
        <f t="shared" si="16"/>
        <v>0.4</v>
      </c>
      <c r="N109" s="613" t="s">
        <v>1137</v>
      </c>
      <c r="P109" s="719">
        <v>0.73167969326058102</v>
      </c>
      <c r="S109" s="613" t="s">
        <v>1179</v>
      </c>
      <c r="T109" s="700">
        <f>L117*(H$80-P$105)*(L119)</f>
        <v>0</v>
      </c>
      <c r="U109" s="700">
        <f>IF(U$102,T109/U$102,0)</f>
        <v>0</v>
      </c>
    </row>
    <row r="110" spans="1:21" hidden="1">
      <c r="B110" s="638" t="s">
        <v>1096</v>
      </c>
      <c r="C110" s="716">
        <v>7.5017509999999996</v>
      </c>
      <c r="E110" s="613" t="s">
        <v>1133</v>
      </c>
      <c r="F110" s="613" t="s">
        <v>1214</v>
      </c>
      <c r="G110" s="613">
        <v>0.5</v>
      </c>
      <c r="H110" s="720">
        <v>3.1</v>
      </c>
      <c r="I110" s="721">
        <v>80</v>
      </c>
      <c r="J110" s="721">
        <v>25</v>
      </c>
      <c r="K110" s="722">
        <v>90</v>
      </c>
      <c r="L110" s="638">
        <f t="shared" si="16"/>
        <v>0.5</v>
      </c>
      <c r="N110" s="613" t="s">
        <v>1228</v>
      </c>
      <c r="P110" s="723">
        <v>1.968</v>
      </c>
      <c r="S110" s="613" t="s">
        <v>1181</v>
      </c>
      <c r="T110" s="700">
        <f>L115*(H80-P$105)</f>
        <v>0</v>
      </c>
      <c r="U110" s="700">
        <f t="shared" ref="U110:U115" si="17">IF(U$103,T110/U$103,0)</f>
        <v>0</v>
      </c>
    </row>
    <row r="111" spans="1:21" hidden="1">
      <c r="B111" s="638" t="s">
        <v>270</v>
      </c>
      <c r="C111" s="716">
        <v>3.1178680000000001</v>
      </c>
      <c r="E111" s="613" t="s">
        <v>1133</v>
      </c>
      <c r="F111" s="613" t="s">
        <v>1295</v>
      </c>
      <c r="G111" s="613">
        <v>0</v>
      </c>
      <c r="H111" s="613">
        <v>0</v>
      </c>
      <c r="I111" s="613">
        <v>8</v>
      </c>
      <c r="J111" s="613">
        <v>0</v>
      </c>
      <c r="K111" s="613">
        <v>4</v>
      </c>
      <c r="L111" s="638">
        <f t="shared" si="16"/>
        <v>0</v>
      </c>
      <c r="N111" s="613" t="s">
        <v>1346</v>
      </c>
      <c r="P111" s="723">
        <v>1.3321025641025641</v>
      </c>
      <c r="S111" s="613" t="s">
        <v>1175</v>
      </c>
      <c r="T111" s="700">
        <f>L114*H$79</f>
        <v>0</v>
      </c>
      <c r="U111" s="700">
        <f t="shared" si="17"/>
        <v>0</v>
      </c>
    </row>
    <row r="112" spans="1:21" hidden="1">
      <c r="B112" s="638" t="s">
        <v>271</v>
      </c>
      <c r="C112" s="716">
        <v>6.479851</v>
      </c>
      <c r="E112" s="613" t="s">
        <v>1188</v>
      </c>
      <c r="F112" s="613" t="s">
        <v>1177</v>
      </c>
      <c r="G112" s="681">
        <v>0.35558999638957894</v>
      </c>
      <c r="H112" s="713">
        <v>1</v>
      </c>
      <c r="I112" s="636">
        <v>0.27284417600122318</v>
      </c>
      <c r="J112" s="636">
        <v>4.6451465380170684E-2</v>
      </c>
      <c r="K112" s="714">
        <v>4.3260426807429947E-2</v>
      </c>
      <c r="L112" s="689">
        <f t="shared" si="16"/>
        <v>0.35558999638957894</v>
      </c>
      <c r="N112" s="613" t="s">
        <v>1142</v>
      </c>
      <c r="P112" s="637">
        <v>1.4</v>
      </c>
      <c r="S112" s="613" t="s">
        <v>1176</v>
      </c>
      <c r="T112" s="700">
        <f>(1-SUM(L112:L114))*H79</f>
        <v>0</v>
      </c>
      <c r="U112" s="700">
        <f t="shared" si="17"/>
        <v>0</v>
      </c>
    </row>
    <row r="113" spans="2:21" hidden="1">
      <c r="B113" s="638" t="s">
        <v>563</v>
      </c>
      <c r="C113" s="716">
        <v>37.200888999999997</v>
      </c>
      <c r="F113" s="724" t="s">
        <v>1174</v>
      </c>
      <c r="G113" s="681">
        <v>0.31418599945406628</v>
      </c>
      <c r="H113" s="687">
        <v>0</v>
      </c>
      <c r="I113" s="641">
        <v>0.32377605199607579</v>
      </c>
      <c r="J113" s="641">
        <v>0.38855336003498869</v>
      </c>
      <c r="K113" s="688">
        <v>0.24778502909318473</v>
      </c>
      <c r="L113" s="689">
        <f t="shared" si="16"/>
        <v>0.31418599945406628</v>
      </c>
      <c r="N113" s="613" t="s">
        <v>182</v>
      </c>
      <c r="P113" s="637">
        <f>0.25+0.1</f>
        <v>0.35</v>
      </c>
      <c r="Q113" s="613" t="s">
        <v>183</v>
      </c>
      <c r="S113" s="613" t="s">
        <v>1178</v>
      </c>
      <c r="T113" s="700">
        <f>L116*(H$80-P$105)*(1-L118)</f>
        <v>0</v>
      </c>
      <c r="U113" s="700">
        <f t="shared" si="17"/>
        <v>0</v>
      </c>
    </row>
    <row r="114" spans="2:21" hidden="1">
      <c r="B114" s="638" t="s">
        <v>705</v>
      </c>
      <c r="C114" s="716">
        <v>35.601367000000003</v>
      </c>
      <c r="F114" s="724" t="s">
        <v>1175</v>
      </c>
      <c r="G114" s="681">
        <v>0.1238136495505601</v>
      </c>
      <c r="H114" s="687">
        <v>0</v>
      </c>
      <c r="I114" s="641">
        <v>0.18267682241939243</v>
      </c>
      <c r="J114" s="641">
        <v>0.48422017686068564</v>
      </c>
      <c r="K114" s="688">
        <v>0.56522539050692788</v>
      </c>
      <c r="L114" s="689">
        <f t="shared" si="16"/>
        <v>0.1238136495505601</v>
      </c>
      <c r="N114" s="613" t="s">
        <v>180</v>
      </c>
      <c r="P114" s="637">
        <f>1.11+0.53</f>
        <v>1.6400000000000001</v>
      </c>
      <c r="Q114" s="613" t="s">
        <v>183</v>
      </c>
      <c r="S114" s="613" t="s">
        <v>1179</v>
      </c>
      <c r="T114" s="700">
        <f>L117*(H$80-P$105)*(1-L119)</f>
        <v>0</v>
      </c>
      <c r="U114" s="700">
        <f t="shared" si="17"/>
        <v>0</v>
      </c>
    </row>
    <row r="115" spans="2:21" hidden="1">
      <c r="B115" s="638" t="s">
        <v>1097</v>
      </c>
      <c r="C115" s="716">
        <v>0.73101700000000003</v>
      </c>
      <c r="F115" s="724" t="s">
        <v>1181</v>
      </c>
      <c r="G115" s="681">
        <v>8.226691042047532E-2</v>
      </c>
      <c r="H115" s="687">
        <v>1</v>
      </c>
      <c r="I115" s="641">
        <v>7.9797826038994185E-2</v>
      </c>
      <c r="J115" s="641">
        <v>2.1277953911951826E-3</v>
      </c>
      <c r="K115" s="688">
        <v>4.8362155373812395E-2</v>
      </c>
      <c r="L115" s="689">
        <f t="shared" si="16"/>
        <v>8.226691042047532E-2</v>
      </c>
      <c r="N115" s="613" t="s">
        <v>1139</v>
      </c>
      <c r="P115" s="725">
        <v>7</v>
      </c>
      <c r="Q115" s="613" t="s">
        <v>1141</v>
      </c>
      <c r="S115" s="613" t="s">
        <v>1180</v>
      </c>
      <c r="T115" s="700">
        <f>(1-SUM(L115:L117))*(H$80-P$105)</f>
        <v>0</v>
      </c>
      <c r="U115" s="700">
        <f t="shared" si="17"/>
        <v>0</v>
      </c>
    </row>
    <row r="116" spans="2:21" hidden="1">
      <c r="B116" s="638" t="s">
        <v>86</v>
      </c>
      <c r="C116" s="716">
        <v>0.74436800000000003</v>
      </c>
      <c r="F116" s="613" t="s">
        <v>1178</v>
      </c>
      <c r="G116" s="681">
        <v>0.39213893967093238</v>
      </c>
      <c r="H116" s="687">
        <v>0</v>
      </c>
      <c r="I116" s="641">
        <v>0.30839707396403993</v>
      </c>
      <c r="J116" s="641">
        <v>0.5257930928905501</v>
      </c>
      <c r="K116" s="688">
        <v>0.18956623244262913</v>
      </c>
      <c r="L116" s="689">
        <f t="shared" si="16"/>
        <v>0.39213893967093238</v>
      </c>
    </row>
    <row r="117" spans="2:21" hidden="1">
      <c r="B117" s="638" t="s">
        <v>1098</v>
      </c>
      <c r="C117" s="716">
        <v>0.56794599999999995</v>
      </c>
      <c r="F117" s="613" t="s">
        <v>1179</v>
      </c>
      <c r="G117" s="681">
        <v>0.42943327239488116</v>
      </c>
      <c r="H117" s="687">
        <v>0</v>
      </c>
      <c r="I117" s="641">
        <v>0.52680650561502562</v>
      </c>
      <c r="J117" s="641">
        <v>0.22980190224907973</v>
      </c>
      <c r="K117" s="688">
        <v>0.41672741243842876</v>
      </c>
      <c r="L117" s="689">
        <f t="shared" si="16"/>
        <v>0.42943327239488116</v>
      </c>
      <c r="N117" s="613" t="s">
        <v>1140</v>
      </c>
      <c r="P117" s="719">
        <f>SQRT($I$106*L106)</f>
        <v>16.604216332004349</v>
      </c>
      <c r="Q117" s="613" t="s">
        <v>183</v>
      </c>
      <c r="S117" s="612" t="s">
        <v>1209</v>
      </c>
    </row>
    <row r="118" spans="2:21" hidden="1">
      <c r="B118" s="638" t="s">
        <v>1099</v>
      </c>
      <c r="C118" s="716">
        <v>0.70685699999999996</v>
      </c>
      <c r="E118" s="613" t="s">
        <v>1195</v>
      </c>
      <c r="F118" s="613" t="s">
        <v>1178</v>
      </c>
      <c r="G118" s="681">
        <v>0.60230754275499221</v>
      </c>
      <c r="H118" s="687">
        <v>0</v>
      </c>
      <c r="I118" s="641">
        <v>0.52255727161879051</v>
      </c>
      <c r="J118" s="641">
        <v>0.33899804240859482</v>
      </c>
      <c r="K118" s="688">
        <v>0.20971968847403119</v>
      </c>
      <c r="L118" s="689">
        <f t="shared" si="16"/>
        <v>0.60230754275499221</v>
      </c>
      <c r="N118" s="613" t="s">
        <v>1146</v>
      </c>
      <c r="P118" s="719">
        <f>INDEX($G107:$K107,L$100)</f>
        <v>0.77</v>
      </c>
      <c r="S118" s="724" t="s">
        <v>1181</v>
      </c>
      <c r="T118" s="700">
        <f>T110</f>
        <v>0</v>
      </c>
      <c r="U118" s="692">
        <f>IF(T118&gt;0,T118/T$122,0)</f>
        <v>0</v>
      </c>
    </row>
    <row r="119" spans="2:21" hidden="1">
      <c r="B119" s="643" t="s">
        <v>1341</v>
      </c>
      <c r="C119" s="716">
        <f>C116*0.3</f>
        <v>0.22331039999999999</v>
      </c>
      <c r="F119" s="613" t="s">
        <v>1179</v>
      </c>
      <c r="G119" s="681">
        <v>0.78951126890674816</v>
      </c>
      <c r="H119" s="687">
        <v>0</v>
      </c>
      <c r="I119" s="641">
        <v>0.71588633020468018</v>
      </c>
      <c r="J119" s="641">
        <v>0.52376089342608956</v>
      </c>
      <c r="K119" s="688">
        <v>0.38925811970784829</v>
      </c>
      <c r="L119" s="689">
        <f t="shared" si="16"/>
        <v>0.78951126890674816</v>
      </c>
      <c r="N119" s="613" t="s">
        <v>350</v>
      </c>
      <c r="P119" s="725">
        <f>INDEX($C$102:$C$119,RegIndex)</f>
        <v>0.22331039999999999</v>
      </c>
      <c r="Q119" s="613" t="s">
        <v>976</v>
      </c>
      <c r="S119" s="613" t="s">
        <v>1178</v>
      </c>
      <c r="T119" s="700">
        <f>T108+T113+L120*L$103</f>
        <v>0</v>
      </c>
      <c r="U119" s="692">
        <f>IF(T119&gt;0,T119/T$122,0)</f>
        <v>0</v>
      </c>
    </row>
    <row r="120" spans="2:21" hidden="1">
      <c r="E120" s="613" t="s">
        <v>1206</v>
      </c>
      <c r="F120" s="613" t="s">
        <v>1178</v>
      </c>
      <c r="H120" s="678">
        <v>0</v>
      </c>
      <c r="I120" s="648">
        <v>0.36223616657159158</v>
      </c>
      <c r="J120" s="648">
        <v>0.63175012767787542</v>
      </c>
      <c r="K120" s="679">
        <v>0.20067785407808131</v>
      </c>
      <c r="L120" s="689">
        <f t="shared" si="16"/>
        <v>0</v>
      </c>
      <c r="N120" s="613" t="s">
        <v>1138</v>
      </c>
      <c r="P120" s="725">
        <f>INDEX($G102:$K102,L$100)</f>
        <v>0</v>
      </c>
      <c r="S120" s="613" t="s">
        <v>1179</v>
      </c>
      <c r="T120" s="700">
        <f>T109+T114+(1-L120)*L$103</f>
        <v>0</v>
      </c>
      <c r="U120" s="692">
        <f>IF(T120&gt;0,T120/T$122,0)</f>
        <v>0</v>
      </c>
    </row>
    <row r="121" spans="2:21" hidden="1">
      <c r="E121" s="613" t="s">
        <v>1189</v>
      </c>
      <c r="F121" s="613" t="s">
        <v>1182</v>
      </c>
      <c r="G121" s="681">
        <v>0.69849146767329739</v>
      </c>
      <c r="H121" s="713">
        <v>0.69722335752296005</v>
      </c>
      <c r="I121" s="636">
        <v>0.67800000000000005</v>
      </c>
      <c r="J121" s="636">
        <v>0.80077161770790239</v>
      </c>
      <c r="K121" s="714">
        <v>0.67551955719557188</v>
      </c>
      <c r="L121" s="689">
        <f t="shared" si="16"/>
        <v>0.69849146767329739</v>
      </c>
      <c r="N121" s="613" t="s">
        <v>452</v>
      </c>
      <c r="P121" s="726">
        <v>0.04</v>
      </c>
      <c r="S121" s="613" t="s">
        <v>1180</v>
      </c>
      <c r="T121" s="700">
        <f>T115</f>
        <v>0</v>
      </c>
      <c r="U121" s="692">
        <f>IF(T121&gt;0,T121/T$122,0)</f>
        <v>0</v>
      </c>
    </row>
    <row r="122" spans="2:21" hidden="1">
      <c r="F122" s="613" t="s">
        <v>1183</v>
      </c>
      <c r="G122" s="681">
        <v>0.99784495381899641</v>
      </c>
      <c r="H122" s="678">
        <v>0.99603336788994312</v>
      </c>
      <c r="I122" s="648">
        <v>0.96299999999999997</v>
      </c>
      <c r="J122" s="648">
        <v>1.1439594538684321</v>
      </c>
      <c r="K122" s="679">
        <v>0.96502793885081706</v>
      </c>
      <c r="L122" s="689">
        <f t="shared" si="16"/>
        <v>0.99784495381899641</v>
      </c>
      <c r="N122" s="613" t="s">
        <v>182</v>
      </c>
      <c r="P122" s="727">
        <v>0</v>
      </c>
      <c r="T122" s="700">
        <f>SUM(T118:T121)</f>
        <v>0</v>
      </c>
      <c r="U122" s="700">
        <f>SUM(U118:U121)</f>
        <v>0</v>
      </c>
    </row>
    <row r="123" spans="2:21" hidden="1">
      <c r="E123" s="613" t="s">
        <v>1193</v>
      </c>
      <c r="F123" s="613" t="s">
        <v>250</v>
      </c>
      <c r="G123" s="681">
        <v>9.4906480381714129</v>
      </c>
      <c r="H123" s="681">
        <v>9.4730392665628784</v>
      </c>
      <c r="I123" s="681">
        <v>9.4906480381714129</v>
      </c>
      <c r="J123" s="681">
        <v>9.4782969619169872</v>
      </c>
      <c r="K123" s="681">
        <v>9.4678507379213919</v>
      </c>
      <c r="L123" s="689">
        <f t="shared" si="16"/>
        <v>9.4906480381714129</v>
      </c>
      <c r="N123" s="613" t="s">
        <v>180</v>
      </c>
      <c r="P123" s="727">
        <f>MAX(0,P117-INDEX($G106:$K106,L$100))</f>
        <v>1.6042163320043485</v>
      </c>
    </row>
    <row r="124" spans="2:21" hidden="1">
      <c r="F124" s="613" t="s">
        <v>1190</v>
      </c>
      <c r="G124" s="681">
        <v>6.2934919119468509</v>
      </c>
      <c r="H124" s="681">
        <v>7.3880975609756092</v>
      </c>
      <c r="I124" s="681">
        <f>6.29349191194685*1.05</f>
        <v>6.6081665075441931</v>
      </c>
      <c r="J124" s="681">
        <v>5.282953378607445</v>
      </c>
      <c r="K124" s="681">
        <v>5.1013825247513971</v>
      </c>
      <c r="L124" s="689">
        <f t="shared" si="16"/>
        <v>6.2934919119468509</v>
      </c>
    </row>
    <row r="125" spans="2:21" hidden="1">
      <c r="F125" s="613" t="s">
        <v>1136</v>
      </c>
      <c r="G125" s="681">
        <v>16.881827068900289</v>
      </c>
      <c r="H125" s="681">
        <v>10</v>
      </c>
      <c r="I125" s="681">
        <v>16.881827068900289</v>
      </c>
      <c r="J125" s="681">
        <v>17.239439904687796</v>
      </c>
      <c r="K125" s="681">
        <v>17.379380975498581</v>
      </c>
      <c r="L125" s="689">
        <f t="shared" si="16"/>
        <v>16.881827068900289</v>
      </c>
      <c r="N125" s="613" t="s">
        <v>1127</v>
      </c>
      <c r="U125" s="700"/>
    </row>
    <row r="126" spans="2:21" hidden="1">
      <c r="F126" s="613" t="s">
        <v>1191</v>
      </c>
      <c r="G126" s="681">
        <v>2.7094634146341465</v>
      </c>
      <c r="H126" s="681">
        <v>2.7094634146341465</v>
      </c>
      <c r="I126" s="681">
        <v>2.7094634146341465</v>
      </c>
      <c r="J126" s="681">
        <v>2.7094634146341465</v>
      </c>
      <c r="K126" s="681">
        <v>2.7094634146341465</v>
      </c>
      <c r="L126" s="689">
        <f t="shared" si="16"/>
        <v>2.7094634146341465</v>
      </c>
      <c r="N126" s="613" t="s">
        <v>1165</v>
      </c>
      <c r="P126" s="727">
        <f>P117*H80</f>
        <v>0</v>
      </c>
      <c r="S126" s="613" t="s">
        <v>1384</v>
      </c>
      <c r="T126" s="651">
        <f>71*P109</f>
        <v>51.949258221501253</v>
      </c>
    </row>
    <row r="127" spans="2:21" hidden="1">
      <c r="F127" s="613" t="s">
        <v>1207</v>
      </c>
      <c r="G127" s="613">
        <v>0</v>
      </c>
      <c r="H127" s="681">
        <v>0</v>
      </c>
      <c r="I127" s="681">
        <v>4.492390243902439</v>
      </c>
      <c r="J127" s="681">
        <v>4.492390243902439</v>
      </c>
      <c r="K127" s="681">
        <v>4.492390243902439</v>
      </c>
      <c r="L127" s="689">
        <f>(INDEX($G127:$K127,$L$100)-L132)*X$27</f>
        <v>0</v>
      </c>
      <c r="N127" s="613" t="s">
        <v>1166</v>
      </c>
      <c r="P127" s="727">
        <f ca="1">MIN(1,$P$126/AuxData2!$BJ$62)*SUM(AuxData2!AY19:AY20)*Q127</f>
        <v>0</v>
      </c>
      <c r="Q127" s="613">
        <v>0.77</v>
      </c>
      <c r="S127" s="613" t="s">
        <v>1385</v>
      </c>
      <c r="T127" s="651">
        <f>H80*P114+H79*P113</f>
        <v>0</v>
      </c>
    </row>
    <row r="128" spans="2:21" hidden="1">
      <c r="E128" s="613" t="s">
        <v>1192</v>
      </c>
      <c r="F128" s="613" t="s">
        <v>250</v>
      </c>
      <c r="G128" s="681">
        <v>2.6401706380526733</v>
      </c>
      <c r="H128" s="681">
        <v>2.6214184397163125</v>
      </c>
      <c r="I128" s="681">
        <v>2.6401706380526733</v>
      </c>
      <c r="J128" s="681">
        <v>2.6270175438596493</v>
      </c>
      <c r="K128" s="681">
        <v>2.6158929936305735</v>
      </c>
      <c r="L128" s="689">
        <f>INDEX($G128:$K128,$L$100)</f>
        <v>2.6401706380526733</v>
      </c>
      <c r="N128" s="613" t="s">
        <v>1169</v>
      </c>
      <c r="P128" s="727">
        <f ca="1">Calibrati22!Q224-P129</f>
        <v>3.9761111216690327E-2</v>
      </c>
      <c r="S128" s="613" t="s">
        <v>1386</v>
      </c>
      <c r="T128" s="651">
        <f>I105*P112</f>
        <v>18.3428</v>
      </c>
    </row>
    <row r="129" spans="5:20" hidden="1">
      <c r="E129" s="724"/>
      <c r="F129" s="613" t="s">
        <v>1190</v>
      </c>
      <c r="G129" s="681">
        <v>8.4656594492968811</v>
      </c>
      <c r="H129" s="681">
        <v>7.6319999999999997</v>
      </c>
      <c r="I129" s="681">
        <f>8.46565944929688*1.1</f>
        <v>9.3122253942265676</v>
      </c>
      <c r="J129" s="681">
        <v>9.1770154354902722</v>
      </c>
      <c r="K129" s="681">
        <v>8.4771799941015953</v>
      </c>
      <c r="L129" s="689">
        <f>INDEX($G129:$K129,$L$100)</f>
        <v>8.4656594492968811</v>
      </c>
      <c r="N129" s="613" t="s">
        <v>1170</v>
      </c>
      <c r="P129" s="727">
        <f ca="1">MIN(Calibrati22!Q224,P126-P127)</f>
        <v>0</v>
      </c>
      <c r="T129" s="651">
        <f>SUM(T126:T128)</f>
        <v>70.29205822150125</v>
      </c>
    </row>
    <row r="130" spans="5:20" hidden="1">
      <c r="E130" s="724"/>
      <c r="F130" s="613" t="s">
        <v>1136</v>
      </c>
      <c r="G130" s="681">
        <v>2.3684590890211825</v>
      </c>
      <c r="H130" s="681">
        <v>1</v>
      </c>
      <c r="I130" s="681">
        <v>2.3684590890211825</v>
      </c>
      <c r="J130" s="681">
        <v>2.3481942325581397</v>
      </c>
      <c r="K130" s="681">
        <v>2.356484405408529</v>
      </c>
      <c r="L130" s="689">
        <f>INDEX($G130:$K130,$L$100)</f>
        <v>2.3684590890211825</v>
      </c>
    </row>
    <row r="131" spans="5:20" hidden="1">
      <c r="E131" s="724"/>
      <c r="F131" s="613" t="s">
        <v>1191</v>
      </c>
      <c r="G131" s="681">
        <v>1.3680000000000001</v>
      </c>
      <c r="H131" s="681">
        <v>1.3680000000000001</v>
      </c>
      <c r="I131" s="681">
        <v>1.3680000000000001</v>
      </c>
      <c r="J131" s="681">
        <v>1.3680000000000001</v>
      </c>
      <c r="K131" s="681">
        <v>1.3680000000000001</v>
      </c>
      <c r="L131" s="689">
        <f>INDEX($G131:$K131,$L$100)</f>
        <v>1.3680000000000001</v>
      </c>
    </row>
    <row r="132" spans="5:20" hidden="1">
      <c r="F132" s="613" t="s">
        <v>1207</v>
      </c>
      <c r="G132" s="613">
        <v>0</v>
      </c>
      <c r="H132" s="681">
        <v>0</v>
      </c>
      <c r="I132" s="681">
        <v>0.46799999999999997</v>
      </c>
      <c r="J132" s="681">
        <v>0.46800000000000003</v>
      </c>
      <c r="K132" s="681">
        <v>0.46800000000000003</v>
      </c>
      <c r="L132" s="689">
        <f>INDEX($G132:$K132,$L$100)*$X$29</f>
        <v>0</v>
      </c>
    </row>
    <row r="133" spans="5:20" hidden="1">
      <c r="E133" s="613" t="s">
        <v>1283</v>
      </c>
      <c r="F133" s="613" t="s">
        <v>284</v>
      </c>
      <c r="G133" s="613">
        <v>0</v>
      </c>
      <c r="H133" s="613">
        <v>0</v>
      </c>
      <c r="I133" s="613">
        <v>1.1200000000000001</v>
      </c>
      <c r="J133" s="613">
        <v>0</v>
      </c>
      <c r="K133" s="613">
        <v>0.6</v>
      </c>
      <c r="L133" s="689">
        <f>INDEX($G133:$K133,$L$100)</f>
        <v>0</v>
      </c>
    </row>
    <row r="134" spans="5:20" hidden="1">
      <c r="E134" s="613" t="s">
        <v>1325</v>
      </c>
      <c r="F134" s="613" t="s">
        <v>1326</v>
      </c>
      <c r="G134" s="613">
        <v>0</v>
      </c>
      <c r="H134" s="613">
        <v>30</v>
      </c>
      <c r="I134" s="613">
        <v>50</v>
      </c>
      <c r="J134" s="613">
        <v>50</v>
      </c>
      <c r="K134" s="724">
        <v>135.14400923870599</v>
      </c>
      <c r="L134" s="689">
        <f>INDEX($G134:$K134,$L$100)</f>
        <v>0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2:AM271"/>
  <sheetViews>
    <sheetView showGridLines="0" showRowColHeaders="0" showZeros="0" showOutlineSymbols="0" topLeftCell="IV65536" zoomScale="75" workbookViewId="0">
      <selection activeCell="B16" sqref="B16:B17 B19:B20 B23:B24 S56 B60"/>
    </sheetView>
  </sheetViews>
  <sheetFormatPr defaultColWidth="0" defaultRowHeight="12.75" zeroHeight="1"/>
  <cols>
    <col min="1" max="1" width="0" style="613" hidden="1" customWidth="1"/>
    <col min="2" max="2" width="12.85546875" style="613" hidden="1" customWidth="1"/>
    <col min="3" max="16384" width="0" style="613" hidden="1"/>
  </cols>
  <sheetData>
    <row r="2" spans="1:20" hidden="1">
      <c r="B2" s="613" t="s">
        <v>291</v>
      </c>
    </row>
    <row r="3" spans="1:20" hidden="1">
      <c r="C3" s="613" t="s">
        <v>905</v>
      </c>
      <c r="D3" s="613" t="s">
        <v>906</v>
      </c>
      <c r="E3" s="613" t="s">
        <v>907</v>
      </c>
      <c r="F3" s="613" t="s">
        <v>908</v>
      </c>
      <c r="G3" s="613" t="s">
        <v>909</v>
      </c>
      <c r="H3" s="613" t="s">
        <v>910</v>
      </c>
      <c r="I3" s="613" t="s">
        <v>911</v>
      </c>
      <c r="J3" s="613" t="s">
        <v>912</v>
      </c>
      <c r="K3" s="613" t="s">
        <v>1150</v>
      </c>
      <c r="L3" s="613" t="s">
        <v>913</v>
      </c>
      <c r="M3" s="613" t="s">
        <v>826</v>
      </c>
      <c r="N3" s="613" t="s">
        <v>914</v>
      </c>
      <c r="O3" s="613" t="s">
        <v>915</v>
      </c>
      <c r="P3" s="613" t="s">
        <v>916</v>
      </c>
      <c r="Q3" s="613" t="s">
        <v>917</v>
      </c>
      <c r="R3" s="613" t="s">
        <v>950</v>
      </c>
      <c r="S3" s="613" t="s">
        <v>946</v>
      </c>
      <c r="T3" s="613" t="s">
        <v>888</v>
      </c>
    </row>
    <row r="4" spans="1:20" hidden="1">
      <c r="C4" s="613">
        <v>2</v>
      </c>
      <c r="D4" s="613">
        <v>3</v>
      </c>
      <c r="E4" s="613">
        <v>4</v>
      </c>
      <c r="F4" s="613">
        <v>5</v>
      </c>
      <c r="G4" s="613">
        <v>6</v>
      </c>
      <c r="H4" s="613">
        <v>7</v>
      </c>
      <c r="I4" s="613">
        <v>8</v>
      </c>
      <c r="J4" s="613">
        <v>9</v>
      </c>
      <c r="K4" s="613">
        <v>10</v>
      </c>
      <c r="L4" s="613">
        <v>11</v>
      </c>
      <c r="M4" s="613">
        <v>12</v>
      </c>
      <c r="N4" s="613">
        <v>13</v>
      </c>
      <c r="O4" s="613">
        <v>14</v>
      </c>
      <c r="P4" s="613">
        <v>15</v>
      </c>
      <c r="Q4" s="613">
        <v>16</v>
      </c>
      <c r="R4" s="613">
        <v>17</v>
      </c>
      <c r="S4" s="613">
        <v>18</v>
      </c>
      <c r="T4" s="613">
        <v>19</v>
      </c>
    </row>
    <row r="5" spans="1:20" hidden="1"/>
    <row r="6" spans="1:20" ht="18" hidden="1">
      <c r="B6" s="728" t="s">
        <v>212</v>
      </c>
      <c r="C6" s="729"/>
      <c r="D6" s="708"/>
      <c r="E6" s="729"/>
      <c r="F6" s="708"/>
      <c r="G6" s="708"/>
    </row>
    <row r="7" spans="1:20" hidden="1"/>
    <row r="8" spans="1:20" hidden="1">
      <c r="C8" s="613" t="s">
        <v>905</v>
      </c>
      <c r="D8" s="613" t="s">
        <v>906</v>
      </c>
      <c r="E8" s="613" t="s">
        <v>907</v>
      </c>
      <c r="F8" s="613" t="s">
        <v>908</v>
      </c>
      <c r="G8" s="613" t="s">
        <v>909</v>
      </c>
      <c r="H8" s="613" t="s">
        <v>910</v>
      </c>
      <c r="I8" s="613" t="s">
        <v>911</v>
      </c>
      <c r="J8" s="613" t="s">
        <v>912</v>
      </c>
      <c r="K8" s="613" t="s">
        <v>1150</v>
      </c>
      <c r="L8" s="613" t="s">
        <v>913</v>
      </c>
      <c r="M8" s="613" t="s">
        <v>826</v>
      </c>
      <c r="N8" s="613" t="s">
        <v>914</v>
      </c>
      <c r="O8" s="613" t="s">
        <v>915</v>
      </c>
      <c r="P8" s="613" t="s">
        <v>916</v>
      </c>
      <c r="Q8" s="613" t="s">
        <v>917</v>
      </c>
      <c r="R8" s="613" t="s">
        <v>950</v>
      </c>
      <c r="S8" s="613" t="s">
        <v>946</v>
      </c>
      <c r="T8" s="613" t="s">
        <v>888</v>
      </c>
    </row>
    <row r="9" spans="1:20" hidden="1">
      <c r="A9" s="613" t="s">
        <v>568</v>
      </c>
      <c r="B9" s="613" t="s">
        <v>213</v>
      </c>
      <c r="C9" s="730"/>
      <c r="D9" s="731">
        <v>0.1</v>
      </c>
      <c r="E9" s="730"/>
      <c r="F9" s="730"/>
      <c r="G9" s="731">
        <v>0.05</v>
      </c>
      <c r="H9" s="731">
        <v>0.35</v>
      </c>
      <c r="I9" s="731">
        <v>0.05</v>
      </c>
      <c r="J9" s="731">
        <v>0.35</v>
      </c>
      <c r="K9" s="731">
        <v>0</v>
      </c>
      <c r="L9" s="731">
        <v>0.05</v>
      </c>
      <c r="M9" s="730"/>
      <c r="N9" s="730"/>
      <c r="O9" s="730"/>
      <c r="P9" s="730">
        <v>0.05</v>
      </c>
      <c r="Q9" s="730"/>
      <c r="R9" s="730"/>
      <c r="S9" s="730"/>
      <c r="T9" s="732">
        <f t="shared" ref="T9:T43" si="0">SUM(C9:S9)</f>
        <v>1</v>
      </c>
    </row>
    <row r="10" spans="1:20" hidden="1">
      <c r="A10" s="613" t="s">
        <v>568</v>
      </c>
      <c r="B10" s="613" t="s">
        <v>367</v>
      </c>
      <c r="C10" s="731">
        <v>0.1</v>
      </c>
      <c r="D10" s="731">
        <v>0.82499999999999996</v>
      </c>
      <c r="E10" s="730"/>
      <c r="F10" s="730"/>
      <c r="G10" s="731">
        <v>0.05</v>
      </c>
      <c r="H10" s="730"/>
      <c r="I10" s="730"/>
      <c r="J10" s="730"/>
      <c r="K10" s="730"/>
      <c r="L10" s="730"/>
      <c r="M10" s="731">
        <v>2.5000000000000001E-2</v>
      </c>
      <c r="N10" s="730"/>
      <c r="O10" s="730"/>
      <c r="P10" s="730"/>
      <c r="Q10" s="730"/>
      <c r="R10" s="730"/>
      <c r="S10" s="730"/>
      <c r="T10" s="732">
        <f t="shared" si="0"/>
        <v>1</v>
      </c>
    </row>
    <row r="11" spans="1:20" hidden="1">
      <c r="A11" s="613" t="s">
        <v>568</v>
      </c>
      <c r="B11" s="613" t="s">
        <v>365</v>
      </c>
      <c r="C11" s="731">
        <v>0.5</v>
      </c>
      <c r="D11" s="731">
        <v>0.3</v>
      </c>
      <c r="E11" s="730"/>
      <c r="F11" s="730"/>
      <c r="G11" s="731">
        <v>0.15</v>
      </c>
      <c r="H11" s="730"/>
      <c r="I11" s="730"/>
      <c r="J11" s="730"/>
      <c r="K11" s="730"/>
      <c r="L11" s="730"/>
      <c r="M11" s="731">
        <v>0.05</v>
      </c>
      <c r="N11" s="730"/>
      <c r="O11" s="730"/>
      <c r="P11" s="730"/>
      <c r="Q11" s="730"/>
      <c r="R11" s="730"/>
      <c r="S11" s="730"/>
      <c r="T11" s="732">
        <f t="shared" si="0"/>
        <v>1</v>
      </c>
    </row>
    <row r="12" spans="1:20" hidden="1">
      <c r="A12" s="613" t="s">
        <v>568</v>
      </c>
      <c r="B12" s="613" t="s">
        <v>409</v>
      </c>
      <c r="C12" s="731">
        <v>0.4</v>
      </c>
      <c r="D12" s="730"/>
      <c r="E12" s="730"/>
      <c r="F12" s="730"/>
      <c r="G12" s="731">
        <v>0.2</v>
      </c>
      <c r="H12" s="731">
        <v>0.4</v>
      </c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2">
        <f t="shared" si="0"/>
        <v>1</v>
      </c>
    </row>
    <row r="13" spans="1:20" hidden="1">
      <c r="A13" s="613" t="s">
        <v>568</v>
      </c>
      <c r="B13" s="613" t="s">
        <v>560</v>
      </c>
      <c r="C13" s="731">
        <v>0.5</v>
      </c>
      <c r="D13" s="730"/>
      <c r="E13" s="731">
        <v>0.1</v>
      </c>
      <c r="F13" s="730"/>
      <c r="G13" s="731"/>
      <c r="H13" s="731">
        <v>0.4</v>
      </c>
      <c r="I13" s="730"/>
      <c r="J13" s="730"/>
      <c r="K13" s="730"/>
      <c r="L13" s="731">
        <v>0</v>
      </c>
      <c r="M13" s="731">
        <v>0</v>
      </c>
      <c r="N13" s="730"/>
      <c r="O13" s="730"/>
      <c r="P13" s="730"/>
      <c r="Q13" s="730"/>
      <c r="R13" s="730"/>
      <c r="S13" s="730"/>
      <c r="T13" s="732">
        <f t="shared" si="0"/>
        <v>1</v>
      </c>
    </row>
    <row r="14" spans="1:20" hidden="1">
      <c r="A14" s="613" t="s">
        <v>568</v>
      </c>
      <c r="B14" s="613" t="s">
        <v>224</v>
      </c>
      <c r="C14" s="686">
        <v>0.9</v>
      </c>
      <c r="D14" s="733"/>
      <c r="E14" s="686">
        <v>2.5000000000000001E-2</v>
      </c>
      <c r="F14" s="734"/>
      <c r="G14" s="734"/>
      <c r="H14" s="734"/>
      <c r="I14" s="734"/>
      <c r="J14" s="734"/>
      <c r="K14" s="734"/>
      <c r="L14" s="734"/>
      <c r="M14" s="686">
        <v>0.05</v>
      </c>
      <c r="N14" s="734"/>
      <c r="O14" s="686">
        <v>2.5000000000000001E-2</v>
      </c>
      <c r="P14" s="734"/>
      <c r="Q14" s="734"/>
      <c r="R14" s="734"/>
      <c r="S14" s="734"/>
      <c r="T14" s="732">
        <f t="shared" si="0"/>
        <v>1</v>
      </c>
    </row>
    <row r="15" spans="1:20" hidden="1">
      <c r="A15" s="613" t="s">
        <v>568</v>
      </c>
      <c r="B15" s="613" t="s">
        <v>223</v>
      </c>
      <c r="C15" s="734"/>
      <c r="D15" s="686">
        <v>0.1</v>
      </c>
      <c r="E15" s="686">
        <v>0.05</v>
      </c>
      <c r="F15" s="686">
        <v>0.01</v>
      </c>
      <c r="G15" s="686">
        <v>0.15</v>
      </c>
      <c r="H15" s="686">
        <v>0.05</v>
      </c>
      <c r="I15" s="686">
        <v>0.1</v>
      </c>
      <c r="J15" s="686">
        <v>0.25</v>
      </c>
      <c r="K15" s="686">
        <v>0.01</v>
      </c>
      <c r="L15" s="686">
        <v>0.1</v>
      </c>
      <c r="M15" s="686">
        <v>0.04</v>
      </c>
      <c r="N15" s="686">
        <v>0.01</v>
      </c>
      <c r="O15" s="686">
        <v>0</v>
      </c>
      <c r="P15" s="686">
        <v>0.01</v>
      </c>
      <c r="Q15" s="686">
        <v>0.01</v>
      </c>
      <c r="R15" s="686">
        <v>0.01</v>
      </c>
      <c r="S15" s="686">
        <v>0.1</v>
      </c>
      <c r="T15" s="732">
        <f t="shared" si="0"/>
        <v>1.0000000000000002</v>
      </c>
    </row>
    <row r="16" spans="1:20" hidden="1">
      <c r="A16" s="613" t="s">
        <v>879</v>
      </c>
      <c r="B16" s="613" t="s">
        <v>214</v>
      </c>
      <c r="C16" s="731">
        <v>0</v>
      </c>
      <c r="D16" s="731">
        <v>0.25</v>
      </c>
      <c r="E16" s="730"/>
      <c r="F16" s="730"/>
      <c r="G16" s="731">
        <v>0.25</v>
      </c>
      <c r="H16" s="730"/>
      <c r="I16" s="730"/>
      <c r="J16" s="730"/>
      <c r="K16" s="730"/>
      <c r="L16" s="731">
        <v>0.2</v>
      </c>
      <c r="M16" s="730"/>
      <c r="N16" s="730"/>
      <c r="O16" s="730"/>
      <c r="P16" s="731">
        <v>0.3</v>
      </c>
      <c r="Q16" s="730"/>
      <c r="R16" s="730"/>
      <c r="S16" s="730"/>
      <c r="T16" s="732">
        <f t="shared" si="0"/>
        <v>1</v>
      </c>
    </row>
    <row r="17" spans="1:20" hidden="1">
      <c r="A17" s="613" t="s">
        <v>879</v>
      </c>
      <c r="B17" s="613" t="s">
        <v>216</v>
      </c>
      <c r="C17" s="731">
        <v>0</v>
      </c>
      <c r="D17" s="731">
        <v>0.25</v>
      </c>
      <c r="E17" s="730"/>
      <c r="F17" s="730"/>
      <c r="G17" s="731">
        <v>0.25</v>
      </c>
      <c r="H17" s="730"/>
      <c r="I17" s="730"/>
      <c r="J17" s="730"/>
      <c r="K17" s="730"/>
      <c r="L17" s="731">
        <v>0.15</v>
      </c>
      <c r="M17" s="730"/>
      <c r="N17" s="730"/>
      <c r="O17" s="730"/>
      <c r="P17" s="731">
        <v>0.25</v>
      </c>
      <c r="Q17" s="731">
        <v>0.1</v>
      </c>
      <c r="R17" s="730"/>
      <c r="S17" s="730"/>
      <c r="T17" s="732">
        <f t="shared" si="0"/>
        <v>1</v>
      </c>
    </row>
    <row r="18" spans="1:20" hidden="1">
      <c r="A18" s="613" t="s">
        <v>879</v>
      </c>
      <c r="B18" s="613" t="s">
        <v>456</v>
      </c>
      <c r="C18" s="731">
        <v>0</v>
      </c>
      <c r="D18" s="731">
        <v>0.45</v>
      </c>
      <c r="E18" s="730"/>
      <c r="F18" s="730"/>
      <c r="G18" s="731">
        <v>0.35</v>
      </c>
      <c r="H18" s="730"/>
      <c r="I18" s="730"/>
      <c r="J18" s="730"/>
      <c r="K18" s="730"/>
      <c r="L18" s="731">
        <v>0.2</v>
      </c>
      <c r="M18" s="730"/>
      <c r="N18" s="730"/>
      <c r="O18" s="730"/>
      <c r="P18" s="730"/>
      <c r="Q18" s="730"/>
      <c r="R18" s="730"/>
      <c r="S18" s="730"/>
      <c r="T18" s="732">
        <f t="shared" si="0"/>
        <v>1</v>
      </c>
    </row>
    <row r="19" spans="1:20" hidden="1">
      <c r="A19" s="613" t="s">
        <v>879</v>
      </c>
      <c r="B19" s="613" t="s">
        <v>218</v>
      </c>
      <c r="C19" s="731">
        <v>0.18</v>
      </c>
      <c r="D19" s="686">
        <v>0.55000000000000004</v>
      </c>
      <c r="E19" s="730"/>
      <c r="F19" s="730"/>
      <c r="G19" s="686">
        <v>0.1</v>
      </c>
      <c r="H19" s="730"/>
      <c r="I19" s="730"/>
      <c r="J19" s="730"/>
      <c r="K19" s="730"/>
      <c r="L19" s="686">
        <v>0.17</v>
      </c>
      <c r="M19" s="730"/>
      <c r="N19" s="730"/>
      <c r="O19" s="730"/>
      <c r="P19" s="730"/>
      <c r="Q19" s="730"/>
      <c r="R19" s="730"/>
      <c r="S19" s="730"/>
      <c r="T19" s="732">
        <f t="shared" si="0"/>
        <v>1</v>
      </c>
    </row>
    <row r="20" spans="1:20" hidden="1">
      <c r="A20" s="613" t="s">
        <v>879</v>
      </c>
      <c r="B20" s="613" t="s">
        <v>219</v>
      </c>
      <c r="C20" s="731">
        <v>0.25</v>
      </c>
      <c r="D20" s="686">
        <v>0.4</v>
      </c>
      <c r="E20" s="730"/>
      <c r="F20" s="730"/>
      <c r="G20" s="731">
        <v>0.1</v>
      </c>
      <c r="H20" s="730"/>
      <c r="I20" s="730"/>
      <c r="J20" s="730"/>
      <c r="K20" s="730"/>
      <c r="L20" s="731">
        <v>0.25</v>
      </c>
      <c r="M20" s="730"/>
      <c r="N20" s="730"/>
      <c r="O20" s="730"/>
      <c r="P20" s="730"/>
      <c r="Q20" s="730"/>
      <c r="R20" s="730"/>
      <c r="S20" s="730"/>
      <c r="T20" s="732">
        <f t="shared" si="0"/>
        <v>1</v>
      </c>
    </row>
    <row r="21" spans="1:20" hidden="1">
      <c r="A21" s="613" t="s">
        <v>879</v>
      </c>
      <c r="B21" s="613" t="s">
        <v>239</v>
      </c>
      <c r="C21" s="686">
        <v>0.96</v>
      </c>
      <c r="D21" s="733"/>
      <c r="E21" s="686">
        <v>0.02</v>
      </c>
      <c r="F21" s="734"/>
      <c r="G21" s="734"/>
      <c r="H21" s="734"/>
      <c r="I21" s="734"/>
      <c r="J21" s="734"/>
      <c r="K21" s="734"/>
      <c r="L21" s="734"/>
      <c r="M21" s="686">
        <v>0.01</v>
      </c>
      <c r="N21" s="734"/>
      <c r="O21" s="686">
        <v>0.01</v>
      </c>
      <c r="P21" s="734"/>
      <c r="Q21" s="734"/>
      <c r="R21" s="734"/>
      <c r="S21" s="734"/>
      <c r="T21" s="732">
        <f t="shared" si="0"/>
        <v>1</v>
      </c>
    </row>
    <row r="22" spans="1:20" hidden="1">
      <c r="A22" s="613" t="s">
        <v>879</v>
      </c>
      <c r="B22" s="613" t="s">
        <v>240</v>
      </c>
      <c r="C22" s="734"/>
      <c r="D22" s="686">
        <v>0.15</v>
      </c>
      <c r="E22" s="686">
        <v>0.05</v>
      </c>
      <c r="F22" s="686">
        <v>0.01</v>
      </c>
      <c r="G22" s="686">
        <v>0.15</v>
      </c>
      <c r="H22" s="686">
        <v>0.05</v>
      </c>
      <c r="I22" s="686">
        <v>0.1</v>
      </c>
      <c r="J22" s="686">
        <v>0.05</v>
      </c>
      <c r="K22" s="686">
        <v>0.05</v>
      </c>
      <c r="L22" s="686">
        <v>0.15</v>
      </c>
      <c r="M22" s="686">
        <v>0.05</v>
      </c>
      <c r="N22" s="686">
        <v>0.01</v>
      </c>
      <c r="O22" s="686">
        <v>0</v>
      </c>
      <c r="P22" s="686">
        <v>0.01</v>
      </c>
      <c r="Q22" s="686">
        <v>0.06</v>
      </c>
      <c r="R22" s="686">
        <v>0.01</v>
      </c>
      <c r="S22" s="686">
        <v>0.1</v>
      </c>
      <c r="T22" s="732">
        <f t="shared" si="0"/>
        <v>1.0000000000000002</v>
      </c>
    </row>
    <row r="23" spans="1:20" hidden="1">
      <c r="A23" s="613" t="s">
        <v>880</v>
      </c>
      <c r="B23" s="613" t="s">
        <v>220</v>
      </c>
      <c r="C23" s="731">
        <v>0.8</v>
      </c>
      <c r="D23" s="686">
        <v>0.06</v>
      </c>
      <c r="E23" s="730"/>
      <c r="F23" s="730"/>
      <c r="G23" s="686">
        <v>0.05</v>
      </c>
      <c r="H23" s="686">
        <v>0.05</v>
      </c>
      <c r="I23" s="730"/>
      <c r="J23" s="730"/>
      <c r="K23" s="730"/>
      <c r="L23" s="686">
        <v>0.04</v>
      </c>
      <c r="M23" s="734"/>
      <c r="N23" s="730"/>
      <c r="O23" s="730"/>
      <c r="P23" s="730"/>
      <c r="Q23" s="730"/>
      <c r="R23" s="730"/>
      <c r="S23" s="730"/>
      <c r="T23" s="732">
        <f t="shared" si="0"/>
        <v>1.0000000000000002</v>
      </c>
    </row>
    <row r="24" spans="1:20" hidden="1">
      <c r="A24" s="613" t="s">
        <v>880</v>
      </c>
      <c r="B24" s="613" t="s">
        <v>222</v>
      </c>
      <c r="C24" s="731">
        <v>0.55000000000000004</v>
      </c>
      <c r="D24" s="686">
        <v>0.1</v>
      </c>
      <c r="E24" s="730"/>
      <c r="F24" s="730"/>
      <c r="G24" s="686">
        <v>0.05</v>
      </c>
      <c r="H24" s="686">
        <v>0.1</v>
      </c>
      <c r="I24" s="730"/>
      <c r="J24" s="730"/>
      <c r="K24" s="730"/>
      <c r="L24" s="686">
        <v>0.2</v>
      </c>
      <c r="M24" s="734"/>
      <c r="N24" s="730"/>
      <c r="O24" s="730"/>
      <c r="P24" s="730"/>
      <c r="Q24" s="730"/>
      <c r="R24" s="730"/>
      <c r="S24" s="730"/>
      <c r="T24" s="732">
        <f t="shared" si="0"/>
        <v>1</v>
      </c>
    </row>
    <row r="25" spans="1:20" hidden="1">
      <c r="A25" s="613" t="s">
        <v>880</v>
      </c>
      <c r="B25" s="613" t="s">
        <v>407</v>
      </c>
      <c r="C25" s="731">
        <v>0.9</v>
      </c>
      <c r="D25" s="686">
        <v>0.05</v>
      </c>
      <c r="E25" s="730"/>
      <c r="F25" s="730"/>
      <c r="G25" s="730"/>
      <c r="H25" s="730"/>
      <c r="I25" s="730"/>
      <c r="J25" s="730"/>
      <c r="K25" s="730"/>
      <c r="L25" s="686">
        <v>0.05</v>
      </c>
      <c r="M25" s="734"/>
      <c r="N25" s="730"/>
      <c r="O25" s="730"/>
      <c r="P25" s="730"/>
      <c r="Q25" s="730"/>
      <c r="R25" s="730"/>
      <c r="S25" s="730"/>
      <c r="T25" s="732">
        <f t="shared" si="0"/>
        <v>1</v>
      </c>
    </row>
    <row r="26" spans="1:20" hidden="1">
      <c r="A26" s="613" t="s">
        <v>880</v>
      </c>
      <c r="B26" s="613" t="s">
        <v>406</v>
      </c>
      <c r="C26" s="731">
        <v>0.3</v>
      </c>
      <c r="D26" s="686">
        <v>0.35</v>
      </c>
      <c r="E26" s="686">
        <v>0.05</v>
      </c>
      <c r="F26" s="730"/>
      <c r="G26" s="686"/>
      <c r="H26" s="686">
        <v>0.05</v>
      </c>
      <c r="I26" s="730"/>
      <c r="J26" s="730"/>
      <c r="K26" s="730"/>
      <c r="L26" s="686">
        <v>0.25</v>
      </c>
      <c r="M26" s="734"/>
      <c r="N26" s="730"/>
      <c r="O26" s="730"/>
      <c r="P26" s="730"/>
      <c r="Q26" s="730"/>
      <c r="R26" s="730"/>
      <c r="S26" s="730"/>
      <c r="T26" s="732">
        <f t="shared" si="0"/>
        <v>1</v>
      </c>
    </row>
    <row r="27" spans="1:20" hidden="1">
      <c r="A27" s="613" t="s">
        <v>880</v>
      </c>
      <c r="B27" s="613" t="s">
        <v>235</v>
      </c>
      <c r="C27" s="686">
        <v>0.97</v>
      </c>
      <c r="D27" s="733"/>
      <c r="E27" s="686">
        <v>0.03</v>
      </c>
      <c r="F27" s="734"/>
      <c r="G27" s="734"/>
      <c r="H27" s="734"/>
      <c r="I27" s="734"/>
      <c r="J27" s="734"/>
      <c r="K27" s="734"/>
      <c r="L27" s="734"/>
      <c r="M27" s="686">
        <v>0</v>
      </c>
      <c r="N27" s="734"/>
      <c r="O27" s="686">
        <v>0</v>
      </c>
      <c r="P27" s="734"/>
      <c r="Q27" s="734"/>
      <c r="R27" s="734"/>
      <c r="S27" s="734"/>
      <c r="T27" s="732">
        <f t="shared" si="0"/>
        <v>1</v>
      </c>
    </row>
    <row r="28" spans="1:20" hidden="1">
      <c r="A28" s="613" t="s">
        <v>880</v>
      </c>
      <c r="B28" s="613" t="s">
        <v>236</v>
      </c>
      <c r="C28" s="734"/>
      <c r="D28" s="686">
        <v>0.3</v>
      </c>
      <c r="E28" s="686">
        <v>0.05</v>
      </c>
      <c r="F28" s="686">
        <v>0.01</v>
      </c>
      <c r="G28" s="686">
        <v>0.1</v>
      </c>
      <c r="H28" s="686">
        <v>0.05</v>
      </c>
      <c r="I28" s="686">
        <v>0.1</v>
      </c>
      <c r="J28" s="686">
        <v>0.05</v>
      </c>
      <c r="K28" s="686">
        <v>0.01</v>
      </c>
      <c r="L28" s="686">
        <v>0.12</v>
      </c>
      <c r="M28" s="686">
        <v>0.05</v>
      </c>
      <c r="N28" s="686">
        <v>0.01</v>
      </c>
      <c r="O28" s="686">
        <v>0</v>
      </c>
      <c r="P28" s="686">
        <v>0.01</v>
      </c>
      <c r="Q28" s="686">
        <v>0.03</v>
      </c>
      <c r="R28" s="686">
        <v>0.01</v>
      </c>
      <c r="S28" s="686">
        <v>0.1</v>
      </c>
      <c r="T28" s="732">
        <f t="shared" si="0"/>
        <v>1.0000000000000002</v>
      </c>
    </row>
    <row r="29" spans="1:20" hidden="1">
      <c r="A29" s="613" t="s">
        <v>787</v>
      </c>
      <c r="B29" s="613" t="s">
        <v>251</v>
      </c>
      <c r="C29" s="731">
        <v>0.1</v>
      </c>
      <c r="D29" s="731">
        <v>0.2</v>
      </c>
      <c r="E29" s="731">
        <v>0.05</v>
      </c>
      <c r="F29" s="730"/>
      <c r="G29" s="730"/>
      <c r="H29" s="730"/>
      <c r="I29" s="730"/>
      <c r="J29" s="730"/>
      <c r="K29" s="730"/>
      <c r="L29" s="731">
        <v>0.05</v>
      </c>
      <c r="M29" s="731">
        <v>0.05</v>
      </c>
      <c r="N29" s="731">
        <v>0.05</v>
      </c>
      <c r="O29" s="731">
        <v>0.5</v>
      </c>
      <c r="P29" s="730"/>
      <c r="Q29" s="730"/>
      <c r="R29" s="730"/>
      <c r="S29" s="730"/>
      <c r="T29" s="732">
        <f t="shared" si="0"/>
        <v>1</v>
      </c>
    </row>
    <row r="30" spans="1:20" hidden="1">
      <c r="A30" s="613" t="s">
        <v>787</v>
      </c>
      <c r="B30" s="613" t="s">
        <v>252</v>
      </c>
      <c r="C30" s="731">
        <v>0.1</v>
      </c>
      <c r="D30" s="731">
        <v>0.15</v>
      </c>
      <c r="E30" s="731">
        <v>0.05</v>
      </c>
      <c r="F30" s="730"/>
      <c r="G30" s="730"/>
      <c r="H30" s="730"/>
      <c r="I30" s="730"/>
      <c r="J30" s="730"/>
      <c r="K30" s="730"/>
      <c r="L30" s="731">
        <v>0.05</v>
      </c>
      <c r="M30" s="731">
        <v>0.05</v>
      </c>
      <c r="N30" s="731">
        <v>0.1</v>
      </c>
      <c r="O30" s="731">
        <v>0.5</v>
      </c>
      <c r="P30" s="730"/>
      <c r="Q30" s="730"/>
      <c r="R30" s="730"/>
      <c r="S30" s="730"/>
      <c r="T30" s="732">
        <f t="shared" si="0"/>
        <v>1</v>
      </c>
    </row>
    <row r="31" spans="1:20" hidden="1">
      <c r="A31" s="613" t="s">
        <v>787</v>
      </c>
      <c r="B31" s="613" t="s">
        <v>254</v>
      </c>
      <c r="C31" s="731">
        <v>0.1</v>
      </c>
      <c r="D31" s="731">
        <v>0.75</v>
      </c>
      <c r="E31" s="730"/>
      <c r="F31" s="730"/>
      <c r="G31" s="731">
        <v>0.05</v>
      </c>
      <c r="H31" s="730"/>
      <c r="I31" s="730"/>
      <c r="J31" s="730"/>
      <c r="K31" s="730"/>
      <c r="L31" s="730"/>
      <c r="M31" s="730"/>
      <c r="N31" s="730"/>
      <c r="O31" s="731">
        <v>0.1</v>
      </c>
      <c r="P31" s="730"/>
      <c r="Q31" s="730"/>
      <c r="R31" s="730"/>
      <c r="S31" s="730"/>
      <c r="T31" s="732">
        <f t="shared" si="0"/>
        <v>1</v>
      </c>
    </row>
    <row r="32" spans="1:20" hidden="1">
      <c r="A32" s="613" t="s">
        <v>787</v>
      </c>
      <c r="B32" s="613" t="s">
        <v>539</v>
      </c>
      <c r="C32" s="731">
        <v>1</v>
      </c>
      <c r="D32" s="731">
        <v>0</v>
      </c>
      <c r="E32" s="730"/>
      <c r="F32" s="730"/>
      <c r="G32" s="731"/>
      <c r="H32" s="730"/>
      <c r="I32" s="730"/>
      <c r="J32" s="730"/>
      <c r="K32" s="730"/>
      <c r="L32" s="730"/>
      <c r="M32" s="730"/>
      <c r="N32" s="730"/>
      <c r="O32" s="731"/>
      <c r="P32" s="730"/>
      <c r="Q32" s="730"/>
      <c r="R32" s="730"/>
      <c r="S32" s="730"/>
      <c r="T32" s="732">
        <f t="shared" si="0"/>
        <v>1</v>
      </c>
    </row>
    <row r="33" spans="1:21" hidden="1">
      <c r="A33" s="613" t="s">
        <v>787</v>
      </c>
      <c r="B33" s="613" t="s">
        <v>353</v>
      </c>
      <c r="C33" s="731">
        <v>0.1</v>
      </c>
      <c r="D33" s="731">
        <v>0.85</v>
      </c>
      <c r="E33" s="735"/>
      <c r="F33" s="735"/>
      <c r="G33" s="731">
        <v>0.05</v>
      </c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2">
        <f t="shared" si="0"/>
        <v>1</v>
      </c>
    </row>
    <row r="34" spans="1:21" hidden="1">
      <c r="A34" s="613" t="s">
        <v>787</v>
      </c>
      <c r="B34" s="613" t="s">
        <v>560</v>
      </c>
      <c r="C34" s="731">
        <v>0.4</v>
      </c>
      <c r="D34" s="731">
        <v>0.25</v>
      </c>
      <c r="E34" s="731">
        <v>0.05</v>
      </c>
      <c r="F34" s="735"/>
      <c r="G34" s="731">
        <v>0.02</v>
      </c>
      <c r="H34" s="735">
        <v>0.01</v>
      </c>
      <c r="I34" s="735"/>
      <c r="J34" s="735"/>
      <c r="K34" s="735"/>
      <c r="L34" s="731">
        <v>0.14000000000000001</v>
      </c>
      <c r="M34" s="731">
        <v>0.05</v>
      </c>
      <c r="N34" s="731">
        <v>7.0000000000000007E-2</v>
      </c>
      <c r="O34" s="735">
        <v>0.01</v>
      </c>
      <c r="P34" s="735"/>
      <c r="Q34" s="735"/>
      <c r="R34" s="735"/>
      <c r="S34" s="735"/>
      <c r="T34" s="732">
        <f t="shared" si="0"/>
        <v>1.0000000000000002</v>
      </c>
    </row>
    <row r="35" spans="1:21" hidden="1">
      <c r="A35" s="613" t="s">
        <v>787</v>
      </c>
      <c r="B35" s="613" t="s">
        <v>227</v>
      </c>
      <c r="C35" s="686">
        <v>0.96</v>
      </c>
      <c r="D35" s="733"/>
      <c r="E35" s="686">
        <v>0.02</v>
      </c>
      <c r="F35" s="734"/>
      <c r="G35" s="734"/>
      <c r="H35" s="734"/>
      <c r="I35" s="734"/>
      <c r="J35" s="734"/>
      <c r="K35" s="734"/>
      <c r="L35" s="734"/>
      <c r="M35" s="686">
        <v>0.01</v>
      </c>
      <c r="N35" s="734"/>
      <c r="O35" s="686">
        <v>0.01</v>
      </c>
      <c r="P35" s="734"/>
      <c r="Q35" s="734"/>
      <c r="R35" s="734"/>
      <c r="S35" s="734"/>
      <c r="T35" s="732">
        <f t="shared" si="0"/>
        <v>1</v>
      </c>
    </row>
    <row r="36" spans="1:21" hidden="1">
      <c r="A36" s="613" t="s">
        <v>787</v>
      </c>
      <c r="B36" s="613" t="s">
        <v>228</v>
      </c>
      <c r="C36" s="734"/>
      <c r="D36" s="686">
        <v>0.4</v>
      </c>
      <c r="E36" s="734"/>
      <c r="F36" s="686">
        <v>0.03</v>
      </c>
      <c r="G36" s="686">
        <v>0.05</v>
      </c>
      <c r="H36" s="686">
        <v>0.03</v>
      </c>
      <c r="I36" s="686">
        <v>0.03</v>
      </c>
      <c r="J36" s="686">
        <v>0.01</v>
      </c>
      <c r="K36" s="686">
        <v>0.03</v>
      </c>
      <c r="L36" s="686">
        <v>0.1</v>
      </c>
      <c r="M36" s="686">
        <v>0.03</v>
      </c>
      <c r="N36" s="686">
        <v>0.02</v>
      </c>
      <c r="O36" s="734"/>
      <c r="P36" s="686">
        <v>0.05</v>
      </c>
      <c r="Q36" s="686">
        <v>0.01</v>
      </c>
      <c r="R36" s="686">
        <v>0.01</v>
      </c>
      <c r="S36" s="686">
        <v>0.2</v>
      </c>
      <c r="T36" s="732">
        <f t="shared" si="0"/>
        <v>1.0000000000000002</v>
      </c>
    </row>
    <row r="37" spans="1:21" hidden="1">
      <c r="A37" s="613" t="s">
        <v>978</v>
      </c>
      <c r="B37" s="613" t="s">
        <v>250</v>
      </c>
      <c r="C37" s="730">
        <v>0</v>
      </c>
      <c r="D37" s="730">
        <v>0.4</v>
      </c>
      <c r="E37" s="730">
        <v>0.25</v>
      </c>
      <c r="F37" s="730"/>
      <c r="G37" s="730"/>
      <c r="H37" s="730"/>
      <c r="I37" s="730"/>
      <c r="J37" s="730"/>
      <c r="K37" s="730"/>
      <c r="L37" s="730"/>
      <c r="M37" s="730">
        <v>0.35</v>
      </c>
      <c r="N37" s="730"/>
      <c r="O37" s="730"/>
      <c r="P37" s="730"/>
      <c r="Q37" s="730"/>
      <c r="S37" s="730"/>
      <c r="T37" s="732">
        <f t="shared" si="0"/>
        <v>1</v>
      </c>
    </row>
    <row r="38" spans="1:21" s="736" customFormat="1" hidden="1">
      <c r="A38" s="613" t="s">
        <v>978</v>
      </c>
      <c r="B38" s="613" t="s">
        <v>249</v>
      </c>
      <c r="C38" s="730">
        <v>1</v>
      </c>
      <c r="D38" s="730">
        <v>0</v>
      </c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2">
        <f t="shared" si="0"/>
        <v>1</v>
      </c>
    </row>
    <row r="39" spans="1:21" s="736" customFormat="1" hidden="1">
      <c r="A39" s="613" t="s">
        <v>978</v>
      </c>
      <c r="B39" s="613" t="s">
        <v>247</v>
      </c>
      <c r="C39" s="730">
        <v>0</v>
      </c>
      <c r="D39" s="730">
        <v>0.4</v>
      </c>
      <c r="E39" s="730"/>
      <c r="F39" s="730"/>
      <c r="G39" s="730">
        <v>0.05</v>
      </c>
      <c r="H39" s="730"/>
      <c r="I39" s="730"/>
      <c r="J39" s="730"/>
      <c r="K39" s="730"/>
      <c r="L39" s="730">
        <v>0.5</v>
      </c>
      <c r="M39" s="730"/>
      <c r="N39" s="730"/>
      <c r="O39" s="730"/>
      <c r="P39" s="730"/>
      <c r="Q39" s="730">
        <v>0.05</v>
      </c>
      <c r="R39" s="730"/>
      <c r="S39" s="730"/>
      <c r="T39" s="732">
        <f t="shared" si="0"/>
        <v>1</v>
      </c>
    </row>
    <row r="40" spans="1:21" s="736" customFormat="1" hidden="1">
      <c r="A40" s="613" t="s">
        <v>978</v>
      </c>
      <c r="B40" s="613" t="s">
        <v>338</v>
      </c>
      <c r="C40" s="730">
        <v>0</v>
      </c>
      <c r="D40" s="730">
        <v>0.5</v>
      </c>
      <c r="E40" s="730">
        <v>0.2</v>
      </c>
      <c r="F40" s="730"/>
      <c r="G40" s="730"/>
      <c r="H40" s="730"/>
      <c r="I40" s="730"/>
      <c r="J40" s="730"/>
      <c r="K40" s="730"/>
      <c r="L40" s="730"/>
      <c r="M40" s="730">
        <v>0.3</v>
      </c>
      <c r="N40" s="730"/>
      <c r="O40" s="730"/>
      <c r="P40" s="730"/>
      <c r="Q40" s="730"/>
      <c r="R40" s="730"/>
      <c r="S40" s="730"/>
      <c r="T40" s="732">
        <f t="shared" si="0"/>
        <v>1</v>
      </c>
    </row>
    <row r="41" spans="1:21" s="736" customFormat="1" hidden="1">
      <c r="A41" s="613" t="s">
        <v>978</v>
      </c>
      <c r="B41" s="613" t="s">
        <v>560</v>
      </c>
      <c r="C41" s="730">
        <v>0.12</v>
      </c>
      <c r="D41" s="730">
        <v>0.34</v>
      </c>
      <c r="E41" s="730">
        <v>0.05</v>
      </c>
      <c r="F41" s="730"/>
      <c r="G41" s="730">
        <v>0.03</v>
      </c>
      <c r="H41" s="730">
        <v>0.01</v>
      </c>
      <c r="I41" s="730"/>
      <c r="J41" s="730"/>
      <c r="K41" s="730"/>
      <c r="L41" s="730">
        <v>0.22</v>
      </c>
      <c r="M41" s="730">
        <v>0.2</v>
      </c>
      <c r="N41" s="730"/>
      <c r="O41" s="730"/>
      <c r="P41" s="730"/>
      <c r="Q41" s="730">
        <v>0.01</v>
      </c>
      <c r="R41" s="730"/>
      <c r="S41" s="730"/>
      <c r="T41" s="732">
        <f t="shared" si="0"/>
        <v>0.98</v>
      </c>
    </row>
    <row r="42" spans="1:21" hidden="1">
      <c r="A42" s="613" t="s">
        <v>978</v>
      </c>
      <c r="B42" s="613" t="s">
        <v>231</v>
      </c>
      <c r="C42" s="686">
        <v>1</v>
      </c>
      <c r="D42" s="733"/>
      <c r="E42" s="686">
        <v>0</v>
      </c>
      <c r="F42" s="734"/>
      <c r="G42" s="734"/>
      <c r="H42" s="734"/>
      <c r="I42" s="734"/>
      <c r="J42" s="734"/>
      <c r="K42" s="734"/>
      <c r="L42" s="734"/>
      <c r="M42" s="686">
        <v>0</v>
      </c>
      <c r="N42" s="734"/>
      <c r="O42" s="686">
        <v>0</v>
      </c>
      <c r="P42" s="734"/>
      <c r="Q42" s="734"/>
      <c r="R42" s="734"/>
      <c r="S42" s="734"/>
      <c r="T42" s="732">
        <f t="shared" si="0"/>
        <v>1</v>
      </c>
    </row>
    <row r="43" spans="1:21" hidden="1">
      <c r="A43" s="613" t="s">
        <v>978</v>
      </c>
      <c r="B43" s="613" t="s">
        <v>232</v>
      </c>
      <c r="C43" s="734"/>
      <c r="D43" s="686">
        <v>0.19</v>
      </c>
      <c r="E43" s="686">
        <v>0.01</v>
      </c>
      <c r="F43" s="686">
        <v>0.01</v>
      </c>
      <c r="G43" s="686">
        <v>5.8000000000000003E-2</v>
      </c>
      <c r="H43" s="686">
        <v>0.01</v>
      </c>
      <c r="I43" s="686">
        <v>2E-3</v>
      </c>
      <c r="J43" s="686">
        <v>0</v>
      </c>
      <c r="K43" s="686">
        <v>0.03</v>
      </c>
      <c r="L43" s="686">
        <v>0.08</v>
      </c>
      <c r="M43" s="686">
        <v>0.01</v>
      </c>
      <c r="N43" s="686">
        <v>0</v>
      </c>
      <c r="O43" s="686">
        <v>0.01</v>
      </c>
      <c r="P43" s="686">
        <v>0</v>
      </c>
      <c r="Q43" s="686">
        <v>0.46</v>
      </c>
      <c r="R43" s="686">
        <v>0.01</v>
      </c>
      <c r="S43" s="686">
        <v>0.12</v>
      </c>
      <c r="T43" s="732">
        <f t="shared" si="0"/>
        <v>1</v>
      </c>
    </row>
    <row r="44" spans="1:21" hidden="1"/>
    <row r="45" spans="1:21" hidden="1"/>
    <row r="46" spans="1:21" hidden="1"/>
    <row r="47" spans="1:21" hidden="1">
      <c r="B47" s="612" t="s">
        <v>81</v>
      </c>
      <c r="U47" s="710">
        <f ca="1">Driver22!$X$27</f>
        <v>0.82</v>
      </c>
    </row>
    <row r="48" spans="1:21" hidden="1">
      <c r="C48" s="613" t="s">
        <v>905</v>
      </c>
      <c r="D48" s="613" t="s">
        <v>906</v>
      </c>
      <c r="E48" s="613" t="s">
        <v>907</v>
      </c>
      <c r="F48" s="613" t="s">
        <v>908</v>
      </c>
      <c r="G48" s="613" t="s">
        <v>909</v>
      </c>
      <c r="H48" s="613" t="s">
        <v>910</v>
      </c>
      <c r="I48" s="613" t="s">
        <v>911</v>
      </c>
      <c r="J48" s="613" t="s">
        <v>912</v>
      </c>
      <c r="K48" s="613" t="s">
        <v>1150</v>
      </c>
      <c r="L48" s="613" t="s">
        <v>913</v>
      </c>
      <c r="M48" s="613" t="s">
        <v>826</v>
      </c>
      <c r="N48" s="613" t="s">
        <v>914</v>
      </c>
      <c r="O48" s="613" t="s">
        <v>915</v>
      </c>
      <c r="P48" s="613" t="s">
        <v>916</v>
      </c>
      <c r="Q48" s="613" t="s">
        <v>917</v>
      </c>
      <c r="R48" s="613" t="s">
        <v>950</v>
      </c>
      <c r="S48" s="613" t="s">
        <v>946</v>
      </c>
      <c r="T48" s="613" t="s">
        <v>888</v>
      </c>
      <c r="U48" s="613" t="s">
        <v>378</v>
      </c>
    </row>
    <row r="49" spans="1:21" hidden="1">
      <c r="B49" s="613" t="s">
        <v>568</v>
      </c>
      <c r="C49" s="613">
        <f t="array" aca="1" ref="C49" ca="1">SUM(IF($A$9:$A$43=$B49,Driver22!$R$58:$R$92*C$9:C$43))</f>
        <v>2.3313240334398473E-2</v>
      </c>
      <c r="D49" s="613">
        <f t="array" aca="1" ref="D49" ca="1">SUM(IF($A$9:$A$43=$B49,Driver22!$R$58:$R$92*D$9:D$43))</f>
        <v>6.5864002364335371E-4</v>
      </c>
      <c r="E49" s="613">
        <f t="array" aca="1" ref="E49" ca="1">SUM(IF($A$9:$A$43=$B49,Driver22!$R$58:$R$92*E$9:E$43))</f>
        <v>2.1889654251955994E-3</v>
      </c>
      <c r="F49" s="613">
        <f t="array" aca="1" ref="F49" ca="1">SUM(IF($A$9:$A$43=$B49,Driver22!$R$58:$R$92*F$9:F$43))</f>
        <v>6.5864002364335376E-5</v>
      </c>
      <c r="G49" s="613">
        <f t="array" aca="1" ref="G49" ca="1">SUM(IF($A$9:$A$43=$B49,Driver22!$R$58:$R$92*G$9:G$43))</f>
        <v>9.879600354650304E-4</v>
      </c>
      <c r="H49" s="613">
        <f t="array" aca="1" ref="H49" ca="1">SUM(IF($A$9:$A$43=$B49,Driver22!$R$58:$R$92*H$9:H$43))</f>
        <v>5.9595128566039641E-3</v>
      </c>
      <c r="I49" s="613">
        <f t="array" aca="1" ref="I49" ca="1">SUM(IF($A$9:$A$43=$B49,Driver22!$R$58:$R$92*I$9:I$43))</f>
        <v>6.5864002364335371E-4</v>
      </c>
      <c r="J49" s="613">
        <f t="array" aca="1" ref="J49" ca="1">SUM(IF($A$9:$A$43=$B49,Driver22!$R$58:$R$92*J$9:J$43))</f>
        <v>1.6466000591083842E-3</v>
      </c>
      <c r="K49" s="613">
        <f t="array" aca="1" ref="K49" ca="1">SUM(IF($A$9:$A$43=$B49,Driver22!$R$58:$R$92*K$9:K$43))</f>
        <v>6.5864002364335376E-5</v>
      </c>
      <c r="L49" s="613">
        <f t="array" aca="1" ref="L49" ca="1">SUM(IF($A$9:$A$43=$B49,Driver22!$R$58:$R$92*L$9:L$43))</f>
        <v>6.5864002364335371E-4</v>
      </c>
      <c r="M49" s="613">
        <f t="array" aca="1" ref="M49" ca="1">SUM(IF($A$9:$A$43=$B49,Driver22!$R$58:$R$92*M$9:M$43))</f>
        <v>1.1676504138140422E-3</v>
      </c>
      <c r="N49" s="613">
        <f t="array" aca="1" ref="N49" ca="1">SUM(IF($A$9:$A$43=$B49,Driver22!$R$58:$R$92*N$9:N$43))</f>
        <v>6.5864002364335376E-5</v>
      </c>
      <c r="O49" s="613">
        <f t="array" aca="1" ref="O49" ca="1">SUM(IF($A$9:$A$43=$B49,Driver22!$R$58:$R$92*O$9:O$43))</f>
        <v>4.5209720217835039E-4</v>
      </c>
      <c r="P49" s="613">
        <f t="array" aca="1" ref="P49" ca="1">SUM(IF($A$9:$A$43=$B49,Driver22!$R$58:$R$92*P$9:P$43))</f>
        <v>6.5864002364335376E-5</v>
      </c>
      <c r="Q49" s="613">
        <f t="array" aca="1" ref="Q49" ca="1">SUM(IF($A$9:$A$43=$B49,Driver22!$R$58:$R$92*Q$9:Q$43))</f>
        <v>6.5864002364335376E-5</v>
      </c>
      <c r="R49" s="613">
        <f t="array" aca="1" ref="R49" ca="1">SUM(IF($A$9:$A$43=$B49,Driver22!$R$58:$R$92*R$9:R$43))</f>
        <v>6.5864002364335376E-5</v>
      </c>
      <c r="S49" s="613">
        <f t="array" aca="1" ref="S49" ca="1">SUM(IF($A$9:$A$43=$B49,Driver22!$R$58:$R$92*S$9:S$43))</f>
        <v>6.5864002364335371E-4</v>
      </c>
      <c r="T49" s="651">
        <f>SUM(C49:S49)</f>
        <v>3.8745770435523276E-2</v>
      </c>
      <c r="U49" s="613">
        <f>SUM(D49:S49)</f>
        <v>1.5432530101124794E-2</v>
      </c>
    </row>
    <row r="50" spans="1:21" hidden="1">
      <c r="B50" s="613" t="s">
        <v>879</v>
      </c>
      <c r="C50" s="613">
        <f t="array" aca="1" ref="C50" ca="1">SUM(IF($A$9:$A$43=$B50,Driver22!$R$58:$R$92*C$9:C$43))</f>
        <v>8.3539111198261198E-2</v>
      </c>
      <c r="D50" s="613">
        <f t="array" aca="1" ref="D50" ca="1">SUM(IF($A$9:$A$43=$B50,Driver22!$R$58:$R$92*D$9:D$43))</f>
        <v>8.7218590648554334E-2</v>
      </c>
      <c r="E50" s="613">
        <f t="array" aca="1" ref="E50" ca="1">SUM(IF($A$9:$A$43=$B50,Driver22!$R$58:$R$92*E$9:E$43))</f>
        <v>6.7521733359347646E-3</v>
      </c>
      <c r="F50" s="613">
        <f t="array" aca="1" ref="F50" ca="1">SUM(IF($A$9:$A$43=$B50,Driver22!$R$58:$R$92*F$9:F$43))</f>
        <v>1.1832654760178605E-3</v>
      </c>
      <c r="G50" s="613">
        <f t="array" aca="1" ref="G50" ca="1">SUM(IF($A$9:$A$43=$B50,Driver22!$R$58:$R$92*G$9:G$43))</f>
        <v>3.5116384267339512E-2</v>
      </c>
      <c r="H50" s="613">
        <f t="array" aca="1" ref="H50" ca="1">SUM(IF($A$9:$A$43=$B50,Driver22!$R$58:$R$92*H$9:H$43))</f>
        <v>5.9163273800893028E-3</v>
      </c>
      <c r="I50" s="613">
        <f t="array" aca="1" ref="I50" ca="1">SUM(IF($A$9:$A$43=$B50,Driver22!$R$58:$R$92*I$9:I$43))</f>
        <v>1.1832654760178606E-2</v>
      </c>
      <c r="J50" s="613">
        <f t="array" aca="1" ref="J50" ca="1">SUM(IF($A$9:$A$43=$B50,Driver22!$R$58:$R$92*J$9:J$43))</f>
        <v>5.9163273800893028E-3</v>
      </c>
      <c r="K50" s="613">
        <f t="array" aca="1" ref="K50" ca="1">SUM(IF($A$9:$A$43=$B50,Driver22!$R$58:$R$92*K$9:K$43))</f>
        <v>5.9163273800893028E-3</v>
      </c>
      <c r="L50" s="613">
        <f t="array" aca="1" ref="L50" ca="1">SUM(IF($A$9:$A$43=$B50,Driver22!$R$58:$R$92*L$9:L$43))</f>
        <v>6.1167487457946923E-2</v>
      </c>
      <c r="M50" s="613">
        <f t="array" aca="1" ref="M50" ca="1">SUM(IF($A$9:$A$43=$B50,Driver22!$R$58:$R$92*M$9:M$43))</f>
        <v>6.3342503580120337E-3</v>
      </c>
      <c r="N50" s="613">
        <f t="array" aca="1" ref="N50" ca="1">SUM(IF($A$9:$A$43=$B50,Driver22!$R$58:$R$92*N$9:N$43))</f>
        <v>1.1832654760178605E-3</v>
      </c>
      <c r="O50" s="613">
        <f t="array" aca="1" ref="O50" ca="1">SUM(IF($A$9:$A$43=$B50,Driver22!$R$58:$R$92*O$9:O$43))</f>
        <v>4.1792297792273106E-4</v>
      </c>
      <c r="P50" s="613">
        <f t="array" aca="1" ref="P50" ca="1">SUM(IF($A$9:$A$43=$B50,Driver22!$R$58:$R$92*P$9:P$43))</f>
        <v>1.1832654760178605E-3</v>
      </c>
      <c r="Q50" s="613">
        <f t="array" aca="1" ref="Q50" ca="1">SUM(IF($A$9:$A$43=$B50,Driver22!$R$58:$R$92*Q$9:Q$43))</f>
        <v>7.0995928561071626E-3</v>
      </c>
      <c r="R50" s="613">
        <f t="array" aca="1" ref="R50" ca="1">SUM(IF($A$9:$A$43=$B50,Driver22!$R$58:$R$92*R$9:R$43))</f>
        <v>1.1832654760178605E-3</v>
      </c>
      <c r="S50" s="613">
        <f t="array" aca="1" ref="S50" ca="1">SUM(IF($A$9:$A$43=$B50,Driver22!$R$58:$R$92*S$9:S$43))</f>
        <v>1.1832654760178606E-2</v>
      </c>
      <c r="T50" s="651">
        <f>SUM(C50:S50)</f>
        <v>0.33379286666477526</v>
      </c>
      <c r="U50" s="613">
        <f>SUM(D50:S50)</f>
        <v>0.25025375546651396</v>
      </c>
    </row>
    <row r="51" spans="1:21" hidden="1">
      <c r="B51" s="613" t="s">
        <v>880</v>
      </c>
      <c r="C51" s="613">
        <f t="array" aca="1" ref="C51" ca="1">SUM(IF($A$9:$A$43=$B51,Driver22!$R$58:$R$92*C$9:C$43))</f>
        <v>2.3313240334398473E-2</v>
      </c>
      <c r="D51" s="613">
        <f t="array" aca="1" ref="D51" ca="1">SUM(IF($A$9:$A$43=$B51,Driver22!$R$58:$R$92*D$9:D$43))</f>
        <v>5.1226591245492527E-3</v>
      </c>
      <c r="E51" s="613">
        <f t="array" aca="1" ref="E51" ca="1">SUM(IF($A$9:$A$43=$B51,Driver22!$R$58:$R$92*E$9:E$43))</f>
        <v>1.4695643294524831E-3</v>
      </c>
      <c r="F51" s="613">
        <f t="array" aca="1" ref="F51" ca="1">SUM(IF($A$9:$A$43=$B51,Driver22!$R$58:$R$92*F$9:F$43))</f>
        <v>1.010400603282703E-4</v>
      </c>
      <c r="G51" s="613">
        <f t="array" aca="1" ref="G51" ca="1">SUM(IF($A$9:$A$43=$B51,Driver22!$R$58:$R$92*G$9:G$43))</f>
        <v>1.0104006032827029E-3</v>
      </c>
      <c r="H51" s="613">
        <f t="array" aca="1" ref="H51" ca="1">SUM(IF($A$9:$A$43=$B51,Driver22!$R$58:$R$92*H$9:H$43))</f>
        <v>8.0397991802722924E-4</v>
      </c>
      <c r="I51" s="613">
        <f t="array" aca="1" ref="I51" ca="1">SUM(IF($A$9:$A$43=$B51,Driver22!$R$58:$R$92*I$9:I$43))</f>
        <v>1.0104006032827029E-3</v>
      </c>
      <c r="J51" s="613">
        <f t="array" aca="1" ref="J51" ca="1">SUM(IF($A$9:$A$43=$B51,Driver22!$R$58:$R$92*J$9:J$43))</f>
        <v>5.0520030164135147E-4</v>
      </c>
      <c r="K51" s="613">
        <f t="array" aca="1" ref="K51" ca="1">SUM(IF($A$9:$A$43=$B51,Driver22!$R$58:$R$92*K$9:K$43))</f>
        <v>1.010400603282703E-4</v>
      </c>
      <c r="L51" s="613">
        <f t="array" aca="1" ref="L51" ca="1">SUM(IF($A$9:$A$43=$B51,Driver22!$R$58:$R$92*L$9:L$43))</f>
        <v>2.706378805868632E-3</v>
      </c>
      <c r="M51" s="613">
        <f t="array" aca="1" ref="M51" ca="1">SUM(IF($A$9:$A$43=$B51,Driver22!$R$58:$R$92*M$9:M$43))</f>
        <v>5.0520030164135147E-4</v>
      </c>
      <c r="N51" s="613">
        <f t="array" aca="1" ref="N51" ca="1">SUM(IF($A$9:$A$43=$B51,Driver22!$R$58:$R$92*N$9:N$43))</f>
        <v>1.010400603282703E-4</v>
      </c>
      <c r="O51" s="613">
        <f t="array" aca="1" ref="O51" ca="1">SUM(IF($A$9:$A$43=$B51,Driver22!$R$58:$R$92*O$9:O$43))</f>
        <v>0</v>
      </c>
      <c r="P51" s="613">
        <f t="array" aca="1" ref="P51" ca="1">SUM(IF($A$9:$A$43=$B51,Driver22!$R$58:$R$92*P$9:P$43))</f>
        <v>1.010400603282703E-4</v>
      </c>
      <c r="Q51" s="613">
        <f t="array" aca="1" ref="Q51" ca="1">SUM(IF($A$9:$A$43=$B51,Driver22!$R$58:$R$92*Q$9:Q$43))</f>
        <v>3.0312018098481089E-4</v>
      </c>
      <c r="R51" s="613">
        <f t="array" aca="1" ref="R51" ca="1">SUM(IF($A$9:$A$43=$B51,Driver22!$R$58:$R$92*R$9:R$43))</f>
        <v>1.010400603282703E-4</v>
      </c>
      <c r="S51" s="613">
        <f t="array" aca="1" ref="S51" ca="1">SUM(IF($A$9:$A$43=$B51,Driver22!$R$58:$R$92*S$9:S$43))</f>
        <v>1.0104006032827029E-3</v>
      </c>
      <c r="T51" s="651">
        <f>SUM(C51:S51)</f>
        <v>3.8265745408053019E-2</v>
      </c>
      <c r="U51" s="613">
        <f>SUM(D51:S51)</f>
        <v>1.4952505073654573E-2</v>
      </c>
    </row>
    <row r="52" spans="1:21" hidden="1">
      <c r="B52" s="613" t="s">
        <v>787</v>
      </c>
      <c r="C52" s="613">
        <f t="array" aca="1" ref="C52" ca="1">SUM(IF($A$9:$A$43=$B52,Driver22!$R$58:$R$92*C$9:C$43))</f>
        <v>0.26883496568466353</v>
      </c>
      <c r="D52" s="613">
        <f t="array" aca="1" ref="D52" ca="1">SUM(IF($A$9:$A$43=$B52,Driver22!$R$58:$R$92*D$9:D$43))</f>
        <v>0.44444778796857176</v>
      </c>
      <c r="E52" s="613">
        <f t="array" aca="1" ref="E52" ca="1">SUM(IF($A$9:$A$43=$B52,Driver22!$R$58:$R$92*E$9:E$43))</f>
        <v>1.8432720632108299E-2</v>
      </c>
      <c r="F52" s="613">
        <f t="array" aca="1" ref="F52" ca="1">SUM(IF($A$9:$A$43=$B52,Driver22!$R$58:$R$92*F$9:F$43))</f>
        <v>2.7559187616487863E-2</v>
      </c>
      <c r="G52" s="613">
        <f t="array" aca="1" ref="G52" ca="1">SUM(IF($A$9:$A$43=$B52,Driver22!$R$58:$R$92*G$9:G$43))</f>
        <v>5.2091335607378463E-2</v>
      </c>
      <c r="H52" s="613">
        <f t="array" aca="1" ref="H52" ca="1">SUM(IF($A$9:$A$43=$B52,Driver22!$R$58:$R$92*H$9:H$43))</f>
        <v>3.0638865739770538E-2</v>
      </c>
      <c r="I52" s="613">
        <f t="array" aca="1" ref="I52" ca="1">SUM(IF($A$9:$A$43=$B52,Driver22!$R$58:$R$92*I$9:I$43))</f>
        <v>2.7559187616487863E-2</v>
      </c>
      <c r="J52" s="613">
        <f t="array" aca="1" ref="J52" ca="1">SUM(IF($A$9:$A$43=$B52,Driver22!$R$58:$R$92*J$9:J$43))</f>
        <v>9.1863958721626216E-3</v>
      </c>
      <c r="K52" s="613">
        <f t="array" aca="1" ref="K52" ca="1">SUM(IF($A$9:$A$43=$B52,Driver22!$R$58:$R$92*K$9:K$43))</f>
        <v>2.7559187616487863E-2</v>
      </c>
      <c r="L52" s="613">
        <f t="array" aca="1" ref="L52" ca="1">SUM(IF($A$9:$A$43=$B52,Driver22!$R$58:$R$92*L$9:L$43))</f>
        <v>0.13497945244758366</v>
      </c>
      <c r="M52" s="613">
        <f t="array" aca="1" ref="M52" ca="1">SUM(IF($A$9:$A$43=$B52,Driver22!$R$58:$R$92*M$9:M$43))</f>
        <v>4.4474743240748696E-2</v>
      </c>
      <c r="N52" s="613">
        <f t="array" aca="1" ref="N52" ca="1">SUM(IF($A$9:$A$43=$B52,Driver22!$R$58:$R$92*N$9:N$43))</f>
        <v>3.9930538607303966E-2</v>
      </c>
      <c r="O52" s="613">
        <f t="array" aca="1" ref="O52" ca="1">SUM(IF($A$9:$A$43=$B52,Driver22!$R$58:$R$92*O$9:O$43))</f>
        <v>4.5968431311301386E-3</v>
      </c>
      <c r="P52" s="613">
        <f t="array" aca="1" ref="P52" ca="1">SUM(IF($A$9:$A$43=$B52,Driver22!$R$58:$R$92*P$9:P$43))</f>
        <v>4.5931979360813113E-2</v>
      </c>
      <c r="Q52" s="613">
        <f t="array" aca="1" ref="Q52" ca="1">SUM(IF($A$9:$A$43=$B52,Driver22!$R$58:$R$92*Q$9:Q$43))</f>
        <v>9.1863958721626216E-3</v>
      </c>
      <c r="R52" s="613">
        <f t="array" aca="1" ref="R52" ca="1">SUM(IF($A$9:$A$43=$B52,Driver22!$R$58:$R$92*R$9:R$43))</f>
        <v>9.1863958721626216E-3</v>
      </c>
      <c r="S52" s="613">
        <f t="array" aca="1" ref="S52" ca="1">SUM(IF($A$9:$A$43=$B52,Driver22!$R$58:$R$92*S$9:S$43))</f>
        <v>0.18372791744325245</v>
      </c>
      <c r="T52" s="651">
        <f>SUM(C52:S52)</f>
        <v>1.3783239003292758</v>
      </c>
      <c r="U52" s="613">
        <f>SUM(D52:S52)</f>
        <v>1.1094889346446128</v>
      </c>
    </row>
    <row r="53" spans="1:21" hidden="1">
      <c r="B53" s="613" t="s">
        <v>978</v>
      </c>
      <c r="C53" s="613">
        <f t="array" aca="1" ref="C53" ca="1">SUM(IF($A$9:$A$43=$B53,Driver22!$R$58:$R$92*C$9:C$43))</f>
        <v>2.0722880297243083E-2</v>
      </c>
      <c r="D53" s="613">
        <f t="array" aca="1" ref="D53" ca="1">SUM(IF($A$9:$A$43=$B53,Driver22!$R$58:$R$92*D$9:D$43))</f>
        <v>1.9329211510959884E-2</v>
      </c>
      <c r="E53" s="613">
        <f t="array" aca="1" ref="E53" ca="1">SUM(IF($A$9:$A$43=$B53,Driver22!$R$58:$R$92*E$9:E$43))</f>
        <v>2.3718285783918026E-3</v>
      </c>
      <c r="F53" s="613">
        <f t="array" aca="1" ref="F53" ca="1">SUM(IF($A$9:$A$43=$B53,Driver22!$R$58:$R$92*F$9:F$43))</f>
        <v>2.6235878507341185E-4</v>
      </c>
      <c r="G53" s="613">
        <f t="array" aca="1" ref="G53" ca="1">SUM(IF($A$9:$A$43=$B53,Driver22!$R$58:$R$92*G$9:G$43))</f>
        <v>2.7873628294168232E-3</v>
      </c>
      <c r="H53" s="613">
        <f t="array" aca="1" ref="H53" ca="1">SUM(IF($A$9:$A$43=$B53,Driver22!$R$58:$R$92*H$9:H$43))</f>
        <v>6.8425274373709003E-4</v>
      </c>
      <c r="I53" s="613">
        <f t="array" aca="1" ref="I53" ca="1">SUM(IF($A$9:$A$43=$B53,Driver22!$R$58:$R$92*I$9:I$43))</f>
        <v>5.2471757014682371E-5</v>
      </c>
      <c r="J53" s="613">
        <f t="array" aca="1" ref="J53" ca="1">SUM(IF($A$9:$A$43=$B53,Driver22!$R$58:$R$92*J$9:J$43))</f>
        <v>0</v>
      </c>
      <c r="K53" s="613">
        <f t="array" aca="1" ref="K53" ca="1">SUM(IF($A$9:$A$43=$B53,Driver22!$R$58:$R$92*K$9:K$43))</f>
        <v>7.8707635522023544E-4</v>
      </c>
      <c r="L53" s="613">
        <f t="array" aca="1" ref="L53" ca="1">SUM(IF($A$9:$A$43=$B53,Driver22!$R$58:$R$92*L$9:L$43))</f>
        <v>1.1380537371188215E-2</v>
      </c>
      <c r="M53" s="613">
        <f t="array" aca="1" ref="M53" ca="1">SUM(IF($A$9:$A$43=$B53,Driver22!$R$58:$R$92*M$9:M$43))</f>
        <v>8.7002379583469742E-3</v>
      </c>
      <c r="N53" s="613">
        <f t="array" aca="1" ref="N53" ca="1">SUM(IF($A$9:$A$43=$B53,Driver22!$R$58:$R$92*N$9:N$43))</f>
        <v>0</v>
      </c>
      <c r="O53" s="613">
        <f t="array" aca="1" ref="O53" ca="1">SUM(IF($A$9:$A$43=$B53,Driver22!$R$58:$R$92*O$9:O$43))</f>
        <v>2.6235878507341185E-4</v>
      </c>
      <c r="P53" s="613">
        <f t="array" aca="1" ref="P53" ca="1">SUM(IF($A$9:$A$43=$B53,Driver22!$R$58:$R$92*P$9:P$43))</f>
        <v>0</v>
      </c>
      <c r="Q53" s="613">
        <f t="array" aca="1" ref="Q53" ca="1">SUM(IF($A$9:$A$43=$B53,Driver22!$R$58:$R$92*Q$9:Q$43))</f>
        <v>1.2490398072040623E-2</v>
      </c>
      <c r="R53" s="613">
        <f t="array" aca="1" ref="R53" ca="1">SUM(IF($A$9:$A$43=$B53,Driver22!$R$58:$R$92*R$9:R$43))</f>
        <v>2.6235878507341185E-4</v>
      </c>
      <c r="S53" s="613">
        <f t="array" aca="1" ref="S53" ca="1">SUM(IF($A$9:$A$43=$B53,Driver22!$R$58:$R$92*S$9:S$43))</f>
        <v>3.1483054208809418E-3</v>
      </c>
      <c r="T53" s="651">
        <f>SUM(C53:S53)</f>
        <v>8.3241639249660604E-2</v>
      </c>
      <c r="U53" s="613">
        <f>SUM(D53:S53)</f>
        <v>6.2518758952417514E-2</v>
      </c>
    </row>
    <row r="54" spans="1:21" hidden="1">
      <c r="T54" s="737">
        <f>SUM(T49:T53)</f>
        <v>1.872369922087288</v>
      </c>
    </row>
    <row r="55" spans="1:21" hidden="1">
      <c r="B55" s="612" t="s">
        <v>82</v>
      </c>
    </row>
    <row r="56" spans="1:21" hidden="1">
      <c r="C56" s="613" t="s">
        <v>905</v>
      </c>
      <c r="D56" s="613" t="s">
        <v>906</v>
      </c>
      <c r="E56" s="613" t="s">
        <v>907</v>
      </c>
      <c r="F56" s="613" t="s">
        <v>908</v>
      </c>
      <c r="G56" s="613" t="s">
        <v>909</v>
      </c>
      <c r="H56" s="613" t="s">
        <v>910</v>
      </c>
      <c r="I56" s="613" t="s">
        <v>911</v>
      </c>
      <c r="J56" s="613" t="s">
        <v>912</v>
      </c>
      <c r="K56" s="613" t="s">
        <v>1150</v>
      </c>
      <c r="L56" s="613" t="s">
        <v>913</v>
      </c>
      <c r="M56" s="613" t="s">
        <v>826</v>
      </c>
      <c r="N56" s="613" t="s">
        <v>914</v>
      </c>
      <c r="O56" s="613" t="s">
        <v>915</v>
      </c>
      <c r="P56" s="613" t="s">
        <v>916</v>
      </c>
      <c r="Q56" s="613" t="s">
        <v>917</v>
      </c>
      <c r="R56" s="613" t="s">
        <v>950</v>
      </c>
      <c r="S56" s="613" t="s">
        <v>946</v>
      </c>
      <c r="T56" s="613" t="s">
        <v>888</v>
      </c>
      <c r="U56" s="613" t="s">
        <v>378</v>
      </c>
    </row>
    <row r="57" spans="1:21" hidden="1">
      <c r="A57" s="613">
        <f ca="1">MATCH(B57,AuxData2!$A$28:$A$33,0)</f>
        <v>1</v>
      </c>
      <c r="B57" s="613" t="s">
        <v>568</v>
      </c>
      <c r="C57" s="738">
        <f t="array" aca="1" ref="C57:R57" ca="1">INDEX(AuxData2!$B$28:$Q$33,$A57,0)</f>
        <v>2.3313240334398473E-2</v>
      </c>
      <c r="D57" s="738">
        <f ca="1"/>
        <v>4.0000000000000001E-3</v>
      </c>
      <c r="E57" s="738">
        <f ca="1"/>
        <v>7.0000000000000001E-3</v>
      </c>
      <c r="F57" s="738">
        <f ca="1"/>
        <v>0</v>
      </c>
      <c r="G57" s="738">
        <f ca="1"/>
        <v>2E-3</v>
      </c>
      <c r="H57" s="738">
        <f ca="1"/>
        <v>0</v>
      </c>
      <c r="I57" s="738">
        <f ca="1"/>
        <v>0</v>
      </c>
      <c r="J57" s="738">
        <f ca="1"/>
        <v>0</v>
      </c>
      <c r="K57" s="738">
        <f ca="1"/>
        <v>0</v>
      </c>
      <c r="L57" s="738">
        <f ca="1"/>
        <v>0</v>
      </c>
      <c r="M57" s="738">
        <f ca="1"/>
        <v>0</v>
      </c>
      <c r="N57" s="738">
        <f ca="1"/>
        <v>0</v>
      </c>
      <c r="O57" s="738">
        <f ca="1"/>
        <v>0</v>
      </c>
      <c r="P57" s="738">
        <f ca="1"/>
        <v>0</v>
      </c>
      <c r="Q57" s="738">
        <f ca="1"/>
        <v>0</v>
      </c>
      <c r="R57" s="738">
        <f ca="1"/>
        <v>0</v>
      </c>
      <c r="S57" s="613">
        <f ca="1">VLOOKUP("IS"&amp;RIGHT($B57,2),AuxData2!$BF$34:$BJ$39,5,FALSE)/U$47</f>
        <v>2.4325301011247922E-3</v>
      </c>
      <c r="T57" s="613">
        <f t="shared" ref="T57:T63" si="1">SUM(C57:S57)</f>
        <v>3.8745770435523269E-2</v>
      </c>
      <c r="U57" s="613">
        <f>SUM(D57:S57)</f>
        <v>1.5432530101124792E-2</v>
      </c>
    </row>
    <row r="58" spans="1:21" hidden="1">
      <c r="A58" s="613">
        <f ca="1">MATCH(B58,AuxData2!$A$28:$A$33,0)</f>
        <v>5</v>
      </c>
      <c r="B58" s="613" t="s">
        <v>879</v>
      </c>
      <c r="C58" s="738">
        <f t="array" aca="1" ref="C58:R58" ca="1">INDEX(AuxData2!$B$28:$Q$33,$A58,0)</f>
        <v>8.3539111198261198E-2</v>
      </c>
      <c r="D58" s="738">
        <f ca="1"/>
        <v>0.03</v>
      </c>
      <c r="E58" s="738">
        <f ca="1"/>
        <v>2.1999999999999999E-2</v>
      </c>
      <c r="F58" s="738">
        <f ca="1"/>
        <v>0</v>
      </c>
      <c r="G58" s="738">
        <f ca="1"/>
        <v>5.0999999999999997E-2</v>
      </c>
      <c r="H58" s="738">
        <f ca="1"/>
        <v>0</v>
      </c>
      <c r="I58" s="738">
        <f ca="1"/>
        <v>0</v>
      </c>
      <c r="J58" s="738">
        <f ca="1"/>
        <v>0</v>
      </c>
      <c r="K58" s="738">
        <f ca="1"/>
        <v>0</v>
      </c>
      <c r="L58" s="738">
        <f ca="1"/>
        <v>3.0000000000000001E-3</v>
      </c>
      <c r="M58" s="738">
        <f ca="1"/>
        <v>0.01</v>
      </c>
      <c r="N58" s="738">
        <f ca="1"/>
        <v>0</v>
      </c>
      <c r="O58" s="738">
        <f ca="1"/>
        <v>0</v>
      </c>
      <c r="P58" s="738">
        <f ca="1"/>
        <v>0.05</v>
      </c>
      <c r="Q58" s="738">
        <f ca="1"/>
        <v>5.5E-2</v>
      </c>
      <c r="R58" s="738">
        <f ca="1"/>
        <v>0</v>
      </c>
      <c r="S58" s="613">
        <f ca="1">VLOOKUP("IS"&amp;RIGHT($B58,2),AuxData2!$BF$34:$BJ$39,5,FALSE)/U$47</f>
        <v>2.9253755466514056E-2</v>
      </c>
      <c r="T58" s="613">
        <f t="shared" si="1"/>
        <v>0.33379286666477526</v>
      </c>
      <c r="U58" s="613">
        <f>SUM(D58:S58)</f>
        <v>0.25025375546651402</v>
      </c>
    </row>
    <row r="59" spans="1:21" hidden="1">
      <c r="A59" s="613">
        <f ca="1">MATCH(B59,AuxData2!$A$28:$A$33,0)</f>
        <v>2</v>
      </c>
      <c r="B59" s="613" t="s">
        <v>880</v>
      </c>
      <c r="C59" s="738">
        <f t="array" aca="1" ref="C59:R59" ca="1">INDEX(AuxData2!$B$28:$Q$33,$A59,0)</f>
        <v>2.3313240334398473E-2</v>
      </c>
      <c r="D59" s="738">
        <f ca="1"/>
        <v>0</v>
      </c>
      <c r="E59" s="738">
        <f ca="1"/>
        <v>3.0000000000000001E-3</v>
      </c>
      <c r="F59" s="738">
        <f ca="1"/>
        <v>0</v>
      </c>
      <c r="G59" s="738">
        <f ca="1"/>
        <v>0</v>
      </c>
      <c r="H59" s="738">
        <f ca="1"/>
        <v>0</v>
      </c>
      <c r="I59" s="738">
        <f ca="1"/>
        <v>0</v>
      </c>
      <c r="J59" s="738">
        <f ca="1"/>
        <v>0</v>
      </c>
      <c r="K59" s="738">
        <f ca="1"/>
        <v>0</v>
      </c>
      <c r="L59" s="738">
        <f ca="1"/>
        <v>1E-3</v>
      </c>
      <c r="M59" s="738">
        <f ca="1"/>
        <v>0</v>
      </c>
      <c r="N59" s="738">
        <f ca="1"/>
        <v>0</v>
      </c>
      <c r="O59" s="738">
        <f ca="1"/>
        <v>0</v>
      </c>
      <c r="P59" s="738">
        <f ca="1"/>
        <v>0</v>
      </c>
      <c r="Q59" s="738">
        <f ca="1"/>
        <v>0</v>
      </c>
      <c r="R59" s="738">
        <f ca="1"/>
        <v>0</v>
      </c>
      <c r="S59" s="613">
        <f ca="1">VLOOKUP("IS"&amp;RIGHT($B59,2),AuxData2!$BF$34:$BJ$39,5,FALSE)/U$47</f>
        <v>1.0952505073654572E-2</v>
      </c>
      <c r="T59" s="613">
        <f t="shared" si="1"/>
        <v>3.8265745408053047E-2</v>
      </c>
      <c r="U59" s="613">
        <f>SUM(D59:S59)</f>
        <v>1.4952505073654572E-2</v>
      </c>
    </row>
    <row r="60" spans="1:21" hidden="1">
      <c r="A60" s="613">
        <f ca="1">MATCH(B60,AuxData2!$A$28:$A$33,0)</f>
        <v>3</v>
      </c>
      <c r="B60" s="613" t="s">
        <v>787</v>
      </c>
      <c r="C60" s="738">
        <f t="array" aca="1" ref="C60:R60" ca="1">INDEX(AuxData2!$B$28:$Q$33,$A60,0)-AuxData2!$B$37:$Q$37</f>
        <v>0.26883496568466353</v>
      </c>
      <c r="D60" s="738">
        <f ca="1"/>
        <v>9.1999999999999998E-2</v>
      </c>
      <c r="E60" s="738">
        <f ca="1"/>
        <v>0.505</v>
      </c>
      <c r="F60" s="738">
        <f ca="1"/>
        <v>0</v>
      </c>
      <c r="G60" s="738">
        <f ca="1"/>
        <v>0</v>
      </c>
      <c r="H60" s="738">
        <f ca="1"/>
        <v>0</v>
      </c>
      <c r="I60" s="738">
        <f ca="1"/>
        <v>0</v>
      </c>
      <c r="J60" s="738">
        <f ca="1"/>
        <v>0</v>
      </c>
      <c r="K60" s="738">
        <f ca="1"/>
        <v>0</v>
      </c>
      <c r="L60" s="738">
        <f ca="1"/>
        <v>4.8000000000000001E-2</v>
      </c>
      <c r="M60" s="738">
        <f ca="1"/>
        <v>3.0000000000000001E-3</v>
      </c>
      <c r="N60" s="738">
        <f ca="1"/>
        <v>0</v>
      </c>
      <c r="O60" s="738">
        <f ca="1"/>
        <v>0.21299999999999999</v>
      </c>
      <c r="P60" s="738">
        <f ca="1"/>
        <v>0</v>
      </c>
      <c r="Q60" s="738">
        <f ca="1"/>
        <v>1.3000000000000001E-2</v>
      </c>
      <c r="R60" s="738">
        <f ca="1"/>
        <v>0</v>
      </c>
      <c r="S60" s="613">
        <f ca="1">VLOOKUP("IS"&amp;RIGHT($B60,2),AuxData2!$BF$34:$BJ$39,5,FALSE)/U$47</f>
        <v>0.23548893464461251</v>
      </c>
      <c r="T60" s="613">
        <f t="shared" si="1"/>
        <v>1.378323900329276</v>
      </c>
      <c r="U60" s="613">
        <f>SUM(D60:S60)</f>
        <v>1.1094889346446126</v>
      </c>
    </row>
    <row r="61" spans="1:21" hidden="1">
      <c r="A61" s="613">
        <f ca="1">MATCH(B61,AuxData2!$A$28:$A$33,0)</f>
        <v>4</v>
      </c>
      <c r="B61" s="613" t="s">
        <v>978</v>
      </c>
      <c r="C61" s="738">
        <f t="array" aca="1" ref="C61:R61" ca="1">INDEX(AuxData2!$B$28:$Q$33,$A61,0)</f>
        <v>2.0722880297243083E-2</v>
      </c>
      <c r="D61" s="738">
        <f ca="1"/>
        <v>6.0000000000000001E-3</v>
      </c>
      <c r="E61" s="738">
        <f ca="1"/>
        <v>1E-3</v>
      </c>
      <c r="F61" s="738">
        <f ca="1"/>
        <v>0</v>
      </c>
      <c r="G61" s="738">
        <f ca="1"/>
        <v>1E-3</v>
      </c>
      <c r="H61" s="738">
        <f ca="1"/>
        <v>0</v>
      </c>
      <c r="I61" s="738">
        <f ca="1"/>
        <v>0</v>
      </c>
      <c r="J61" s="738">
        <f ca="1"/>
        <v>0</v>
      </c>
      <c r="K61" s="738">
        <f ca="1"/>
        <v>2E-3</v>
      </c>
      <c r="L61" s="738">
        <f ca="1"/>
        <v>1E-3</v>
      </c>
      <c r="M61" s="738">
        <f ca="1"/>
        <v>0</v>
      </c>
      <c r="N61" s="738">
        <f ca="1"/>
        <v>0</v>
      </c>
      <c r="O61" s="738">
        <f ca="1"/>
        <v>0</v>
      </c>
      <c r="P61" s="738">
        <f ca="1"/>
        <v>0</v>
      </c>
      <c r="Q61" s="738">
        <f ca="1"/>
        <v>4.9000000000000002E-2</v>
      </c>
      <c r="R61" s="738">
        <f ca="1"/>
        <v>0</v>
      </c>
      <c r="S61" s="613">
        <f ca="1">VLOOKUP("IS"&amp;RIGHT($B61,2),AuxData2!$BF$34:$BJ$39,5,FALSE)/U$47</f>
        <v>3.3625468697448678E-3</v>
      </c>
      <c r="T61" s="613">
        <f t="shared" si="1"/>
        <v>8.4085427166987955E-2</v>
      </c>
      <c r="U61" s="613">
        <f>SUM(D61:S61)</f>
        <v>6.3362546869744865E-2</v>
      </c>
    </row>
    <row r="62" spans="1:21" hidden="1">
      <c r="A62" s="613">
        <f ca="1">MATCH(B62,AuxData2!$A$28:$A$33,0)</f>
        <v>6</v>
      </c>
      <c r="B62" s="613" t="s">
        <v>722</v>
      </c>
      <c r="C62" s="738">
        <f t="array" aca="1" ref="C62:R62" ca="1">INDEX(AuxData2!$B$28:$Q$33,$A62,0)</f>
        <v>2.432038229788124</v>
      </c>
      <c r="D62" s="738">
        <f ca="1"/>
        <v>0.11636668854450752</v>
      </c>
      <c r="E62" s="738">
        <f ca="1"/>
        <v>0.33413585665964007</v>
      </c>
      <c r="F62" s="738">
        <f ca="1"/>
        <v>0</v>
      </c>
      <c r="G62" s="738">
        <f ca="1"/>
        <v>3.60473799350872E-2</v>
      </c>
      <c r="H62" s="738">
        <f ca="1"/>
        <v>0</v>
      </c>
      <c r="I62" s="738">
        <f ca="1"/>
        <v>0</v>
      </c>
      <c r="J62" s="738">
        <f ca="1"/>
        <v>0</v>
      </c>
      <c r="K62" s="738">
        <f ca="1"/>
        <v>5.0867124218388956E-3</v>
      </c>
      <c r="L62" s="738">
        <f ca="1"/>
        <v>9.9129423162309771E-2</v>
      </c>
      <c r="M62" s="738">
        <f ca="1"/>
        <v>1.6607496324718809</v>
      </c>
      <c r="N62" s="738">
        <f ca="1"/>
        <v>0</v>
      </c>
      <c r="O62" s="738">
        <f ca="1"/>
        <v>0</v>
      </c>
      <c r="P62" s="738">
        <f ca="1"/>
        <v>0</v>
      </c>
      <c r="Q62" s="738">
        <f ca="1"/>
        <v>0.90304450797363689</v>
      </c>
      <c r="R62" s="738">
        <f ca="1"/>
        <v>0</v>
      </c>
      <c r="S62" s="681">
        <f ca="1">VLOOKUP("IS"&amp;RIGHT($B62,2),AuxData2!$BF$34:$BJ$39,5,FALSE)+AuxData2!$T$69*0</f>
        <v>1.123126311373128</v>
      </c>
      <c r="T62" s="613">
        <f t="shared" si="1"/>
        <v>6.7097247423301534</v>
      </c>
    </row>
    <row r="63" spans="1:21" hidden="1">
      <c r="B63" s="613" t="s">
        <v>286</v>
      </c>
      <c r="C63" s="738">
        <f ca="1">ROUND(SUM(AuxData2!B$35:B$36),5)</f>
        <v>0</v>
      </c>
      <c r="D63" s="738">
        <f ca="1">ROUND(SUM(AuxData2!C$35:C$36),5)</f>
        <v>0</v>
      </c>
      <c r="E63" s="738">
        <f ca="1">ROUND(SUM(AuxData2!D$35:D$36),5)</f>
        <v>0</v>
      </c>
      <c r="F63" s="738">
        <f ca="1">ROUND(SUM(AuxData2!E$35:E$36),5)</f>
        <v>0</v>
      </c>
      <c r="G63" s="738">
        <f ca="1">ROUND(SUM(AuxData2!F$35:F$36),5)</f>
        <v>0</v>
      </c>
      <c r="H63" s="738">
        <f ca="1">ROUND(SUM(AuxData2!G$35:G$36),5)</f>
        <v>0</v>
      </c>
      <c r="I63" s="738">
        <f ca="1">ROUND(SUM(AuxData2!H$35:H$36),5)</f>
        <v>0</v>
      </c>
      <c r="J63" s="738">
        <f ca="1">ROUND(SUM(AuxData2!I$35:I$36),5)</f>
        <v>0</v>
      </c>
      <c r="K63" s="738">
        <f ca="1">ROUND(SUM(AuxData2!J$35:J$36),5)</f>
        <v>0</v>
      </c>
      <c r="L63" s="738">
        <f ca="1">ROUND(SUM(AuxData2!K$35:K$36),5)</f>
        <v>0</v>
      </c>
      <c r="M63" s="738">
        <f ca="1">ROUND(SUM(AuxData2!L$35:L$36),5)</f>
        <v>0</v>
      </c>
      <c r="N63" s="738">
        <f ca="1">ROUND(SUM(AuxData2!M$35:M$36),5)</f>
        <v>0</v>
      </c>
      <c r="O63" s="738">
        <f ca="1">ROUND(SUM(AuxData2!N$35:N$36),5)</f>
        <v>0</v>
      </c>
      <c r="P63" s="738">
        <f ca="1">ROUND(SUM(AuxData2!O$35:O$36),5)</f>
        <v>0</v>
      </c>
      <c r="Q63" s="738">
        <f ca="1">ROUND(SUM(AuxData2!P$35:P$36),5)</f>
        <v>0</v>
      </c>
      <c r="R63" s="738">
        <f ca="1">ROUND(SUM(AuxData2!Q$35:Q$36),5)</f>
        <v>0</v>
      </c>
      <c r="S63" s="681">
        <f ca="1">ROUND(SUM(AuxData2!R$36)+MAX(0,S62+AuxData2!R35-AuxData2!R33),5)/$U$47</f>
        <v>0</v>
      </c>
      <c r="T63" s="613">
        <f t="shared" si="1"/>
        <v>0</v>
      </c>
    </row>
    <row r="64" spans="1:21" hidden="1"/>
    <row r="65" spans="1:22" hidden="1">
      <c r="B65" s="612" t="s">
        <v>377</v>
      </c>
    </row>
    <row r="66" spans="1:22" hidden="1">
      <c r="C66" s="613" t="s">
        <v>905</v>
      </c>
      <c r="D66" s="613" t="s">
        <v>906</v>
      </c>
      <c r="E66" s="613" t="s">
        <v>907</v>
      </c>
      <c r="F66" s="613" t="s">
        <v>908</v>
      </c>
      <c r="G66" s="613" t="s">
        <v>909</v>
      </c>
      <c r="H66" s="613" t="s">
        <v>910</v>
      </c>
      <c r="I66" s="613" t="s">
        <v>911</v>
      </c>
      <c r="J66" s="613" t="s">
        <v>912</v>
      </c>
      <c r="K66" s="613" t="s">
        <v>1150</v>
      </c>
      <c r="L66" s="613" t="s">
        <v>913</v>
      </c>
      <c r="M66" s="613" t="s">
        <v>826</v>
      </c>
      <c r="N66" s="613" t="s">
        <v>914</v>
      </c>
      <c r="O66" s="613" t="s">
        <v>915</v>
      </c>
      <c r="P66" s="613" t="s">
        <v>916</v>
      </c>
      <c r="Q66" s="613" t="s">
        <v>917</v>
      </c>
      <c r="R66" s="613" t="s">
        <v>950</v>
      </c>
      <c r="S66" s="613" t="s">
        <v>946</v>
      </c>
      <c r="T66" s="613" t="s">
        <v>888</v>
      </c>
      <c r="U66" s="613" t="s">
        <v>378</v>
      </c>
      <c r="V66" s="612" t="s">
        <v>527</v>
      </c>
    </row>
    <row r="67" spans="1:22" hidden="1">
      <c r="B67" s="613" t="s">
        <v>568</v>
      </c>
      <c r="C67" s="739">
        <f>IF(C57&lt;&gt;0,C49/C57,MAX(1,V67))</f>
        <v>1</v>
      </c>
      <c r="D67" s="734">
        <f t="shared" ref="D67:U67" si="2">IF(D57&lt;&gt;0,D49/D57,0)</f>
        <v>0.16466000591083843</v>
      </c>
      <c r="E67" s="734">
        <f t="shared" si="2"/>
        <v>0.31270934645651421</v>
      </c>
      <c r="F67" s="734">
        <f t="shared" si="2"/>
        <v>0</v>
      </c>
      <c r="G67" s="734">
        <f t="shared" si="2"/>
        <v>0.49398001773251521</v>
      </c>
      <c r="H67" s="734">
        <f t="shared" si="2"/>
        <v>0</v>
      </c>
      <c r="I67" s="734">
        <f t="shared" si="2"/>
        <v>0</v>
      </c>
      <c r="J67" s="734">
        <f t="shared" si="2"/>
        <v>0</v>
      </c>
      <c r="K67" s="734">
        <f t="shared" si="2"/>
        <v>0</v>
      </c>
      <c r="L67" s="734">
        <f t="shared" si="2"/>
        <v>0</v>
      </c>
      <c r="M67" s="734">
        <f t="shared" si="2"/>
        <v>0</v>
      </c>
      <c r="N67" s="734">
        <f t="shared" si="2"/>
        <v>0</v>
      </c>
      <c r="O67" s="734">
        <f t="shared" si="2"/>
        <v>0</v>
      </c>
      <c r="P67" s="734">
        <f t="shared" si="2"/>
        <v>0</v>
      </c>
      <c r="Q67" s="734">
        <f t="shared" si="2"/>
        <v>0</v>
      </c>
      <c r="R67" s="734">
        <f t="shared" si="2"/>
        <v>0</v>
      </c>
      <c r="S67" s="734">
        <f t="shared" si="2"/>
        <v>0.27076336006645968</v>
      </c>
      <c r="T67" s="739">
        <f t="shared" si="2"/>
        <v>1.0000000000000002</v>
      </c>
      <c r="U67" s="734">
        <f t="shared" si="2"/>
        <v>1.0000000000000002</v>
      </c>
      <c r="V67" s="704">
        <f ca="1">IF(Driver22!H62&gt;0,1.001,0.95)</f>
        <v>1.0009999999999999</v>
      </c>
    </row>
    <row r="68" spans="1:22" hidden="1">
      <c r="B68" s="613" t="s">
        <v>879</v>
      </c>
      <c r="C68" s="739">
        <f>IF(C58&lt;&gt;0,C50/C58,MAX(1,V68))</f>
        <v>1</v>
      </c>
      <c r="D68" s="734">
        <f t="shared" ref="D68:U68" si="3">IF(D58&lt;&gt;0,D50/D58,0)</f>
        <v>2.9072863549518111</v>
      </c>
      <c r="E68" s="734">
        <f t="shared" si="3"/>
        <v>0.3069169698152166</v>
      </c>
      <c r="F68" s="734">
        <f t="shared" si="3"/>
        <v>0</v>
      </c>
      <c r="G68" s="734">
        <f t="shared" si="3"/>
        <v>0.68855655426155915</v>
      </c>
      <c r="H68" s="734">
        <f t="shared" si="3"/>
        <v>0</v>
      </c>
      <c r="I68" s="734">
        <f t="shared" si="3"/>
        <v>0</v>
      </c>
      <c r="J68" s="734">
        <f t="shared" si="3"/>
        <v>0</v>
      </c>
      <c r="K68" s="734">
        <f t="shared" si="3"/>
        <v>0</v>
      </c>
      <c r="L68" s="734">
        <f t="shared" si="3"/>
        <v>20.389162485982308</v>
      </c>
      <c r="M68" s="734">
        <f t="shared" si="3"/>
        <v>0.63342503580120335</v>
      </c>
      <c r="N68" s="734">
        <f t="shared" si="3"/>
        <v>0</v>
      </c>
      <c r="O68" s="734">
        <f t="shared" si="3"/>
        <v>0</v>
      </c>
      <c r="P68" s="734">
        <f t="shared" si="3"/>
        <v>2.3665309520357208E-2</v>
      </c>
      <c r="Q68" s="734">
        <f t="shared" si="3"/>
        <v>0.12908350647467567</v>
      </c>
      <c r="R68" s="734">
        <f t="shared" si="3"/>
        <v>0</v>
      </c>
      <c r="S68" s="734">
        <f t="shared" si="3"/>
        <v>0.40448327305268927</v>
      </c>
      <c r="T68" s="734">
        <f t="shared" si="3"/>
        <v>1</v>
      </c>
      <c r="U68" s="734">
        <f t="shared" si="3"/>
        <v>0.99999999999999978</v>
      </c>
      <c r="V68" s="704">
        <v>0.95</v>
      </c>
    </row>
    <row r="69" spans="1:22" hidden="1">
      <c r="B69" s="613" t="s">
        <v>880</v>
      </c>
      <c r="C69" s="739">
        <f>IF(C59&lt;&gt;0,C51/C59,MAX(1,V69))</f>
        <v>1</v>
      </c>
      <c r="D69" s="734">
        <f t="shared" ref="D69:U69" si="4">IF(D59&lt;&gt;0,D51/D59,0)</f>
        <v>0</v>
      </c>
      <c r="E69" s="734">
        <f t="shared" si="4"/>
        <v>0.48985477648416104</v>
      </c>
      <c r="F69" s="734">
        <f t="shared" si="4"/>
        <v>0</v>
      </c>
      <c r="G69" s="734">
        <f t="shared" si="4"/>
        <v>0</v>
      </c>
      <c r="H69" s="734">
        <f t="shared" si="4"/>
        <v>0</v>
      </c>
      <c r="I69" s="734">
        <f t="shared" si="4"/>
        <v>0</v>
      </c>
      <c r="J69" s="734">
        <f t="shared" si="4"/>
        <v>0</v>
      </c>
      <c r="K69" s="734">
        <f t="shared" si="4"/>
        <v>0</v>
      </c>
      <c r="L69" s="734">
        <f t="shared" si="4"/>
        <v>2.7063788058686318</v>
      </c>
      <c r="M69" s="734">
        <f t="shared" si="4"/>
        <v>0</v>
      </c>
      <c r="N69" s="734">
        <f t="shared" si="4"/>
        <v>0</v>
      </c>
      <c r="O69" s="734">
        <f t="shared" si="4"/>
        <v>0</v>
      </c>
      <c r="P69" s="734">
        <f t="shared" si="4"/>
        <v>0</v>
      </c>
      <c r="Q69" s="734">
        <f t="shared" si="4"/>
        <v>0</v>
      </c>
      <c r="R69" s="734">
        <f t="shared" si="4"/>
        <v>0</v>
      </c>
      <c r="S69" s="734">
        <f t="shared" si="4"/>
        <v>9.2252922640788881E-2</v>
      </c>
      <c r="T69" s="734">
        <f t="shared" si="4"/>
        <v>0.99999999999999922</v>
      </c>
      <c r="U69" s="739">
        <f t="shared" si="4"/>
        <v>1.0000000000000002</v>
      </c>
      <c r="V69" s="704">
        <v>0.95</v>
      </c>
    </row>
    <row r="70" spans="1:22" hidden="1">
      <c r="B70" s="613" t="s">
        <v>787</v>
      </c>
      <c r="C70" s="739">
        <f>IF(C60&lt;&gt;0,C52/C60,MAX(1,V70))</f>
        <v>1</v>
      </c>
      <c r="D70" s="734">
        <f t="shared" ref="D70:U70" si="5">IF(D60&lt;&gt;0,D52/D60,0)</f>
        <v>4.8309542170496931</v>
      </c>
      <c r="E70" s="734">
        <f t="shared" si="5"/>
        <v>3.6500436895263957E-2</v>
      </c>
      <c r="F70" s="734">
        <f t="shared" si="5"/>
        <v>0</v>
      </c>
      <c r="G70" s="734">
        <f t="shared" si="5"/>
        <v>0</v>
      </c>
      <c r="H70" s="734">
        <f t="shared" si="5"/>
        <v>0</v>
      </c>
      <c r="I70" s="734">
        <f t="shared" si="5"/>
        <v>0</v>
      </c>
      <c r="J70" s="734">
        <f t="shared" si="5"/>
        <v>0</v>
      </c>
      <c r="K70" s="734">
        <f t="shared" si="5"/>
        <v>0</v>
      </c>
      <c r="L70" s="734">
        <f t="shared" si="5"/>
        <v>2.8120719259913263</v>
      </c>
      <c r="M70" s="734">
        <f t="shared" si="5"/>
        <v>14.824914413582899</v>
      </c>
      <c r="N70" s="734">
        <f t="shared" si="5"/>
        <v>0</v>
      </c>
      <c r="O70" s="734">
        <f t="shared" si="5"/>
        <v>2.158142315084572E-2</v>
      </c>
      <c r="P70" s="734">
        <f t="shared" si="5"/>
        <v>0</v>
      </c>
      <c r="Q70" s="734">
        <f t="shared" si="5"/>
        <v>0.70664583632020161</v>
      </c>
      <c r="R70" s="734">
        <f t="shared" si="5"/>
        <v>0</v>
      </c>
      <c r="S70" s="734">
        <f t="shared" si="5"/>
        <v>0.78019766712404104</v>
      </c>
      <c r="T70" s="739">
        <f t="shared" si="5"/>
        <v>0.99999999999999989</v>
      </c>
      <c r="U70" s="734">
        <f t="shared" si="5"/>
        <v>1.0000000000000002</v>
      </c>
      <c r="V70" s="704">
        <v>1.0009999999999999</v>
      </c>
    </row>
    <row r="71" spans="1:22" hidden="1">
      <c r="B71" s="613" t="s">
        <v>978</v>
      </c>
      <c r="C71" s="739">
        <f>IF(C61&lt;&gt;0,C53/C61,MAX(1,V71))</f>
        <v>1</v>
      </c>
      <c r="D71" s="734">
        <f t="shared" ref="D71:U71" si="6">IF(D61&lt;&gt;0,D53/D61,0)</f>
        <v>3.2215352518266474</v>
      </c>
      <c r="E71" s="734">
        <f t="shared" si="6"/>
        <v>2.3718285783918027</v>
      </c>
      <c r="F71" s="734">
        <f t="shared" si="6"/>
        <v>0</v>
      </c>
      <c r="G71" s="734">
        <f t="shared" si="6"/>
        <v>2.7873628294168231</v>
      </c>
      <c r="H71" s="734">
        <f t="shared" si="6"/>
        <v>0</v>
      </c>
      <c r="I71" s="734">
        <f t="shared" si="6"/>
        <v>0</v>
      </c>
      <c r="J71" s="734">
        <f t="shared" si="6"/>
        <v>0</v>
      </c>
      <c r="K71" s="734">
        <f t="shared" si="6"/>
        <v>0.39353817761011772</v>
      </c>
      <c r="L71" s="734">
        <f t="shared" si="6"/>
        <v>11.380537371188215</v>
      </c>
      <c r="M71" s="734">
        <f t="shared" si="6"/>
        <v>0</v>
      </c>
      <c r="N71" s="734">
        <f t="shared" si="6"/>
        <v>0</v>
      </c>
      <c r="O71" s="734">
        <f t="shared" si="6"/>
        <v>0</v>
      </c>
      <c r="P71" s="734">
        <f t="shared" si="6"/>
        <v>0</v>
      </c>
      <c r="Q71" s="734">
        <f t="shared" si="6"/>
        <v>0.25490608310286983</v>
      </c>
      <c r="R71" s="734">
        <f t="shared" si="6"/>
        <v>0</v>
      </c>
      <c r="S71" s="734">
        <f t="shared" si="6"/>
        <v>0.93628595907714984</v>
      </c>
      <c r="T71" s="734">
        <f t="shared" si="6"/>
        <v>0.98996511112857111</v>
      </c>
      <c r="U71" s="734">
        <f t="shared" si="6"/>
        <v>0.98668317548753315</v>
      </c>
      <c r="V71" s="704">
        <v>1.0009999999999999</v>
      </c>
    </row>
    <row r="72" spans="1:22" hidden="1">
      <c r="T72" s="704"/>
    </row>
    <row r="73" spans="1:22" hidden="1">
      <c r="B73" s="704"/>
      <c r="C73" s="734"/>
      <c r="D73" s="734"/>
      <c r="E73" s="734"/>
      <c r="F73" s="734"/>
      <c r="G73" s="734"/>
      <c r="H73" s="734"/>
      <c r="I73" s="734"/>
      <c r="J73" s="734"/>
      <c r="K73" s="734"/>
      <c r="L73" s="734"/>
      <c r="M73" s="734"/>
      <c r="N73" s="734"/>
      <c r="O73" s="734"/>
      <c r="P73" s="734"/>
      <c r="Q73" s="734"/>
      <c r="R73" s="734"/>
      <c r="S73" s="734"/>
      <c r="T73" s="734"/>
    </row>
    <row r="74" spans="1:22" hidden="1">
      <c r="A74" s="740"/>
    </row>
    <row r="75" spans="1:22" ht="18" hidden="1">
      <c r="A75" s="740"/>
      <c r="B75" s="728" t="s">
        <v>379</v>
      </c>
      <c r="C75" s="729"/>
      <c r="D75" s="708"/>
      <c r="E75" s="729"/>
      <c r="F75" s="708"/>
      <c r="G75" s="708"/>
    </row>
    <row r="76" spans="1:22" hidden="1">
      <c r="B76" s="613" t="s">
        <v>83</v>
      </c>
      <c r="F76" s="741">
        <v>0</v>
      </c>
    </row>
    <row r="77" spans="1:22" hidden="1">
      <c r="B77" s="613" t="s">
        <v>376</v>
      </c>
    </row>
    <row r="78" spans="1:22" hidden="1">
      <c r="B78" s="710"/>
      <c r="C78" s="613" t="s">
        <v>905</v>
      </c>
      <c r="D78" s="613" t="s">
        <v>906</v>
      </c>
      <c r="E78" s="613" t="s">
        <v>907</v>
      </c>
      <c r="F78" s="613" t="s">
        <v>908</v>
      </c>
      <c r="G78" s="613" t="s">
        <v>909</v>
      </c>
      <c r="H78" s="613" t="s">
        <v>910</v>
      </c>
      <c r="I78" s="613" t="s">
        <v>911</v>
      </c>
      <c r="J78" s="613" t="s">
        <v>912</v>
      </c>
      <c r="K78" s="613" t="s">
        <v>1150</v>
      </c>
      <c r="L78" s="613" t="s">
        <v>913</v>
      </c>
      <c r="M78" s="613" t="s">
        <v>826</v>
      </c>
      <c r="N78" s="613" t="s">
        <v>914</v>
      </c>
      <c r="O78" s="613" t="s">
        <v>915</v>
      </c>
      <c r="P78" s="613" t="s">
        <v>916</v>
      </c>
      <c r="Q78" s="613" t="s">
        <v>917</v>
      </c>
      <c r="R78" s="613" t="s">
        <v>950</v>
      </c>
      <c r="S78" s="613" t="s">
        <v>946</v>
      </c>
      <c r="T78" s="613" t="s">
        <v>888</v>
      </c>
      <c r="U78" s="613" t="s">
        <v>439</v>
      </c>
    </row>
    <row r="79" spans="1:22" hidden="1">
      <c r="B79" s="613" t="s">
        <v>568</v>
      </c>
      <c r="C79" s="742">
        <f>IF(OR(C$63=0,C67&lt;$V67^$B$78),0,ROUND(C49-C57*$V67^$B$78,5))</f>
        <v>0</v>
      </c>
      <c r="D79" s="743">
        <f t="shared" ref="D79:P79" si="7">IF(OR(D$63*$F$76=0,$U67&lt;$V67),0,D49*($U49-$U57*$V67)/$U49)</f>
        <v>0</v>
      </c>
      <c r="E79" s="743">
        <f t="shared" si="7"/>
        <v>0</v>
      </c>
      <c r="F79" s="743">
        <f t="shared" si="7"/>
        <v>0</v>
      </c>
      <c r="G79" s="743">
        <f t="shared" si="7"/>
        <v>0</v>
      </c>
      <c r="H79" s="743">
        <f t="shared" si="7"/>
        <v>0</v>
      </c>
      <c r="I79" s="743">
        <f t="shared" si="7"/>
        <v>0</v>
      </c>
      <c r="J79" s="743">
        <f t="shared" si="7"/>
        <v>0</v>
      </c>
      <c r="K79" s="743">
        <f t="shared" si="7"/>
        <v>0</v>
      </c>
      <c r="L79" s="743">
        <f t="shared" si="7"/>
        <v>0</v>
      </c>
      <c r="M79" s="743">
        <f t="shared" si="7"/>
        <v>0</v>
      </c>
      <c r="N79" s="743">
        <f t="shared" si="7"/>
        <v>0</v>
      </c>
      <c r="O79" s="743">
        <f t="shared" si="7"/>
        <v>0</v>
      </c>
      <c r="P79" s="743">
        <f t="shared" si="7"/>
        <v>0</v>
      </c>
      <c r="Q79" s="743">
        <f t="shared" ref="Q79:S82" si="8">IF(OR(Q$63=0,$U67&lt;$V67),0,Q49*($U49-$U57*$V67)/$U49)</f>
        <v>0</v>
      </c>
      <c r="R79" s="743">
        <f t="shared" si="8"/>
        <v>0</v>
      </c>
      <c r="S79" s="743">
        <f t="shared" si="8"/>
        <v>0</v>
      </c>
      <c r="T79" s="613">
        <f t="array" ref="T79">SUM(IF(D$84:S$84&gt;0,D79:S79/$D$84:$S$84*$D$63:$S$63),0)</f>
        <v>0</v>
      </c>
      <c r="U79" s="700" t="b">
        <f>IF(T79&gt;0,MIN(1,(U49-U57*$V67)/T79))</f>
        <v>0</v>
      </c>
    </row>
    <row r="80" spans="1:22" hidden="1">
      <c r="B80" s="613" t="s">
        <v>879</v>
      </c>
      <c r="C80" s="742">
        <f>IF(OR(C$63=0,C68&lt;$V68^$B$78),0,ROUND(C50-C58*$V68^$B$78,5))</f>
        <v>0</v>
      </c>
      <c r="D80" s="743">
        <f t="shared" ref="D80:P80" si="9">IF(OR(D$63*$F$76=0,$U68&lt;$V68),0,D50*($U50-$U58*$V68)/$U50)</f>
        <v>0</v>
      </c>
      <c r="E80" s="743">
        <f t="shared" si="9"/>
        <v>0</v>
      </c>
      <c r="F80" s="743">
        <f t="shared" si="9"/>
        <v>0</v>
      </c>
      <c r="G80" s="743">
        <f t="shared" si="9"/>
        <v>0</v>
      </c>
      <c r="H80" s="743">
        <f t="shared" si="9"/>
        <v>0</v>
      </c>
      <c r="I80" s="743">
        <f t="shared" si="9"/>
        <v>0</v>
      </c>
      <c r="J80" s="743">
        <f t="shared" si="9"/>
        <v>0</v>
      </c>
      <c r="K80" s="743">
        <f t="shared" si="9"/>
        <v>0</v>
      </c>
      <c r="L80" s="743">
        <f t="shared" si="9"/>
        <v>0</v>
      </c>
      <c r="M80" s="743">
        <f t="shared" si="9"/>
        <v>0</v>
      </c>
      <c r="N80" s="743">
        <f t="shared" si="9"/>
        <v>0</v>
      </c>
      <c r="O80" s="743">
        <f t="shared" si="9"/>
        <v>0</v>
      </c>
      <c r="P80" s="743">
        <f t="shared" si="9"/>
        <v>0</v>
      </c>
      <c r="Q80" s="743">
        <f t="shared" si="8"/>
        <v>0</v>
      </c>
      <c r="R80" s="743">
        <f t="shared" si="8"/>
        <v>0</v>
      </c>
      <c r="S80" s="743">
        <f t="shared" si="8"/>
        <v>0</v>
      </c>
      <c r="T80" s="613">
        <f t="array" ref="T80">SUM(IF(D$84:S$84&gt;0,D80:S80/$D$84:$S$84*$D$63:$S$63),0)</f>
        <v>0</v>
      </c>
      <c r="U80" s="700" t="b">
        <f>IF(T80&gt;0,MIN(1,(U50-U58*$V68)/T80))</f>
        <v>0</v>
      </c>
    </row>
    <row r="81" spans="2:22" hidden="1">
      <c r="B81" s="613" t="s">
        <v>880</v>
      </c>
      <c r="C81" s="742">
        <f>IF(OR(C$63=0,C69&lt;$V69^$B$78),0,ROUND(C51-C59*$V69^$B$78,5))</f>
        <v>0</v>
      </c>
      <c r="D81" s="743">
        <f t="shared" ref="D81:P81" si="10">IF(OR(D$63*$F$76=0,$U69&lt;$V69),0,D51*($U51-$U59*$V69)/$U51)</f>
        <v>0</v>
      </c>
      <c r="E81" s="743">
        <f t="shared" si="10"/>
        <v>0</v>
      </c>
      <c r="F81" s="743">
        <f t="shared" si="10"/>
        <v>0</v>
      </c>
      <c r="G81" s="743">
        <f t="shared" si="10"/>
        <v>0</v>
      </c>
      <c r="H81" s="743">
        <f t="shared" si="10"/>
        <v>0</v>
      </c>
      <c r="I81" s="743">
        <f t="shared" si="10"/>
        <v>0</v>
      </c>
      <c r="J81" s="743">
        <f t="shared" si="10"/>
        <v>0</v>
      </c>
      <c r="K81" s="743">
        <f t="shared" si="10"/>
        <v>0</v>
      </c>
      <c r="L81" s="743">
        <f t="shared" si="10"/>
        <v>0</v>
      </c>
      <c r="M81" s="743">
        <f t="shared" si="10"/>
        <v>0</v>
      </c>
      <c r="N81" s="743">
        <f t="shared" si="10"/>
        <v>0</v>
      </c>
      <c r="O81" s="743">
        <f t="shared" si="10"/>
        <v>0</v>
      </c>
      <c r="P81" s="743">
        <f t="shared" si="10"/>
        <v>0</v>
      </c>
      <c r="Q81" s="743">
        <f t="shared" si="8"/>
        <v>0</v>
      </c>
      <c r="R81" s="743">
        <f t="shared" si="8"/>
        <v>0</v>
      </c>
      <c r="S81" s="743">
        <f t="shared" si="8"/>
        <v>0</v>
      </c>
      <c r="T81" s="613">
        <f t="array" ref="T81">SUM(IF(D$84:S$84&gt;0,D81:S81/$D$84:$S$84*$D$63:$S$63),0)</f>
        <v>0</v>
      </c>
      <c r="U81" s="700" t="b">
        <f>IF(T81&gt;0,MIN(1,(U51-U59*$V69)/T81))</f>
        <v>0</v>
      </c>
    </row>
    <row r="82" spans="2:22" hidden="1">
      <c r="B82" s="613" t="s">
        <v>787</v>
      </c>
      <c r="C82" s="742">
        <f>IF(OR(C$63=0,C70&lt;$V70^$B$78),0,ROUND(C52-C60*$V70^$B$78,5))</f>
        <v>0</v>
      </c>
      <c r="D82" s="743">
        <f t="shared" ref="D82:P82" si="11">IF(OR(D$63*$F$76=0,$U70&lt;$V70),0,D52*($U52-$U60*$V70)/$U52)</f>
        <v>0</v>
      </c>
      <c r="E82" s="743">
        <f t="shared" si="11"/>
        <v>0</v>
      </c>
      <c r="F82" s="743">
        <f t="shared" si="11"/>
        <v>0</v>
      </c>
      <c r="G82" s="743">
        <f t="shared" si="11"/>
        <v>0</v>
      </c>
      <c r="H82" s="743">
        <f t="shared" si="11"/>
        <v>0</v>
      </c>
      <c r="I82" s="743">
        <f t="shared" si="11"/>
        <v>0</v>
      </c>
      <c r="J82" s="743">
        <f t="shared" si="11"/>
        <v>0</v>
      </c>
      <c r="K82" s="743">
        <f t="shared" si="11"/>
        <v>0</v>
      </c>
      <c r="L82" s="743">
        <f t="shared" si="11"/>
        <v>0</v>
      </c>
      <c r="M82" s="743">
        <f t="shared" si="11"/>
        <v>0</v>
      </c>
      <c r="N82" s="743">
        <f t="shared" si="11"/>
        <v>0</v>
      </c>
      <c r="O82" s="743">
        <f t="shared" si="11"/>
        <v>0</v>
      </c>
      <c r="P82" s="743">
        <f t="shared" si="11"/>
        <v>0</v>
      </c>
      <c r="Q82" s="743">
        <f t="shared" si="8"/>
        <v>0</v>
      </c>
      <c r="R82" s="743">
        <f t="shared" si="8"/>
        <v>0</v>
      </c>
      <c r="S82" s="743">
        <f t="shared" si="8"/>
        <v>0</v>
      </c>
      <c r="T82" s="613">
        <f t="array" ref="T82">SUM(IF(D$84:S$84&gt;0,D82:S82/$D$84:$S$84*$D$63:$S$63),0)</f>
        <v>0</v>
      </c>
      <c r="U82" s="700" t="b">
        <f>IF(T82&gt;0,MIN(1,(U52-U60*$V70)/T82))</f>
        <v>0</v>
      </c>
    </row>
    <row r="83" spans="2:22" hidden="1">
      <c r="B83" s="613" t="s">
        <v>978</v>
      </c>
      <c r="C83" s="744">
        <f>IF(OR(C$63=0,C71&lt;$V71^$B$78),0,ROUND(C53-C61*$V71^$B$78,5))</f>
        <v>0</v>
      </c>
      <c r="D83" s="745">
        <f>IF(OR(D$63*$F$76=0,$U71&lt;$V71),0,D53*(1-(1/$U$71)^($U$71))*($U53-$U61*$V71)/$U53)</f>
        <v>0</v>
      </c>
      <c r="E83" s="745">
        <f>IF(OR(E$63*$F$76=0,$U71&lt;$V71),0,E53*(1-(1/$U$71)^($U$71))*($U53-$U61*$V71)/$U53)</f>
        <v>0</v>
      </c>
      <c r="F83" s="745">
        <v>0</v>
      </c>
      <c r="G83" s="745">
        <f>IF(OR(G$63*$F$76=0,$U71&lt;$V71),0,G53*(1-(1/$U$71)^($U$71))*($U53-$U61*$V71)/$U53)</f>
        <v>0</v>
      </c>
      <c r="H83" s="745">
        <v>0</v>
      </c>
      <c r="I83" s="745">
        <v>0</v>
      </c>
      <c r="J83" s="745">
        <v>0</v>
      </c>
      <c r="K83" s="745">
        <v>0</v>
      </c>
      <c r="L83" s="745">
        <f>IF(OR(L$63*$F$76=0,$U71&lt;$V71),0,L53*(1-(1/$U$71)^($U$71))*($U53-$U61*$V71)/$U53)</f>
        <v>0</v>
      </c>
      <c r="M83" s="745">
        <f>IF(OR(M$63*$F$76=0,$U71&lt;$V71),0,M53*(1-(1/$U$71)^($U$71))*($U53-$U61*$V71)/$U53)</f>
        <v>0</v>
      </c>
      <c r="N83" s="745">
        <v>0</v>
      </c>
      <c r="O83" s="745">
        <v>0</v>
      </c>
      <c r="P83" s="745">
        <v>0</v>
      </c>
      <c r="Q83" s="745">
        <f>IF(OR(Q$63=0,$U71&lt;$V71),0,Q53*($U53-$U61*$V71)/$U53)</f>
        <v>0</v>
      </c>
      <c r="R83" s="745">
        <v>0</v>
      </c>
      <c r="S83" s="745">
        <f>IF(OR(S$63=0,$U71&lt;$V71),0,S53*(1-(1/$U$71)^($U$71))*($U53-$U61*$V71)/$U53)</f>
        <v>0</v>
      </c>
      <c r="T83" s="613">
        <f t="array" ref="T83">SUM(IF(D$84:S$84&gt;0,D83:S83/$D$84:$S$84*$D$63:$S$63),0)</f>
        <v>0</v>
      </c>
      <c r="U83" s="700" t="b">
        <f>IF(T83&gt;0,MIN(1,(U53-U61*$V71)/T83))</f>
        <v>0</v>
      </c>
    </row>
    <row r="84" spans="2:22" hidden="1">
      <c r="C84" s="613">
        <f t="shared" ref="C84:S84" si="12">SUM(C79:C83)</f>
        <v>0</v>
      </c>
      <c r="D84" s="613">
        <f t="shared" si="12"/>
        <v>0</v>
      </c>
      <c r="E84" s="613">
        <f t="shared" si="12"/>
        <v>0</v>
      </c>
      <c r="F84" s="613">
        <f t="shared" si="12"/>
        <v>0</v>
      </c>
      <c r="G84" s="613">
        <f t="shared" si="12"/>
        <v>0</v>
      </c>
      <c r="H84" s="613">
        <f t="shared" si="12"/>
        <v>0</v>
      </c>
      <c r="I84" s="613">
        <f t="shared" si="12"/>
        <v>0</v>
      </c>
      <c r="J84" s="613">
        <f t="shared" si="12"/>
        <v>0</v>
      </c>
      <c r="K84" s="613">
        <f t="shared" si="12"/>
        <v>0</v>
      </c>
      <c r="L84" s="613">
        <f t="shared" si="12"/>
        <v>0</v>
      </c>
      <c r="M84" s="613">
        <f t="shared" si="12"/>
        <v>0</v>
      </c>
      <c r="N84" s="613">
        <f t="shared" si="12"/>
        <v>0</v>
      </c>
      <c r="O84" s="613">
        <f t="shared" si="12"/>
        <v>0</v>
      </c>
      <c r="P84" s="613">
        <f t="shared" si="12"/>
        <v>0</v>
      </c>
      <c r="Q84" s="613">
        <f t="shared" si="12"/>
        <v>0</v>
      </c>
      <c r="R84" s="613">
        <f t="shared" si="12"/>
        <v>0</v>
      </c>
      <c r="S84" s="613">
        <f t="shared" si="12"/>
        <v>0</v>
      </c>
    </row>
    <row r="85" spans="2:22" hidden="1"/>
    <row r="86" spans="2:22" hidden="1">
      <c r="B86" s="612" t="s">
        <v>990</v>
      </c>
    </row>
    <row r="87" spans="2:22" hidden="1">
      <c r="C87" s="613" t="s">
        <v>905</v>
      </c>
      <c r="D87" s="613" t="s">
        <v>906</v>
      </c>
      <c r="E87" s="613" t="s">
        <v>907</v>
      </c>
      <c r="F87" s="613" t="s">
        <v>908</v>
      </c>
      <c r="G87" s="613" t="s">
        <v>909</v>
      </c>
      <c r="H87" s="613" t="s">
        <v>910</v>
      </c>
      <c r="I87" s="613" t="s">
        <v>911</v>
      </c>
      <c r="J87" s="613" t="s">
        <v>912</v>
      </c>
      <c r="K87" s="613" t="s">
        <v>1150</v>
      </c>
      <c r="L87" s="613" t="s">
        <v>913</v>
      </c>
      <c r="M87" s="613" t="s">
        <v>826</v>
      </c>
      <c r="N87" s="613" t="s">
        <v>914</v>
      </c>
      <c r="O87" s="613" t="s">
        <v>915</v>
      </c>
      <c r="P87" s="613" t="s">
        <v>916</v>
      </c>
      <c r="Q87" s="613" t="s">
        <v>917</v>
      </c>
      <c r="R87" s="613" t="s">
        <v>950</v>
      </c>
      <c r="S87" s="613" t="s">
        <v>946</v>
      </c>
      <c r="T87" s="613" t="s">
        <v>888</v>
      </c>
    </row>
    <row r="88" spans="2:22" hidden="1">
      <c r="B88" s="613" t="s">
        <v>568</v>
      </c>
      <c r="C88" s="738">
        <f>IF(C79&gt;0,MIN(C49-C57*$V67^$B$78,C$63*C79/C$84),0)</f>
        <v>0</v>
      </c>
      <c r="D88" s="738">
        <f t="shared" ref="D88:S88" si="13">IF(D$84&gt;0,D$63*D79/D$84*$U79,0)</f>
        <v>0</v>
      </c>
      <c r="E88" s="738">
        <f t="shared" si="13"/>
        <v>0</v>
      </c>
      <c r="F88" s="738">
        <f t="shared" si="13"/>
        <v>0</v>
      </c>
      <c r="G88" s="738">
        <f t="shared" si="13"/>
        <v>0</v>
      </c>
      <c r="H88" s="738">
        <f t="shared" si="13"/>
        <v>0</v>
      </c>
      <c r="I88" s="738">
        <f t="shared" si="13"/>
        <v>0</v>
      </c>
      <c r="J88" s="738">
        <f t="shared" si="13"/>
        <v>0</v>
      </c>
      <c r="K88" s="738">
        <f t="shared" si="13"/>
        <v>0</v>
      </c>
      <c r="L88" s="738">
        <f t="shared" si="13"/>
        <v>0</v>
      </c>
      <c r="M88" s="738">
        <f t="shared" si="13"/>
        <v>0</v>
      </c>
      <c r="N88" s="738">
        <f t="shared" si="13"/>
        <v>0</v>
      </c>
      <c r="O88" s="738">
        <f t="shared" si="13"/>
        <v>0</v>
      </c>
      <c r="P88" s="738">
        <f t="shared" si="13"/>
        <v>0</v>
      </c>
      <c r="Q88" s="738">
        <f t="shared" si="13"/>
        <v>0</v>
      </c>
      <c r="R88" s="738">
        <f t="shared" si="13"/>
        <v>0</v>
      </c>
      <c r="S88" s="738">
        <f t="shared" si="13"/>
        <v>0</v>
      </c>
      <c r="T88" s="738">
        <f t="shared" ref="T88:T93" si="14">SUM(C88:S88)</f>
        <v>0</v>
      </c>
    </row>
    <row r="89" spans="2:22" hidden="1">
      <c r="B89" s="613" t="s">
        <v>879</v>
      </c>
      <c r="C89" s="738">
        <f>IF(C80&gt;0,MIN(C50-C58*$V68^$B$78,C$63*C80/C$84),0)</f>
        <v>0</v>
      </c>
      <c r="D89" s="738">
        <f t="shared" ref="D89:S89" si="15">IF(D$84&gt;0,D$63*D80/D$84*$U80,0)</f>
        <v>0</v>
      </c>
      <c r="E89" s="738">
        <f t="shared" si="15"/>
        <v>0</v>
      </c>
      <c r="F89" s="738">
        <f t="shared" si="15"/>
        <v>0</v>
      </c>
      <c r="G89" s="738">
        <f t="shared" si="15"/>
        <v>0</v>
      </c>
      <c r="H89" s="738">
        <f t="shared" si="15"/>
        <v>0</v>
      </c>
      <c r="I89" s="738">
        <f t="shared" si="15"/>
        <v>0</v>
      </c>
      <c r="J89" s="738">
        <f t="shared" si="15"/>
        <v>0</v>
      </c>
      <c r="K89" s="738">
        <f t="shared" si="15"/>
        <v>0</v>
      </c>
      <c r="L89" s="738">
        <f t="shared" si="15"/>
        <v>0</v>
      </c>
      <c r="M89" s="738">
        <f t="shared" si="15"/>
        <v>0</v>
      </c>
      <c r="N89" s="738">
        <f t="shared" si="15"/>
        <v>0</v>
      </c>
      <c r="O89" s="738">
        <f t="shared" si="15"/>
        <v>0</v>
      </c>
      <c r="P89" s="738">
        <f t="shared" si="15"/>
        <v>0</v>
      </c>
      <c r="Q89" s="738">
        <f t="shared" si="15"/>
        <v>0</v>
      </c>
      <c r="R89" s="738">
        <f t="shared" si="15"/>
        <v>0</v>
      </c>
      <c r="S89" s="738">
        <f t="shared" si="15"/>
        <v>0</v>
      </c>
      <c r="T89" s="738">
        <f t="shared" si="14"/>
        <v>0</v>
      </c>
    </row>
    <row r="90" spans="2:22" hidden="1">
      <c r="B90" s="613" t="s">
        <v>880</v>
      </c>
      <c r="C90" s="738">
        <f>IF(C81&gt;0,MIN(C51-C59*$V69^$B$78,C$63*C81/C$84),0)</f>
        <v>0</v>
      </c>
      <c r="D90" s="738">
        <f t="shared" ref="D90:S90" si="16">IF(D$84&gt;0,D$63*D81/D$84*$U81,0)</f>
        <v>0</v>
      </c>
      <c r="E90" s="738">
        <f t="shared" si="16"/>
        <v>0</v>
      </c>
      <c r="F90" s="738">
        <f t="shared" si="16"/>
        <v>0</v>
      </c>
      <c r="G90" s="738">
        <f t="shared" si="16"/>
        <v>0</v>
      </c>
      <c r="H90" s="738">
        <f t="shared" si="16"/>
        <v>0</v>
      </c>
      <c r="I90" s="738">
        <f t="shared" si="16"/>
        <v>0</v>
      </c>
      <c r="J90" s="738">
        <f t="shared" si="16"/>
        <v>0</v>
      </c>
      <c r="K90" s="738">
        <f t="shared" si="16"/>
        <v>0</v>
      </c>
      <c r="L90" s="738">
        <f t="shared" si="16"/>
        <v>0</v>
      </c>
      <c r="M90" s="738">
        <f t="shared" si="16"/>
        <v>0</v>
      </c>
      <c r="N90" s="738">
        <f t="shared" si="16"/>
        <v>0</v>
      </c>
      <c r="O90" s="738">
        <f t="shared" si="16"/>
        <v>0</v>
      </c>
      <c r="P90" s="738">
        <f t="shared" si="16"/>
        <v>0</v>
      </c>
      <c r="Q90" s="738">
        <f t="shared" si="16"/>
        <v>0</v>
      </c>
      <c r="R90" s="738">
        <f t="shared" si="16"/>
        <v>0</v>
      </c>
      <c r="S90" s="738">
        <f t="shared" si="16"/>
        <v>0</v>
      </c>
      <c r="T90" s="738">
        <f t="shared" si="14"/>
        <v>0</v>
      </c>
    </row>
    <row r="91" spans="2:22" hidden="1">
      <c r="B91" s="613" t="s">
        <v>787</v>
      </c>
      <c r="C91" s="738">
        <f>IF(C82&gt;0,MIN(C52-C60*$V70^$B$78,C$63*C82/C$84),0)</f>
        <v>0</v>
      </c>
      <c r="D91" s="738">
        <f t="shared" ref="D91:S91" si="17">IF(D$84&gt;0,D$63*D82/D$84*$U82,0)</f>
        <v>0</v>
      </c>
      <c r="E91" s="738">
        <f t="shared" si="17"/>
        <v>0</v>
      </c>
      <c r="F91" s="738">
        <f t="shared" si="17"/>
        <v>0</v>
      </c>
      <c r="G91" s="738">
        <f t="shared" si="17"/>
        <v>0</v>
      </c>
      <c r="H91" s="738">
        <f t="shared" si="17"/>
        <v>0</v>
      </c>
      <c r="I91" s="738">
        <f t="shared" si="17"/>
        <v>0</v>
      </c>
      <c r="J91" s="738">
        <f t="shared" si="17"/>
        <v>0</v>
      </c>
      <c r="K91" s="738">
        <f t="shared" si="17"/>
        <v>0</v>
      </c>
      <c r="L91" s="738">
        <f t="shared" si="17"/>
        <v>0</v>
      </c>
      <c r="M91" s="738">
        <f t="shared" si="17"/>
        <v>0</v>
      </c>
      <c r="N91" s="738">
        <f t="shared" si="17"/>
        <v>0</v>
      </c>
      <c r="O91" s="738">
        <f t="shared" si="17"/>
        <v>0</v>
      </c>
      <c r="P91" s="738">
        <f t="shared" si="17"/>
        <v>0</v>
      </c>
      <c r="Q91" s="738">
        <f t="shared" si="17"/>
        <v>0</v>
      </c>
      <c r="R91" s="738">
        <f t="shared" si="17"/>
        <v>0</v>
      </c>
      <c r="S91" s="738">
        <f t="shared" si="17"/>
        <v>0</v>
      </c>
      <c r="T91" s="738">
        <f t="shared" si="14"/>
        <v>0</v>
      </c>
    </row>
    <row r="92" spans="2:22" hidden="1">
      <c r="B92" s="613" t="s">
        <v>978</v>
      </c>
      <c r="C92" s="738">
        <f>IF(C83&gt;0,MIN(C53-C61*$V71^$B$78,C$63*C83/C$84),0)</f>
        <v>0</v>
      </c>
      <c r="D92" s="738">
        <f t="shared" ref="D92:S92" si="18">IF(D$84&gt;0,D$63*D83/D$84*$U83,0)</f>
        <v>0</v>
      </c>
      <c r="E92" s="738">
        <f t="shared" si="18"/>
        <v>0</v>
      </c>
      <c r="F92" s="738">
        <f t="shared" si="18"/>
        <v>0</v>
      </c>
      <c r="G92" s="738">
        <f t="shared" si="18"/>
        <v>0</v>
      </c>
      <c r="H92" s="738">
        <f t="shared" si="18"/>
        <v>0</v>
      </c>
      <c r="I92" s="738">
        <f t="shared" si="18"/>
        <v>0</v>
      </c>
      <c r="J92" s="738">
        <f t="shared" si="18"/>
        <v>0</v>
      </c>
      <c r="K92" s="738">
        <f t="shared" si="18"/>
        <v>0</v>
      </c>
      <c r="L92" s="738">
        <f t="shared" si="18"/>
        <v>0</v>
      </c>
      <c r="M92" s="738">
        <f t="shared" si="18"/>
        <v>0</v>
      </c>
      <c r="N92" s="738">
        <f t="shared" si="18"/>
        <v>0</v>
      </c>
      <c r="O92" s="738">
        <f t="shared" si="18"/>
        <v>0</v>
      </c>
      <c r="P92" s="738">
        <f t="shared" si="18"/>
        <v>0</v>
      </c>
      <c r="Q92" s="738">
        <f t="shared" si="18"/>
        <v>0</v>
      </c>
      <c r="R92" s="738">
        <f t="shared" si="18"/>
        <v>0</v>
      </c>
      <c r="S92" s="738">
        <f t="shared" si="18"/>
        <v>0</v>
      </c>
      <c r="T92" s="738">
        <f t="shared" si="14"/>
        <v>0</v>
      </c>
      <c r="V92" s="681">
        <f ca="1">SUM(S88:S92)*U47+SUM(ISOI2!H22,IOOI2!H28)</f>
        <v>2.8102153991212901</v>
      </c>
    </row>
    <row r="93" spans="2:22" hidden="1">
      <c r="B93" s="613" t="s">
        <v>286</v>
      </c>
      <c r="C93" s="738">
        <f t="shared" ref="C93:S93" si="19">C63-SUM(C88:C92)</f>
        <v>0</v>
      </c>
      <c r="D93" s="738">
        <f t="shared" si="19"/>
        <v>0</v>
      </c>
      <c r="E93" s="738">
        <f t="shared" si="19"/>
        <v>0</v>
      </c>
      <c r="F93" s="738">
        <f t="shared" si="19"/>
        <v>0</v>
      </c>
      <c r="G93" s="738">
        <f t="shared" si="19"/>
        <v>0</v>
      </c>
      <c r="H93" s="738">
        <f t="shared" si="19"/>
        <v>0</v>
      </c>
      <c r="I93" s="738">
        <f t="shared" si="19"/>
        <v>0</v>
      </c>
      <c r="J93" s="738">
        <f t="shared" si="19"/>
        <v>0</v>
      </c>
      <c r="K93" s="738">
        <f t="shared" si="19"/>
        <v>0</v>
      </c>
      <c r="L93" s="738">
        <f t="shared" si="19"/>
        <v>0</v>
      </c>
      <c r="M93" s="738">
        <f t="shared" si="19"/>
        <v>0</v>
      </c>
      <c r="N93" s="738">
        <f t="shared" si="19"/>
        <v>0</v>
      </c>
      <c r="O93" s="738">
        <f t="shared" si="19"/>
        <v>0</v>
      </c>
      <c r="P93" s="738">
        <f t="shared" si="19"/>
        <v>0</v>
      </c>
      <c r="Q93" s="738">
        <f t="shared" si="19"/>
        <v>0</v>
      </c>
      <c r="R93" s="738">
        <f t="shared" si="19"/>
        <v>0</v>
      </c>
      <c r="S93" s="738">
        <f t="shared" si="19"/>
        <v>0</v>
      </c>
      <c r="T93" s="738">
        <f t="shared" si="14"/>
        <v>0</v>
      </c>
    </row>
    <row r="94" spans="2:22" hidden="1">
      <c r="B94" s="613" t="s">
        <v>199</v>
      </c>
      <c r="C94" s="657">
        <f t="shared" ref="C94:T94" si="20">IF(C63&gt;0,C93/C63,1)</f>
        <v>1</v>
      </c>
      <c r="D94" s="655">
        <f t="shared" si="20"/>
        <v>1</v>
      </c>
      <c r="E94" s="655">
        <f t="shared" si="20"/>
        <v>1</v>
      </c>
      <c r="F94" s="655">
        <f t="shared" si="20"/>
        <v>1</v>
      </c>
      <c r="G94" s="655">
        <f t="shared" si="20"/>
        <v>1</v>
      </c>
      <c r="H94" s="655">
        <f t="shared" si="20"/>
        <v>1</v>
      </c>
      <c r="I94" s="655">
        <f t="shared" si="20"/>
        <v>1</v>
      </c>
      <c r="J94" s="655">
        <f t="shared" si="20"/>
        <v>1</v>
      </c>
      <c r="K94" s="655">
        <f t="shared" si="20"/>
        <v>1</v>
      </c>
      <c r="L94" s="655">
        <f t="shared" si="20"/>
        <v>1</v>
      </c>
      <c r="M94" s="655">
        <f t="shared" si="20"/>
        <v>1</v>
      </c>
      <c r="N94" s="655">
        <f t="shared" si="20"/>
        <v>1</v>
      </c>
      <c r="O94" s="655">
        <f t="shared" si="20"/>
        <v>1</v>
      </c>
      <c r="P94" s="655">
        <f t="shared" si="20"/>
        <v>1</v>
      </c>
      <c r="Q94" s="655">
        <f t="shared" si="20"/>
        <v>1</v>
      </c>
      <c r="R94" s="655">
        <f t="shared" si="20"/>
        <v>1</v>
      </c>
      <c r="S94" s="655">
        <f t="shared" si="20"/>
        <v>1</v>
      </c>
      <c r="T94" s="658">
        <f t="shared" si="20"/>
        <v>1</v>
      </c>
    </row>
    <row r="95" spans="2:22" hidden="1">
      <c r="B95" s="613" t="s">
        <v>200</v>
      </c>
      <c r="C95" s="657">
        <f ca="1">IF(C62=0,1,1-(1-C94)*AuxData2!B35/C62)</f>
        <v>1</v>
      </c>
      <c r="D95" s="655">
        <f ca="1">IF(D62=0,1,1-(1-D94)*AuxData2!C35/D62)</f>
        <v>1</v>
      </c>
      <c r="E95" s="655">
        <f ca="1">IF(E62=0,1,1-(1-E94)*AuxData2!D35/E62)</f>
        <v>1</v>
      </c>
      <c r="F95" s="655">
        <f ca="1">IF(F62=0,1,1-(1-F94)*AuxData2!E35/F62)</f>
        <v>1</v>
      </c>
      <c r="G95" s="655">
        <f ca="1">IF(G62=0,1,1-(1-G94)*AuxData2!F35/G62)</f>
        <v>1</v>
      </c>
      <c r="H95" s="655">
        <f ca="1">IF(H62=0,1,1-(1-H94)*AuxData2!G35/H62)</f>
        <v>1</v>
      </c>
      <c r="I95" s="655">
        <f ca="1">IF(I62=0,1,1-(1-I94)*AuxData2!H35/I62)</f>
        <v>1</v>
      </c>
      <c r="J95" s="655">
        <f ca="1">IF(J62=0,1,1-(1-J94)*AuxData2!I35/J62)</f>
        <v>1</v>
      </c>
      <c r="K95" s="655">
        <f ca="1">IF(K62=0,1,1-(1-K94)*AuxData2!J35/K62)</f>
        <v>1</v>
      </c>
      <c r="L95" s="655">
        <f ca="1">IF(L62=0,1,1-(1-L94)*AuxData2!K35/L62)</f>
        <v>1</v>
      </c>
      <c r="M95" s="655">
        <f ca="1">IF(M62=0,1,1-(1-M94)*AuxData2!L35/M62)</f>
        <v>1</v>
      </c>
      <c r="N95" s="655">
        <f ca="1">IF(N62=0,1,1-(1-N94)*AuxData2!M35/N62)</f>
        <v>1</v>
      </c>
      <c r="O95" s="655">
        <f ca="1">IF(O62=0,1,1-(1-O94)*AuxData2!N35/O62)</f>
        <v>1</v>
      </c>
      <c r="P95" s="655">
        <f ca="1">IF(P62=0,1,1-(1-P94)*AuxData2!O35/P62)</f>
        <v>1</v>
      </c>
      <c r="Q95" s="655">
        <f ca="1">IF(Q62=0,1,1-(1-Q94)*AuxData2!P35/Q62)</f>
        <v>1</v>
      </c>
      <c r="R95" s="655">
        <f ca="1">IF(R62=0,1,1-(1-R94)*AuxData2!Q35/R62)</f>
        <v>1</v>
      </c>
      <c r="S95" s="655">
        <f ca="1">IF(S62=0,1,1-(1-S94)*MAX(0,S62+AuxData2!R35-AuxData2!R33)/S62)</f>
        <v>1</v>
      </c>
      <c r="T95" s="658">
        <f ca="1">IF(T62=0,1,1-(1-T94)*AuxData2!S35/T62)</f>
        <v>1</v>
      </c>
    </row>
    <row r="96" spans="2:22" hidden="1">
      <c r="R96" s="659" t="s">
        <v>1011</v>
      </c>
      <c r="S96" s="746">
        <f ca="1">AuxData2!$R$36*(1-S94)+AuxData2!$T$69*(1-S95)*0</f>
        <v>0</v>
      </c>
    </row>
    <row r="97" spans="2:21" hidden="1">
      <c r="B97" s="612" t="s">
        <v>991</v>
      </c>
    </row>
    <row r="98" spans="2:21" hidden="1">
      <c r="C98" s="613" t="s">
        <v>905</v>
      </c>
      <c r="D98" s="613" t="s">
        <v>906</v>
      </c>
      <c r="E98" s="613" t="s">
        <v>907</v>
      </c>
      <c r="F98" s="613" t="s">
        <v>908</v>
      </c>
      <c r="G98" s="613" t="s">
        <v>909</v>
      </c>
      <c r="H98" s="613" t="s">
        <v>910</v>
      </c>
      <c r="I98" s="613" t="s">
        <v>911</v>
      </c>
      <c r="J98" s="613" t="s">
        <v>912</v>
      </c>
      <c r="K98" s="613" t="s">
        <v>1150</v>
      </c>
      <c r="L98" s="613" t="s">
        <v>913</v>
      </c>
      <c r="M98" s="613" t="s">
        <v>826</v>
      </c>
      <c r="N98" s="613" t="s">
        <v>914</v>
      </c>
      <c r="O98" s="613" t="s">
        <v>915</v>
      </c>
      <c r="P98" s="613" t="s">
        <v>916</v>
      </c>
      <c r="Q98" s="613" t="s">
        <v>917</v>
      </c>
      <c r="R98" s="613" t="s">
        <v>950</v>
      </c>
      <c r="S98" s="613" t="s">
        <v>946</v>
      </c>
      <c r="T98" s="613" t="s">
        <v>888</v>
      </c>
      <c r="U98" s="613" t="s">
        <v>378</v>
      </c>
    </row>
    <row r="99" spans="2:21" hidden="1">
      <c r="B99" s="613" t="s">
        <v>568</v>
      </c>
      <c r="C99" s="738">
        <f t="shared" ref="C99:S99" si="21">C57+C88</f>
        <v>2.3313240334398473E-2</v>
      </c>
      <c r="D99" s="738">
        <f t="shared" si="21"/>
        <v>4.0000000000000001E-3</v>
      </c>
      <c r="E99" s="738">
        <f t="shared" si="21"/>
        <v>7.0000000000000001E-3</v>
      </c>
      <c r="F99" s="738">
        <f t="shared" si="21"/>
        <v>0</v>
      </c>
      <c r="G99" s="738">
        <f t="shared" si="21"/>
        <v>2E-3</v>
      </c>
      <c r="H99" s="738">
        <f t="shared" si="21"/>
        <v>0</v>
      </c>
      <c r="I99" s="738">
        <f t="shared" si="21"/>
        <v>0</v>
      </c>
      <c r="J99" s="738">
        <f t="shared" si="21"/>
        <v>0</v>
      </c>
      <c r="K99" s="738">
        <f t="shared" si="21"/>
        <v>0</v>
      </c>
      <c r="L99" s="738">
        <f t="shared" si="21"/>
        <v>0</v>
      </c>
      <c r="M99" s="738">
        <f t="shared" si="21"/>
        <v>0</v>
      </c>
      <c r="N99" s="738">
        <f t="shared" si="21"/>
        <v>0</v>
      </c>
      <c r="O99" s="738">
        <f t="shared" si="21"/>
        <v>0</v>
      </c>
      <c r="P99" s="738">
        <f t="shared" si="21"/>
        <v>0</v>
      </c>
      <c r="Q99" s="738">
        <f t="shared" si="21"/>
        <v>0</v>
      </c>
      <c r="R99" s="738">
        <f t="shared" si="21"/>
        <v>0</v>
      </c>
      <c r="S99" s="738">
        <f t="shared" si="21"/>
        <v>2.4325301011247922E-3</v>
      </c>
      <c r="T99" s="738">
        <f>SUM(C99:S99)</f>
        <v>3.8745770435523269E-2</v>
      </c>
      <c r="U99" s="738">
        <f>SUM(D99:S99)</f>
        <v>1.5432530101124792E-2</v>
      </c>
    </row>
    <row r="100" spans="2:21" hidden="1">
      <c r="B100" s="613" t="s">
        <v>879</v>
      </c>
      <c r="C100" s="738">
        <f t="shared" ref="C100:S100" si="22">C58+C89</f>
        <v>8.3539111198261198E-2</v>
      </c>
      <c r="D100" s="738">
        <f t="shared" si="22"/>
        <v>0.03</v>
      </c>
      <c r="E100" s="738">
        <f t="shared" si="22"/>
        <v>2.1999999999999999E-2</v>
      </c>
      <c r="F100" s="738">
        <f t="shared" si="22"/>
        <v>0</v>
      </c>
      <c r="G100" s="738">
        <f t="shared" si="22"/>
        <v>5.0999999999999997E-2</v>
      </c>
      <c r="H100" s="738">
        <f t="shared" si="22"/>
        <v>0</v>
      </c>
      <c r="I100" s="738">
        <f t="shared" si="22"/>
        <v>0</v>
      </c>
      <c r="J100" s="738">
        <f t="shared" si="22"/>
        <v>0</v>
      </c>
      <c r="K100" s="738">
        <f t="shared" si="22"/>
        <v>0</v>
      </c>
      <c r="L100" s="738">
        <f t="shared" si="22"/>
        <v>3.0000000000000001E-3</v>
      </c>
      <c r="M100" s="738">
        <f t="shared" si="22"/>
        <v>0.01</v>
      </c>
      <c r="N100" s="738">
        <f t="shared" si="22"/>
        <v>0</v>
      </c>
      <c r="O100" s="738">
        <f t="shared" si="22"/>
        <v>0</v>
      </c>
      <c r="P100" s="738">
        <f t="shared" si="22"/>
        <v>0.05</v>
      </c>
      <c r="Q100" s="738">
        <f t="shared" si="22"/>
        <v>5.5E-2</v>
      </c>
      <c r="R100" s="738">
        <f t="shared" si="22"/>
        <v>0</v>
      </c>
      <c r="S100" s="738">
        <f t="shared" si="22"/>
        <v>2.9253755466514056E-2</v>
      </c>
      <c r="T100" s="738">
        <f>SUM(C100:S100)</f>
        <v>0.33379286666477526</v>
      </c>
      <c r="U100" s="738">
        <f>SUM(D100:S100)</f>
        <v>0.25025375546651402</v>
      </c>
    </row>
    <row r="101" spans="2:21" hidden="1">
      <c r="B101" s="613" t="s">
        <v>880</v>
      </c>
      <c r="C101" s="738">
        <f t="shared" ref="C101:S101" si="23">C59+C90</f>
        <v>2.3313240334398473E-2</v>
      </c>
      <c r="D101" s="738">
        <f t="shared" si="23"/>
        <v>0</v>
      </c>
      <c r="E101" s="738">
        <f t="shared" si="23"/>
        <v>3.0000000000000001E-3</v>
      </c>
      <c r="F101" s="738">
        <f t="shared" si="23"/>
        <v>0</v>
      </c>
      <c r="G101" s="738">
        <f t="shared" si="23"/>
        <v>0</v>
      </c>
      <c r="H101" s="738">
        <f t="shared" si="23"/>
        <v>0</v>
      </c>
      <c r="I101" s="738">
        <f t="shared" si="23"/>
        <v>0</v>
      </c>
      <c r="J101" s="738">
        <f t="shared" si="23"/>
        <v>0</v>
      </c>
      <c r="K101" s="738">
        <f t="shared" si="23"/>
        <v>0</v>
      </c>
      <c r="L101" s="738">
        <f t="shared" si="23"/>
        <v>1E-3</v>
      </c>
      <c r="M101" s="738">
        <f t="shared" si="23"/>
        <v>0</v>
      </c>
      <c r="N101" s="738">
        <f t="shared" si="23"/>
        <v>0</v>
      </c>
      <c r="O101" s="738">
        <f t="shared" si="23"/>
        <v>0</v>
      </c>
      <c r="P101" s="738">
        <f t="shared" si="23"/>
        <v>0</v>
      </c>
      <c r="Q101" s="738">
        <f t="shared" si="23"/>
        <v>0</v>
      </c>
      <c r="R101" s="738">
        <f t="shared" si="23"/>
        <v>0</v>
      </c>
      <c r="S101" s="738">
        <f t="shared" si="23"/>
        <v>1.0952505073654572E-2</v>
      </c>
      <c r="T101" s="738">
        <f>SUM(C101:S101)</f>
        <v>3.8265745408053047E-2</v>
      </c>
      <c r="U101" s="738">
        <f>SUM(D101:S101)</f>
        <v>1.4952505073654572E-2</v>
      </c>
    </row>
    <row r="102" spans="2:21" hidden="1">
      <c r="B102" s="613" t="s">
        <v>787</v>
      </c>
      <c r="C102" s="738">
        <f t="shared" ref="C102:S102" si="24">C60+C91</f>
        <v>0.26883496568466353</v>
      </c>
      <c r="D102" s="738">
        <f t="shared" si="24"/>
        <v>9.1999999999999998E-2</v>
      </c>
      <c r="E102" s="738">
        <f t="shared" si="24"/>
        <v>0.505</v>
      </c>
      <c r="F102" s="738">
        <f t="shared" si="24"/>
        <v>0</v>
      </c>
      <c r="G102" s="738">
        <f t="shared" si="24"/>
        <v>0</v>
      </c>
      <c r="H102" s="738">
        <f t="shared" si="24"/>
        <v>0</v>
      </c>
      <c r="I102" s="738">
        <f t="shared" si="24"/>
        <v>0</v>
      </c>
      <c r="J102" s="738">
        <f t="shared" si="24"/>
        <v>0</v>
      </c>
      <c r="K102" s="738">
        <f t="shared" si="24"/>
        <v>0</v>
      </c>
      <c r="L102" s="738">
        <f t="shared" si="24"/>
        <v>4.8000000000000001E-2</v>
      </c>
      <c r="M102" s="738">
        <f t="shared" si="24"/>
        <v>3.0000000000000001E-3</v>
      </c>
      <c r="N102" s="738">
        <f t="shared" si="24"/>
        <v>0</v>
      </c>
      <c r="O102" s="738">
        <f t="shared" si="24"/>
        <v>0.21299999999999999</v>
      </c>
      <c r="P102" s="738">
        <f t="shared" si="24"/>
        <v>0</v>
      </c>
      <c r="Q102" s="738">
        <f t="shared" si="24"/>
        <v>1.3000000000000001E-2</v>
      </c>
      <c r="R102" s="738">
        <f t="shared" si="24"/>
        <v>0</v>
      </c>
      <c r="S102" s="738">
        <f t="shared" si="24"/>
        <v>0.23548893464461251</v>
      </c>
      <c r="T102" s="738">
        <f>SUM(C102:S102)</f>
        <v>1.378323900329276</v>
      </c>
      <c r="U102" s="738">
        <f>SUM(D102:S102)</f>
        <v>1.1094889346446126</v>
      </c>
    </row>
    <row r="103" spans="2:21" hidden="1">
      <c r="B103" s="613" t="s">
        <v>978</v>
      </c>
      <c r="C103" s="738">
        <f t="shared" ref="C103:P103" si="25">C61+C92</f>
        <v>2.0722880297243083E-2</v>
      </c>
      <c r="D103" s="738">
        <f t="shared" si="25"/>
        <v>6.0000000000000001E-3</v>
      </c>
      <c r="E103" s="738">
        <f t="shared" si="25"/>
        <v>1E-3</v>
      </c>
      <c r="F103" s="738">
        <f t="shared" si="25"/>
        <v>0</v>
      </c>
      <c r="G103" s="738">
        <f t="shared" si="25"/>
        <v>1E-3</v>
      </c>
      <c r="H103" s="738">
        <f t="shared" si="25"/>
        <v>0</v>
      </c>
      <c r="I103" s="738">
        <f t="shared" si="25"/>
        <v>0</v>
      </c>
      <c r="J103" s="738">
        <f t="shared" si="25"/>
        <v>0</v>
      </c>
      <c r="K103" s="738">
        <f t="shared" si="25"/>
        <v>2E-3</v>
      </c>
      <c r="L103" s="738">
        <f t="shared" si="25"/>
        <v>1E-3</v>
      </c>
      <c r="M103" s="738">
        <f t="shared" si="25"/>
        <v>0</v>
      </c>
      <c r="N103" s="738">
        <f t="shared" si="25"/>
        <v>0</v>
      </c>
      <c r="O103" s="738">
        <f t="shared" si="25"/>
        <v>0</v>
      </c>
      <c r="P103" s="738">
        <f t="shared" si="25"/>
        <v>0</v>
      </c>
      <c r="Q103" s="747">
        <f ca="1">Q61+Q92+MAX(0,MIN(U53-U61-SUM(D92:S92),SUMPRODUCT(Driver22!H79:H80,Driver22!$P$122:$P$123)))</f>
        <v>4.9000000000000002E-2</v>
      </c>
      <c r="R103" s="738">
        <f>R61+R92</f>
        <v>0</v>
      </c>
      <c r="S103" s="738">
        <f>S61+S92</f>
        <v>3.3625468697448678E-3</v>
      </c>
      <c r="T103" s="738">
        <f>SUM(C103:S103)</f>
        <v>8.4085427166987955E-2</v>
      </c>
      <c r="U103" s="738">
        <f>SUM(D103:S103)</f>
        <v>6.3362546869744865E-2</v>
      </c>
    </row>
    <row r="104" spans="2:21" hidden="1">
      <c r="M104" s="748">
        <f ca="1">MAX(0.01,1-('CHP2'!I108*'CHP2'!M108+M62*M95+AuxData2!$L36*M94)/AuxData2!$BL$58)</f>
        <v>0.01</v>
      </c>
      <c r="S104" s="738"/>
      <c r="T104" s="749">
        <f>SUM(T99:T103)</f>
        <v>1.8732137100046156</v>
      </c>
    </row>
    <row r="105" spans="2:21" hidden="1">
      <c r="M105" s="748">
        <f ca="1">MAX(0.01,(AuxData2!BJ58+SUM(M99:M103)-'CHP2'!I108*'CHP2'!M108)/AuxData2!$BL$58)</f>
        <v>0.01</v>
      </c>
    </row>
    <row r="106" spans="2:21" hidden="1">
      <c r="B106" s="612" t="s">
        <v>992</v>
      </c>
    </row>
    <row r="107" spans="2:21" hidden="1">
      <c r="C107" s="613" t="s">
        <v>905</v>
      </c>
      <c r="D107" s="613" t="s">
        <v>906</v>
      </c>
      <c r="E107" s="613" t="s">
        <v>907</v>
      </c>
      <c r="F107" s="613" t="s">
        <v>908</v>
      </c>
      <c r="G107" s="613" t="s">
        <v>909</v>
      </c>
      <c r="H107" s="613" t="s">
        <v>910</v>
      </c>
      <c r="I107" s="613" t="s">
        <v>911</v>
      </c>
      <c r="J107" s="613" t="s">
        <v>912</v>
      </c>
      <c r="K107" s="613" t="s">
        <v>1150</v>
      </c>
      <c r="L107" s="613" t="s">
        <v>913</v>
      </c>
      <c r="M107" s="613" t="s">
        <v>826</v>
      </c>
      <c r="N107" s="613" t="s">
        <v>914</v>
      </c>
      <c r="O107" s="613" t="s">
        <v>915</v>
      </c>
      <c r="P107" s="613" t="s">
        <v>916</v>
      </c>
      <c r="Q107" s="613" t="s">
        <v>917</v>
      </c>
      <c r="R107" s="613" t="s">
        <v>950</v>
      </c>
      <c r="S107" s="613" t="s">
        <v>946</v>
      </c>
      <c r="T107" s="613" t="s">
        <v>888</v>
      </c>
      <c r="U107" s="613" t="s">
        <v>378</v>
      </c>
    </row>
    <row r="108" spans="2:21" hidden="1">
      <c r="B108" s="613" t="s">
        <v>568</v>
      </c>
      <c r="C108" s="734">
        <f t="shared" ref="C108:U108" si="26">IF(C99&lt;&gt;0,C49/C99,1)</f>
        <v>1</v>
      </c>
      <c r="D108" s="734">
        <f t="shared" si="26"/>
        <v>0.16466000591083843</v>
      </c>
      <c r="E108" s="734">
        <f t="shared" si="26"/>
        <v>0.31270934645651421</v>
      </c>
      <c r="F108" s="734">
        <f t="shared" si="26"/>
        <v>1</v>
      </c>
      <c r="G108" s="734">
        <f t="shared" si="26"/>
        <v>0.49398001773251521</v>
      </c>
      <c r="H108" s="734">
        <f t="shared" si="26"/>
        <v>1</v>
      </c>
      <c r="I108" s="734">
        <f t="shared" si="26"/>
        <v>1</v>
      </c>
      <c r="J108" s="734">
        <f t="shared" si="26"/>
        <v>1</v>
      </c>
      <c r="K108" s="734">
        <f t="shared" si="26"/>
        <v>1</v>
      </c>
      <c r="L108" s="734">
        <f t="shared" si="26"/>
        <v>1</v>
      </c>
      <c r="M108" s="734">
        <f t="shared" si="26"/>
        <v>1</v>
      </c>
      <c r="N108" s="734">
        <f t="shared" si="26"/>
        <v>1</v>
      </c>
      <c r="O108" s="734">
        <f t="shared" si="26"/>
        <v>1</v>
      </c>
      <c r="P108" s="734">
        <f t="shared" si="26"/>
        <v>1</v>
      </c>
      <c r="Q108" s="734">
        <f t="shared" si="26"/>
        <v>1</v>
      </c>
      <c r="R108" s="734">
        <f t="shared" si="26"/>
        <v>1</v>
      </c>
      <c r="S108" s="734">
        <f t="shared" si="26"/>
        <v>0.27076336006645968</v>
      </c>
      <c r="T108" s="734">
        <f t="shared" si="26"/>
        <v>1.0000000000000002</v>
      </c>
      <c r="U108" s="734">
        <f t="shared" si="26"/>
        <v>1.0000000000000002</v>
      </c>
    </row>
    <row r="109" spans="2:21" hidden="1">
      <c r="B109" s="613" t="s">
        <v>879</v>
      </c>
      <c r="C109" s="734">
        <f t="shared" ref="C109:U109" si="27">IF(C100&lt;&gt;0,C50/C100,1)</f>
        <v>1</v>
      </c>
      <c r="D109" s="734">
        <f t="shared" si="27"/>
        <v>2.9072863549518111</v>
      </c>
      <c r="E109" s="734">
        <f t="shared" si="27"/>
        <v>0.3069169698152166</v>
      </c>
      <c r="F109" s="734">
        <f t="shared" si="27"/>
        <v>1</v>
      </c>
      <c r="G109" s="734">
        <f t="shared" si="27"/>
        <v>0.68855655426155915</v>
      </c>
      <c r="H109" s="734">
        <f t="shared" si="27"/>
        <v>1</v>
      </c>
      <c r="I109" s="734">
        <f t="shared" si="27"/>
        <v>1</v>
      </c>
      <c r="J109" s="734">
        <f t="shared" si="27"/>
        <v>1</v>
      </c>
      <c r="K109" s="734">
        <f t="shared" si="27"/>
        <v>1</v>
      </c>
      <c r="L109" s="734">
        <f t="shared" si="27"/>
        <v>20.389162485982308</v>
      </c>
      <c r="M109" s="734">
        <f t="shared" si="27"/>
        <v>0.63342503580120335</v>
      </c>
      <c r="N109" s="734">
        <f t="shared" si="27"/>
        <v>1</v>
      </c>
      <c r="O109" s="734">
        <f t="shared" si="27"/>
        <v>1</v>
      </c>
      <c r="P109" s="734">
        <f t="shared" si="27"/>
        <v>2.3665309520357208E-2</v>
      </c>
      <c r="Q109" s="734">
        <f t="shared" si="27"/>
        <v>0.12908350647467567</v>
      </c>
      <c r="R109" s="734">
        <f t="shared" si="27"/>
        <v>1</v>
      </c>
      <c r="S109" s="734">
        <f t="shared" si="27"/>
        <v>0.40448327305268927</v>
      </c>
      <c r="T109" s="739">
        <f t="shared" si="27"/>
        <v>1</v>
      </c>
      <c r="U109" s="734">
        <f t="shared" si="27"/>
        <v>0.99999999999999978</v>
      </c>
    </row>
    <row r="110" spans="2:21" hidden="1">
      <c r="B110" s="613" t="s">
        <v>880</v>
      </c>
      <c r="C110" s="734">
        <f t="shared" ref="C110:U110" si="28">IF(C101&lt;&gt;0,C51/C101,1)</f>
        <v>1</v>
      </c>
      <c r="D110" s="734">
        <f t="shared" si="28"/>
        <v>1</v>
      </c>
      <c r="E110" s="734">
        <f t="shared" si="28"/>
        <v>0.48985477648416104</v>
      </c>
      <c r="F110" s="734">
        <f t="shared" si="28"/>
        <v>1</v>
      </c>
      <c r="G110" s="734">
        <f t="shared" si="28"/>
        <v>1</v>
      </c>
      <c r="H110" s="734">
        <f t="shared" si="28"/>
        <v>1</v>
      </c>
      <c r="I110" s="734">
        <f t="shared" si="28"/>
        <v>1</v>
      </c>
      <c r="J110" s="734">
        <f t="shared" si="28"/>
        <v>1</v>
      </c>
      <c r="K110" s="734">
        <f t="shared" si="28"/>
        <v>1</v>
      </c>
      <c r="L110" s="734">
        <f t="shared" si="28"/>
        <v>2.7063788058686318</v>
      </c>
      <c r="M110" s="734">
        <f t="shared" si="28"/>
        <v>1</v>
      </c>
      <c r="N110" s="734">
        <f t="shared" si="28"/>
        <v>1</v>
      </c>
      <c r="O110" s="734">
        <f t="shared" si="28"/>
        <v>1</v>
      </c>
      <c r="P110" s="734">
        <f t="shared" si="28"/>
        <v>1</v>
      </c>
      <c r="Q110" s="734">
        <f t="shared" si="28"/>
        <v>1</v>
      </c>
      <c r="R110" s="734">
        <f t="shared" si="28"/>
        <v>1</v>
      </c>
      <c r="S110" s="734">
        <f t="shared" si="28"/>
        <v>9.2252922640788881E-2</v>
      </c>
      <c r="T110" s="734">
        <f t="shared" si="28"/>
        <v>0.99999999999999922</v>
      </c>
      <c r="U110" s="734">
        <f t="shared" si="28"/>
        <v>1.0000000000000002</v>
      </c>
    </row>
    <row r="111" spans="2:21" hidden="1">
      <c r="B111" s="613" t="s">
        <v>787</v>
      </c>
      <c r="C111" s="734">
        <f t="shared" ref="C111:U111" si="29">IF(C102&lt;&gt;0,C52/C102,1)</f>
        <v>1</v>
      </c>
      <c r="D111" s="734">
        <f t="shared" si="29"/>
        <v>4.8309542170496931</v>
      </c>
      <c r="E111" s="734">
        <f t="shared" si="29"/>
        <v>3.6500436895263957E-2</v>
      </c>
      <c r="F111" s="734">
        <f t="shared" si="29"/>
        <v>1</v>
      </c>
      <c r="G111" s="734">
        <f t="shared" si="29"/>
        <v>1</v>
      </c>
      <c r="H111" s="734">
        <f t="shared" si="29"/>
        <v>1</v>
      </c>
      <c r="I111" s="734">
        <f t="shared" si="29"/>
        <v>1</v>
      </c>
      <c r="J111" s="734">
        <f t="shared" si="29"/>
        <v>1</v>
      </c>
      <c r="K111" s="734">
        <f t="shared" si="29"/>
        <v>1</v>
      </c>
      <c r="L111" s="734">
        <f t="shared" si="29"/>
        <v>2.8120719259913263</v>
      </c>
      <c r="M111" s="734">
        <f t="shared" si="29"/>
        <v>14.824914413582899</v>
      </c>
      <c r="N111" s="734">
        <f t="shared" si="29"/>
        <v>1</v>
      </c>
      <c r="O111" s="734">
        <f t="shared" si="29"/>
        <v>2.158142315084572E-2</v>
      </c>
      <c r="P111" s="734">
        <f t="shared" si="29"/>
        <v>1</v>
      </c>
      <c r="Q111" s="734">
        <f t="shared" si="29"/>
        <v>0.70664583632020161</v>
      </c>
      <c r="R111" s="734">
        <f t="shared" si="29"/>
        <v>1</v>
      </c>
      <c r="S111" s="734">
        <f t="shared" si="29"/>
        <v>0.78019766712404104</v>
      </c>
      <c r="T111" s="734">
        <f t="shared" si="29"/>
        <v>0.99999999999999989</v>
      </c>
      <c r="U111" s="734">
        <f t="shared" si="29"/>
        <v>1.0000000000000002</v>
      </c>
    </row>
    <row r="112" spans="2:21" hidden="1">
      <c r="B112" s="613" t="s">
        <v>978</v>
      </c>
      <c r="C112" s="734">
        <f t="shared" ref="C112:U112" si="30">IF(C103&lt;&gt;0,C53/C103,1)</f>
        <v>1</v>
      </c>
      <c r="D112" s="734">
        <f t="shared" si="30"/>
        <v>3.2215352518266474</v>
      </c>
      <c r="E112" s="734">
        <f t="shared" si="30"/>
        <v>2.3718285783918027</v>
      </c>
      <c r="F112" s="734">
        <f t="shared" si="30"/>
        <v>1</v>
      </c>
      <c r="G112" s="734">
        <f t="shared" si="30"/>
        <v>2.7873628294168231</v>
      </c>
      <c r="H112" s="734">
        <f t="shared" si="30"/>
        <v>1</v>
      </c>
      <c r="I112" s="734">
        <f t="shared" si="30"/>
        <v>1</v>
      </c>
      <c r="J112" s="734">
        <f t="shared" si="30"/>
        <v>1</v>
      </c>
      <c r="K112" s="734">
        <f t="shared" si="30"/>
        <v>0.39353817761011772</v>
      </c>
      <c r="L112" s="734">
        <f t="shared" si="30"/>
        <v>11.380537371188215</v>
      </c>
      <c r="M112" s="734">
        <f t="shared" si="30"/>
        <v>1</v>
      </c>
      <c r="N112" s="734">
        <f t="shared" si="30"/>
        <v>1</v>
      </c>
      <c r="O112" s="734">
        <f t="shared" si="30"/>
        <v>1</v>
      </c>
      <c r="P112" s="734">
        <f t="shared" si="30"/>
        <v>1</v>
      </c>
      <c r="Q112" s="734">
        <f t="shared" si="30"/>
        <v>0.25490608310286983</v>
      </c>
      <c r="R112" s="734">
        <f t="shared" si="30"/>
        <v>1</v>
      </c>
      <c r="S112" s="734">
        <f t="shared" si="30"/>
        <v>0.93628595907714984</v>
      </c>
      <c r="T112" s="734">
        <f t="shared" si="30"/>
        <v>0.98996511112857111</v>
      </c>
      <c r="U112" s="734">
        <f t="shared" si="30"/>
        <v>0.98668317548753315</v>
      </c>
    </row>
    <row r="113" spans="1:20" hidden="1"/>
    <row r="114" spans="1:20" hidden="1">
      <c r="T114" s="750"/>
    </row>
    <row r="115" spans="1:20" ht="18" hidden="1">
      <c r="B115" s="728" t="s">
        <v>380</v>
      </c>
      <c r="C115" s="729"/>
      <c r="D115" s="708"/>
      <c r="E115" s="729"/>
      <c r="F115" s="708"/>
      <c r="G115" s="708"/>
    </row>
    <row r="116" spans="1:20" hidden="1">
      <c r="B116" s="613" t="s">
        <v>255</v>
      </c>
    </row>
    <row r="117" spans="1:20" hidden="1"/>
    <row r="118" spans="1:20" hidden="1">
      <c r="A118" s="613">
        <f>MATCH(LEFT(B118,3),B$108:B$112,0)</f>
        <v>1</v>
      </c>
      <c r="B118" s="613" t="s">
        <v>961</v>
      </c>
      <c r="C118" s="734">
        <f t="shared" ref="C118:C152" si="31">MAX(0,IF(INDEX(C$49:C$53,$A118)&gt;0,C9*INDEX(C$99:C$103,$A118)/INDEX(C$49:C$53,$A118),0))</f>
        <v>0</v>
      </c>
      <c r="D118" s="734">
        <f t="shared" ref="D118:S118" si="32">IF(INDEX(D$49:D$53,$A118)&gt;0,D9*INDEX(D$99:D$103,$A118)/INDEX(D$49:D$53,$A118),0)</f>
        <v>0.60731201512375077</v>
      </c>
      <c r="E118" s="734">
        <f t="shared" si="32"/>
        <v>0</v>
      </c>
      <c r="F118" s="734">
        <f t="shared" si="32"/>
        <v>0</v>
      </c>
      <c r="G118" s="734">
        <f t="shared" si="32"/>
        <v>0.10121866918729182</v>
      </c>
      <c r="H118" s="734">
        <f t="shared" si="32"/>
        <v>0</v>
      </c>
      <c r="I118" s="734">
        <f t="shared" si="32"/>
        <v>0</v>
      </c>
      <c r="J118" s="734">
        <f t="shared" si="32"/>
        <v>0</v>
      </c>
      <c r="K118" s="734">
        <f t="shared" si="32"/>
        <v>0</v>
      </c>
      <c r="L118" s="734">
        <f t="shared" si="32"/>
        <v>0</v>
      </c>
      <c r="M118" s="734">
        <f t="shared" si="32"/>
        <v>0</v>
      </c>
      <c r="N118" s="734">
        <f t="shared" si="32"/>
        <v>0</v>
      </c>
      <c r="O118" s="734">
        <f t="shared" si="32"/>
        <v>0</v>
      </c>
      <c r="P118" s="734">
        <f t="shared" si="32"/>
        <v>0</v>
      </c>
      <c r="Q118" s="734">
        <f t="shared" si="32"/>
        <v>0</v>
      </c>
      <c r="R118" s="734">
        <f t="shared" si="32"/>
        <v>0</v>
      </c>
      <c r="S118" s="734">
        <f t="shared" si="32"/>
        <v>0</v>
      </c>
      <c r="T118" s="734">
        <f t="shared" ref="T118:T152" si="33">MAX(0.001,SUM(C118:S118))</f>
        <v>0.7085306843110426</v>
      </c>
    </row>
    <row r="119" spans="1:20" hidden="1">
      <c r="A119" s="613">
        <f>MATCH(LEFT(B119,3),B$108:B$112,0)</f>
        <v>1</v>
      </c>
      <c r="B119" s="613" t="s">
        <v>368</v>
      </c>
      <c r="C119" s="734">
        <f t="shared" si="31"/>
        <v>0.1</v>
      </c>
      <c r="D119" s="734">
        <f t="shared" ref="D119:S119" si="34">IF(INDEX(D$49:D$53,$A119)&gt;0,D10*INDEX(D$99:D$103,$A119)/INDEX(D$49:D$53,$A119),0)</f>
        <v>5.0103241247709436</v>
      </c>
      <c r="E119" s="734">
        <f t="shared" si="34"/>
        <v>0</v>
      </c>
      <c r="F119" s="734">
        <f t="shared" si="34"/>
        <v>0</v>
      </c>
      <c r="G119" s="734">
        <f t="shared" si="34"/>
        <v>0.10121866918729182</v>
      </c>
      <c r="H119" s="734">
        <f t="shared" si="34"/>
        <v>0</v>
      </c>
      <c r="I119" s="734">
        <f t="shared" si="34"/>
        <v>0</v>
      </c>
      <c r="J119" s="734">
        <f t="shared" si="34"/>
        <v>0</v>
      </c>
      <c r="K119" s="734">
        <f t="shared" si="34"/>
        <v>0</v>
      </c>
      <c r="L119" s="734">
        <f t="shared" si="34"/>
        <v>0</v>
      </c>
      <c r="M119" s="734">
        <f t="shared" si="34"/>
        <v>0</v>
      </c>
      <c r="N119" s="734">
        <f t="shared" si="34"/>
        <v>0</v>
      </c>
      <c r="O119" s="734">
        <f t="shared" si="34"/>
        <v>0</v>
      </c>
      <c r="P119" s="734">
        <f t="shared" si="34"/>
        <v>0</v>
      </c>
      <c r="Q119" s="734">
        <f t="shared" si="34"/>
        <v>0</v>
      </c>
      <c r="R119" s="734">
        <f t="shared" si="34"/>
        <v>0</v>
      </c>
      <c r="S119" s="734">
        <f t="shared" si="34"/>
        <v>0</v>
      </c>
      <c r="T119" s="734">
        <f t="shared" si="33"/>
        <v>5.2115427939582348</v>
      </c>
    </row>
    <row r="120" spans="1:20" hidden="1">
      <c r="A120" s="613">
        <f>MATCH(LEFT(B120,3),B$108:B$112,0)</f>
        <v>1</v>
      </c>
      <c r="B120" s="613" t="s">
        <v>366</v>
      </c>
      <c r="C120" s="734">
        <f t="shared" si="31"/>
        <v>0.5</v>
      </c>
      <c r="D120" s="734">
        <f t="shared" ref="D120:S120" si="35">IF(INDEX(D$49:D$53,$A120)&gt;0,D11*INDEX(D$99:D$103,$A120)/INDEX(D$49:D$53,$A120),0)</f>
        <v>1.8219360453712521</v>
      </c>
      <c r="E120" s="734">
        <f t="shared" si="35"/>
        <v>0</v>
      </c>
      <c r="F120" s="734">
        <f t="shared" si="35"/>
        <v>0</v>
      </c>
      <c r="G120" s="734">
        <f t="shared" si="35"/>
        <v>0.30365600756187544</v>
      </c>
      <c r="H120" s="734">
        <f t="shared" si="35"/>
        <v>0</v>
      </c>
      <c r="I120" s="734">
        <f t="shared" si="35"/>
        <v>0</v>
      </c>
      <c r="J120" s="734">
        <f t="shared" si="35"/>
        <v>0</v>
      </c>
      <c r="K120" s="734">
        <f t="shared" si="35"/>
        <v>0</v>
      </c>
      <c r="L120" s="734">
        <f t="shared" si="35"/>
        <v>0</v>
      </c>
      <c r="M120" s="734">
        <f t="shared" si="35"/>
        <v>0</v>
      </c>
      <c r="N120" s="734">
        <f t="shared" si="35"/>
        <v>0</v>
      </c>
      <c r="O120" s="734">
        <f t="shared" si="35"/>
        <v>0</v>
      </c>
      <c r="P120" s="734">
        <f t="shared" si="35"/>
        <v>0</v>
      </c>
      <c r="Q120" s="734">
        <f t="shared" si="35"/>
        <v>0</v>
      </c>
      <c r="R120" s="734">
        <f t="shared" si="35"/>
        <v>0</v>
      </c>
      <c r="S120" s="734">
        <f t="shared" si="35"/>
        <v>0</v>
      </c>
      <c r="T120" s="734">
        <f t="shared" si="33"/>
        <v>2.6255920529331274</v>
      </c>
    </row>
    <row r="121" spans="1:20" hidden="1">
      <c r="A121" s="613">
        <f>MATCH(LEFT(B121,3),B$108:B$112,0)</f>
        <v>1</v>
      </c>
      <c r="B121" s="613" t="s">
        <v>410</v>
      </c>
      <c r="C121" s="734">
        <f t="shared" si="31"/>
        <v>0.4</v>
      </c>
      <c r="D121" s="734">
        <f t="shared" ref="D121:S121" si="36">IF(INDEX(D$49:D$53,$A121)&gt;0,D12*INDEX(D$99:D$103,$A121)/INDEX(D$49:D$53,$A121),0)</f>
        <v>0</v>
      </c>
      <c r="E121" s="734">
        <f t="shared" si="36"/>
        <v>0</v>
      </c>
      <c r="F121" s="734">
        <f t="shared" si="36"/>
        <v>0</v>
      </c>
      <c r="G121" s="734">
        <f t="shared" si="36"/>
        <v>0.40487467674916727</v>
      </c>
      <c r="H121" s="734">
        <f t="shared" si="36"/>
        <v>0</v>
      </c>
      <c r="I121" s="734">
        <f t="shared" si="36"/>
        <v>0</v>
      </c>
      <c r="J121" s="734">
        <f t="shared" si="36"/>
        <v>0</v>
      </c>
      <c r="K121" s="734">
        <f t="shared" si="36"/>
        <v>0</v>
      </c>
      <c r="L121" s="734">
        <f t="shared" si="36"/>
        <v>0</v>
      </c>
      <c r="M121" s="734">
        <f t="shared" si="36"/>
        <v>0</v>
      </c>
      <c r="N121" s="734">
        <f t="shared" si="36"/>
        <v>0</v>
      </c>
      <c r="O121" s="734">
        <f t="shared" si="36"/>
        <v>0</v>
      </c>
      <c r="P121" s="734">
        <f t="shared" si="36"/>
        <v>0</v>
      </c>
      <c r="Q121" s="734">
        <f t="shared" si="36"/>
        <v>0</v>
      </c>
      <c r="R121" s="734">
        <f t="shared" si="36"/>
        <v>0</v>
      </c>
      <c r="S121" s="734">
        <f t="shared" si="36"/>
        <v>0</v>
      </c>
      <c r="T121" s="734">
        <f t="shared" si="33"/>
        <v>0.80487467674916724</v>
      </c>
    </row>
    <row r="122" spans="1:20" hidden="1">
      <c r="A122" s="613">
        <v>1</v>
      </c>
      <c r="B122" s="613" t="s">
        <v>1286</v>
      </c>
      <c r="C122" s="734">
        <f t="shared" si="31"/>
        <v>0.5</v>
      </c>
      <c r="D122" s="734">
        <f t="shared" ref="D122:S122" si="37">IF(INDEX(D$49:D$53,$A122)&gt;0,D13*INDEX(D$99:D$103,$A122)/INDEX(D$49:D$53,$A122),0)</f>
        <v>0</v>
      </c>
      <c r="E122" s="734">
        <f t="shared" si="37"/>
        <v>0.31978577274122555</v>
      </c>
      <c r="F122" s="734">
        <f t="shared" si="37"/>
        <v>0</v>
      </c>
      <c r="G122" s="734">
        <f t="shared" si="37"/>
        <v>0</v>
      </c>
      <c r="H122" s="734">
        <f t="shared" si="37"/>
        <v>0</v>
      </c>
      <c r="I122" s="734">
        <f t="shared" si="37"/>
        <v>0</v>
      </c>
      <c r="J122" s="734">
        <f t="shared" si="37"/>
        <v>0</v>
      </c>
      <c r="K122" s="734">
        <f t="shared" si="37"/>
        <v>0</v>
      </c>
      <c r="L122" s="734">
        <f t="shared" si="37"/>
        <v>0</v>
      </c>
      <c r="M122" s="734">
        <f t="shared" si="37"/>
        <v>0</v>
      </c>
      <c r="N122" s="734">
        <f t="shared" si="37"/>
        <v>0</v>
      </c>
      <c r="O122" s="734">
        <f t="shared" si="37"/>
        <v>0</v>
      </c>
      <c r="P122" s="734">
        <f t="shared" si="37"/>
        <v>0</v>
      </c>
      <c r="Q122" s="734">
        <f t="shared" si="37"/>
        <v>0</v>
      </c>
      <c r="R122" s="734">
        <f t="shared" si="37"/>
        <v>0</v>
      </c>
      <c r="S122" s="734">
        <f t="shared" si="37"/>
        <v>0</v>
      </c>
      <c r="T122" s="734">
        <f t="shared" si="33"/>
        <v>0.81978577274122555</v>
      </c>
    </row>
    <row r="123" spans="1:20" hidden="1">
      <c r="A123" s="613">
        <f t="shared" ref="A123:A152" si="38">MATCH(LEFT(B123,3),B$108:B$112,0)</f>
        <v>1</v>
      </c>
      <c r="B123" s="613" t="s">
        <v>962</v>
      </c>
      <c r="C123" s="734">
        <f t="shared" si="31"/>
        <v>0.9</v>
      </c>
      <c r="D123" s="734">
        <f t="shared" ref="D123:S123" si="39">IF(INDEX(D$49:D$53,$A123)&gt;0,D14*INDEX(D$99:D$103,$A123)/INDEX(D$49:D$53,$A123),0)</f>
        <v>0</v>
      </c>
      <c r="E123" s="734">
        <f t="shared" si="39"/>
        <v>7.9946443185306387E-2</v>
      </c>
      <c r="F123" s="734">
        <f t="shared" si="39"/>
        <v>0</v>
      </c>
      <c r="G123" s="734">
        <f t="shared" si="39"/>
        <v>0</v>
      </c>
      <c r="H123" s="734">
        <f t="shared" si="39"/>
        <v>0</v>
      </c>
      <c r="I123" s="734">
        <f t="shared" si="39"/>
        <v>0</v>
      </c>
      <c r="J123" s="734">
        <f t="shared" si="39"/>
        <v>0</v>
      </c>
      <c r="K123" s="734">
        <f t="shared" si="39"/>
        <v>0</v>
      </c>
      <c r="L123" s="734">
        <f t="shared" si="39"/>
        <v>0</v>
      </c>
      <c r="M123" s="734">
        <f t="shared" si="39"/>
        <v>0</v>
      </c>
      <c r="N123" s="734">
        <f t="shared" si="39"/>
        <v>0</v>
      </c>
      <c r="O123" s="734">
        <f t="shared" si="39"/>
        <v>0</v>
      </c>
      <c r="P123" s="734">
        <f t="shared" si="39"/>
        <v>0</v>
      </c>
      <c r="Q123" s="734">
        <f t="shared" si="39"/>
        <v>0</v>
      </c>
      <c r="R123" s="734">
        <f t="shared" si="39"/>
        <v>0</v>
      </c>
      <c r="S123" s="734">
        <f t="shared" si="39"/>
        <v>0</v>
      </c>
      <c r="T123" s="734">
        <f t="shared" si="33"/>
        <v>0.97994644318530644</v>
      </c>
    </row>
    <row r="124" spans="1:20" hidden="1">
      <c r="A124" s="613">
        <f t="shared" si="38"/>
        <v>1</v>
      </c>
      <c r="B124" s="613" t="s">
        <v>963</v>
      </c>
      <c r="C124" s="734">
        <f t="shared" si="31"/>
        <v>0</v>
      </c>
      <c r="D124" s="734">
        <f t="shared" ref="D124:S124" si="40">IF(INDEX(D$49:D$53,$A124)&gt;0,D15*INDEX(D$99:D$103,$A124)/INDEX(D$49:D$53,$A124),0)</f>
        <v>0.60731201512375077</v>
      </c>
      <c r="E124" s="734">
        <f t="shared" si="40"/>
        <v>0.15989288637061277</v>
      </c>
      <c r="F124" s="734">
        <f t="shared" si="40"/>
        <v>0</v>
      </c>
      <c r="G124" s="734">
        <f t="shared" si="40"/>
        <v>0.30365600756187544</v>
      </c>
      <c r="H124" s="734">
        <f t="shared" si="40"/>
        <v>0</v>
      </c>
      <c r="I124" s="734">
        <f t="shared" si="40"/>
        <v>0</v>
      </c>
      <c r="J124" s="734">
        <f t="shared" si="40"/>
        <v>0</v>
      </c>
      <c r="K124" s="734">
        <f t="shared" si="40"/>
        <v>0</v>
      </c>
      <c r="L124" s="734">
        <f t="shared" si="40"/>
        <v>0</v>
      </c>
      <c r="M124" s="734">
        <f t="shared" si="40"/>
        <v>0</v>
      </c>
      <c r="N124" s="734">
        <f t="shared" si="40"/>
        <v>0</v>
      </c>
      <c r="O124" s="734">
        <f t="shared" si="40"/>
        <v>0</v>
      </c>
      <c r="P124" s="734">
        <f t="shared" si="40"/>
        <v>0</v>
      </c>
      <c r="Q124" s="734">
        <f t="shared" si="40"/>
        <v>0</v>
      </c>
      <c r="R124" s="734">
        <f t="shared" si="40"/>
        <v>0</v>
      </c>
      <c r="S124" s="734">
        <f t="shared" si="40"/>
        <v>0.36932618939081974</v>
      </c>
      <c r="T124" s="734">
        <f t="shared" si="33"/>
        <v>1.4401870984470588</v>
      </c>
    </row>
    <row r="125" spans="1:20" hidden="1">
      <c r="A125" s="613">
        <f t="shared" si="38"/>
        <v>2</v>
      </c>
      <c r="B125" s="613" t="s">
        <v>964</v>
      </c>
      <c r="C125" s="734">
        <f t="shared" si="31"/>
        <v>0</v>
      </c>
      <c r="D125" s="734">
        <f t="shared" ref="D125:S125" si="41">IF(INDEX(D$49:D$53,$A125)&gt;0,D16*INDEX(D$99:D$103,$A125)/INDEX(D$49:D$53,$A125),0)</f>
        <v>8.5990841450547029E-2</v>
      </c>
      <c r="E125" s="734">
        <f t="shared" si="41"/>
        <v>0</v>
      </c>
      <c r="F125" s="734">
        <f t="shared" si="41"/>
        <v>0</v>
      </c>
      <c r="G125" s="734">
        <f t="shared" si="41"/>
        <v>0.36307838252750629</v>
      </c>
      <c r="H125" s="734">
        <f t="shared" si="41"/>
        <v>0</v>
      </c>
      <c r="I125" s="734">
        <f t="shared" si="41"/>
        <v>0</v>
      </c>
      <c r="J125" s="734">
        <f t="shared" si="41"/>
        <v>0</v>
      </c>
      <c r="K125" s="734">
        <f t="shared" si="41"/>
        <v>0</v>
      </c>
      <c r="L125" s="734">
        <f t="shared" si="41"/>
        <v>9.8091326771024279E-3</v>
      </c>
      <c r="M125" s="734">
        <f t="shared" si="41"/>
        <v>0</v>
      </c>
      <c r="N125" s="734">
        <f t="shared" si="41"/>
        <v>0</v>
      </c>
      <c r="O125" s="734">
        <f t="shared" si="41"/>
        <v>0</v>
      </c>
      <c r="P125" s="734">
        <f t="shared" si="41"/>
        <v>12.676783278153875</v>
      </c>
      <c r="Q125" s="734">
        <f t="shared" si="41"/>
        <v>0</v>
      </c>
      <c r="R125" s="734">
        <f t="shared" si="41"/>
        <v>0</v>
      </c>
      <c r="S125" s="734">
        <f t="shared" si="41"/>
        <v>0</v>
      </c>
      <c r="T125" s="734">
        <f t="shared" si="33"/>
        <v>13.135661634809031</v>
      </c>
    </row>
    <row r="126" spans="1:20" hidden="1">
      <c r="A126" s="613">
        <f t="shared" si="38"/>
        <v>2</v>
      </c>
      <c r="B126" s="613" t="s">
        <v>965</v>
      </c>
      <c r="C126" s="734">
        <f t="shared" si="31"/>
        <v>0</v>
      </c>
      <c r="D126" s="734">
        <f t="shared" ref="D126:S126" si="42">IF(INDEX(D$49:D$53,$A126)&gt;0,D17*INDEX(D$99:D$103,$A126)/INDEX(D$49:D$53,$A126),0)</f>
        <v>8.5990841450547029E-2</v>
      </c>
      <c r="E126" s="734">
        <f t="shared" si="42"/>
        <v>0</v>
      </c>
      <c r="F126" s="734">
        <f t="shared" si="42"/>
        <v>0</v>
      </c>
      <c r="G126" s="734">
        <f t="shared" si="42"/>
        <v>0.36307838252750629</v>
      </c>
      <c r="H126" s="734">
        <f t="shared" si="42"/>
        <v>0</v>
      </c>
      <c r="I126" s="734">
        <f t="shared" si="42"/>
        <v>0</v>
      </c>
      <c r="J126" s="734">
        <f t="shared" si="42"/>
        <v>0</v>
      </c>
      <c r="K126" s="734">
        <f t="shared" si="42"/>
        <v>0</v>
      </c>
      <c r="L126" s="734">
        <f t="shared" si="42"/>
        <v>7.35684950782682E-3</v>
      </c>
      <c r="M126" s="734">
        <f t="shared" si="42"/>
        <v>0</v>
      </c>
      <c r="N126" s="734">
        <f t="shared" si="42"/>
        <v>0</v>
      </c>
      <c r="O126" s="734">
        <f t="shared" si="42"/>
        <v>0</v>
      </c>
      <c r="P126" s="734">
        <f t="shared" si="42"/>
        <v>10.56398606512823</v>
      </c>
      <c r="Q126" s="734">
        <f t="shared" si="42"/>
        <v>0.77469231144273698</v>
      </c>
      <c r="R126" s="734">
        <f t="shared" si="42"/>
        <v>0</v>
      </c>
      <c r="S126" s="734">
        <f t="shared" si="42"/>
        <v>0</v>
      </c>
      <c r="T126" s="734">
        <f t="shared" si="33"/>
        <v>11.795104450056847</v>
      </c>
    </row>
    <row r="127" spans="1:20" hidden="1">
      <c r="A127" s="613">
        <f t="shared" si="38"/>
        <v>2</v>
      </c>
      <c r="B127" s="613" t="s">
        <v>412</v>
      </c>
      <c r="C127" s="734">
        <f t="shared" si="31"/>
        <v>0</v>
      </c>
      <c r="D127" s="734">
        <f t="shared" ref="D127:S127" si="43">IF(INDEX(D$49:D$53,$A127)&gt;0,D18*INDEX(D$99:D$103,$A127)/INDEX(D$49:D$53,$A127),0)</f>
        <v>0.15478351461098466</v>
      </c>
      <c r="E127" s="734">
        <f t="shared" si="43"/>
        <v>0</v>
      </c>
      <c r="F127" s="734">
        <f t="shared" si="43"/>
        <v>0</v>
      </c>
      <c r="G127" s="734">
        <f t="shared" si="43"/>
        <v>0.50830973553850878</v>
      </c>
      <c r="H127" s="734">
        <f t="shared" si="43"/>
        <v>0</v>
      </c>
      <c r="I127" s="734">
        <f t="shared" si="43"/>
        <v>0</v>
      </c>
      <c r="J127" s="734">
        <f t="shared" si="43"/>
        <v>0</v>
      </c>
      <c r="K127" s="734">
        <f t="shared" si="43"/>
        <v>0</v>
      </c>
      <c r="L127" s="734">
        <f t="shared" si="43"/>
        <v>9.8091326771024279E-3</v>
      </c>
      <c r="M127" s="734">
        <f t="shared" si="43"/>
        <v>0</v>
      </c>
      <c r="N127" s="734">
        <f t="shared" si="43"/>
        <v>0</v>
      </c>
      <c r="O127" s="734">
        <f t="shared" si="43"/>
        <v>0</v>
      </c>
      <c r="P127" s="734">
        <f t="shared" si="43"/>
        <v>0</v>
      </c>
      <c r="Q127" s="734">
        <f t="shared" si="43"/>
        <v>0</v>
      </c>
      <c r="R127" s="734">
        <f t="shared" si="43"/>
        <v>0</v>
      </c>
      <c r="S127" s="734">
        <f t="shared" si="43"/>
        <v>0</v>
      </c>
      <c r="T127" s="734">
        <f t="shared" si="33"/>
        <v>0.67290238282659587</v>
      </c>
    </row>
    <row r="128" spans="1:20" hidden="1">
      <c r="A128" s="613">
        <f t="shared" si="38"/>
        <v>2</v>
      </c>
      <c r="B128" s="613" t="s">
        <v>362</v>
      </c>
      <c r="C128" s="734">
        <f t="shared" si="31"/>
        <v>0.18</v>
      </c>
      <c r="D128" s="734">
        <f t="shared" ref="D128:S128" si="44">IF(INDEX(D$49:D$53,$A128)&gt;0,D19*INDEX(D$99:D$103,$A128)/INDEX(D$49:D$53,$A128),0)</f>
        <v>0.18917985119120348</v>
      </c>
      <c r="E128" s="734">
        <f t="shared" si="44"/>
        <v>0</v>
      </c>
      <c r="F128" s="734">
        <f t="shared" si="44"/>
        <v>0</v>
      </c>
      <c r="G128" s="734">
        <f t="shared" si="44"/>
        <v>0.14523135301100254</v>
      </c>
      <c r="H128" s="734">
        <f t="shared" si="44"/>
        <v>0</v>
      </c>
      <c r="I128" s="734">
        <f t="shared" si="44"/>
        <v>0</v>
      </c>
      <c r="J128" s="734">
        <f t="shared" si="44"/>
        <v>0</v>
      </c>
      <c r="K128" s="734">
        <f t="shared" si="44"/>
        <v>0</v>
      </c>
      <c r="L128" s="734">
        <f t="shared" si="44"/>
        <v>8.3377627755370637E-3</v>
      </c>
      <c r="M128" s="734">
        <f t="shared" si="44"/>
        <v>0</v>
      </c>
      <c r="N128" s="734">
        <f t="shared" si="44"/>
        <v>0</v>
      </c>
      <c r="O128" s="734">
        <f t="shared" si="44"/>
        <v>0</v>
      </c>
      <c r="P128" s="734">
        <f t="shared" si="44"/>
        <v>0</v>
      </c>
      <c r="Q128" s="734">
        <f t="shared" si="44"/>
        <v>0</v>
      </c>
      <c r="R128" s="734">
        <f t="shared" si="44"/>
        <v>0</v>
      </c>
      <c r="S128" s="734">
        <f t="shared" si="44"/>
        <v>0</v>
      </c>
      <c r="T128" s="734">
        <f t="shared" si="33"/>
        <v>0.52274896697774309</v>
      </c>
    </row>
    <row r="129" spans="1:23" hidden="1">
      <c r="A129" s="613">
        <f t="shared" si="38"/>
        <v>2</v>
      </c>
      <c r="B129" s="613" t="s">
        <v>364</v>
      </c>
      <c r="C129" s="734">
        <f t="shared" si="31"/>
        <v>0.25</v>
      </c>
      <c r="D129" s="734">
        <f t="shared" ref="D129:S129" si="45">IF(INDEX(D$49:D$53,$A129)&gt;0,D20*INDEX(D$99:D$103,$A129)/INDEX(D$49:D$53,$A129),0)</f>
        <v>0.13758534632087527</v>
      </c>
      <c r="E129" s="734">
        <f t="shared" si="45"/>
        <v>0</v>
      </c>
      <c r="F129" s="734">
        <f t="shared" si="45"/>
        <v>0</v>
      </c>
      <c r="G129" s="734">
        <f t="shared" si="45"/>
        <v>0.14523135301100254</v>
      </c>
      <c r="H129" s="734">
        <f t="shared" si="45"/>
        <v>0</v>
      </c>
      <c r="I129" s="734">
        <f t="shared" si="45"/>
        <v>0</v>
      </c>
      <c r="J129" s="734">
        <f t="shared" si="45"/>
        <v>0</v>
      </c>
      <c r="K129" s="734">
        <f t="shared" si="45"/>
        <v>0</v>
      </c>
      <c r="L129" s="734">
        <f t="shared" si="45"/>
        <v>1.2261415846378033E-2</v>
      </c>
      <c r="M129" s="734">
        <f t="shared" si="45"/>
        <v>0</v>
      </c>
      <c r="N129" s="734">
        <f t="shared" si="45"/>
        <v>0</v>
      </c>
      <c r="O129" s="734">
        <f t="shared" si="45"/>
        <v>0</v>
      </c>
      <c r="P129" s="734">
        <f t="shared" si="45"/>
        <v>0</v>
      </c>
      <c r="Q129" s="734">
        <f t="shared" si="45"/>
        <v>0</v>
      </c>
      <c r="R129" s="734">
        <f t="shared" si="45"/>
        <v>0</v>
      </c>
      <c r="S129" s="734">
        <f t="shared" si="45"/>
        <v>0</v>
      </c>
      <c r="T129" s="734">
        <f t="shared" si="33"/>
        <v>0.54507811517825588</v>
      </c>
    </row>
    <row r="130" spans="1:23" hidden="1">
      <c r="A130" s="613">
        <f t="shared" si="38"/>
        <v>2</v>
      </c>
      <c r="B130" s="613" t="s">
        <v>966</v>
      </c>
      <c r="C130" s="734">
        <f t="shared" si="31"/>
        <v>0.96</v>
      </c>
      <c r="D130" s="734">
        <f t="shared" ref="D130:S130" si="46">IF(INDEX(D$49:D$53,$A130)&gt;0,D21*INDEX(D$99:D$103,$A130)/INDEX(D$49:D$53,$A130),0)</f>
        <v>0</v>
      </c>
      <c r="E130" s="734">
        <f t="shared" si="46"/>
        <v>6.5164203895409445E-2</v>
      </c>
      <c r="F130" s="734">
        <f t="shared" si="46"/>
        <v>0</v>
      </c>
      <c r="G130" s="734">
        <f t="shared" si="46"/>
        <v>0</v>
      </c>
      <c r="H130" s="734">
        <f t="shared" si="46"/>
        <v>0</v>
      </c>
      <c r="I130" s="734">
        <f t="shared" si="46"/>
        <v>0</v>
      </c>
      <c r="J130" s="734">
        <f t="shared" si="46"/>
        <v>0</v>
      </c>
      <c r="K130" s="734">
        <f t="shared" si="46"/>
        <v>0</v>
      </c>
      <c r="L130" s="734">
        <f t="shared" si="46"/>
        <v>0</v>
      </c>
      <c r="M130" s="734">
        <f t="shared" si="46"/>
        <v>1.578718780408048E-2</v>
      </c>
      <c r="N130" s="734">
        <f t="shared" si="46"/>
        <v>0</v>
      </c>
      <c r="O130" s="734">
        <f t="shared" si="46"/>
        <v>0</v>
      </c>
      <c r="P130" s="734">
        <f t="shared" si="46"/>
        <v>0</v>
      </c>
      <c r="Q130" s="734">
        <f t="shared" si="46"/>
        <v>0</v>
      </c>
      <c r="R130" s="734">
        <f t="shared" si="46"/>
        <v>0</v>
      </c>
      <c r="S130" s="734">
        <f t="shared" si="46"/>
        <v>0</v>
      </c>
      <c r="T130" s="734">
        <f t="shared" si="33"/>
        <v>1.0409513916994899</v>
      </c>
      <c r="W130" s="730"/>
    </row>
    <row r="131" spans="1:23" hidden="1">
      <c r="A131" s="613">
        <f t="shared" si="38"/>
        <v>2</v>
      </c>
      <c r="B131" s="613" t="s">
        <v>967</v>
      </c>
      <c r="C131" s="734">
        <f t="shared" si="31"/>
        <v>0</v>
      </c>
      <c r="D131" s="734">
        <f t="shared" ref="D131:S131" si="47">IF(INDEX(D$49:D$53,$A131)&gt;0,D22*INDEX(D$99:D$103,$A131)/INDEX(D$49:D$53,$A131),0)</f>
        <v>5.1594504870328219E-2</v>
      </c>
      <c r="E131" s="734">
        <f t="shared" si="47"/>
        <v>0.16291050973852364</v>
      </c>
      <c r="F131" s="734">
        <f t="shared" si="47"/>
        <v>0</v>
      </c>
      <c r="G131" s="734">
        <f t="shared" si="47"/>
        <v>0.21784702951650375</v>
      </c>
      <c r="H131" s="734">
        <f t="shared" si="47"/>
        <v>0</v>
      </c>
      <c r="I131" s="734">
        <f t="shared" si="47"/>
        <v>0</v>
      </c>
      <c r="J131" s="734">
        <f t="shared" si="47"/>
        <v>0</v>
      </c>
      <c r="K131" s="734">
        <f t="shared" si="47"/>
        <v>0</v>
      </c>
      <c r="L131" s="734">
        <f t="shared" si="47"/>
        <v>7.35684950782682E-3</v>
      </c>
      <c r="M131" s="734">
        <f t="shared" si="47"/>
        <v>7.8935939020402413E-2</v>
      </c>
      <c r="N131" s="734">
        <f t="shared" si="47"/>
        <v>0</v>
      </c>
      <c r="O131" s="734">
        <f t="shared" si="47"/>
        <v>0</v>
      </c>
      <c r="P131" s="734">
        <f t="shared" si="47"/>
        <v>0.42255944260512918</v>
      </c>
      <c r="Q131" s="734">
        <f t="shared" si="47"/>
        <v>0.46481538686564211</v>
      </c>
      <c r="R131" s="734">
        <f t="shared" si="47"/>
        <v>0</v>
      </c>
      <c r="S131" s="734">
        <f t="shared" si="47"/>
        <v>0.24722901208073861</v>
      </c>
      <c r="T131" s="734">
        <f t="shared" si="33"/>
        <v>1.6532486742050947</v>
      </c>
      <c r="W131" s="730"/>
    </row>
    <row r="132" spans="1:23" hidden="1">
      <c r="A132" s="613">
        <f t="shared" si="38"/>
        <v>3</v>
      </c>
      <c r="B132" s="613" t="s">
        <v>259</v>
      </c>
      <c r="C132" s="734">
        <f t="shared" si="31"/>
        <v>0.8</v>
      </c>
      <c r="D132" s="734">
        <f t="shared" ref="D132:S132" si="48">IF(INDEX(D$49:D$53,$A132)&gt;0,D23*INDEX(D$99:D$103,$A132)/INDEX(D$49:D$53,$A132),0)</f>
        <v>0</v>
      </c>
      <c r="E132" s="734">
        <f t="shared" si="48"/>
        <v>0</v>
      </c>
      <c r="F132" s="734">
        <f t="shared" si="48"/>
        <v>0</v>
      </c>
      <c r="G132" s="734">
        <f t="shared" si="48"/>
        <v>0</v>
      </c>
      <c r="H132" s="734">
        <f t="shared" si="48"/>
        <v>0</v>
      </c>
      <c r="I132" s="734">
        <f t="shared" si="48"/>
        <v>0</v>
      </c>
      <c r="J132" s="734">
        <f t="shared" si="48"/>
        <v>0</v>
      </c>
      <c r="K132" s="734">
        <f t="shared" si="48"/>
        <v>0</v>
      </c>
      <c r="L132" s="734">
        <f t="shared" si="48"/>
        <v>1.4779897002319936E-2</v>
      </c>
      <c r="M132" s="734">
        <f t="shared" si="48"/>
        <v>0</v>
      </c>
      <c r="N132" s="734">
        <f t="shared" si="48"/>
        <v>0</v>
      </c>
      <c r="O132" s="734">
        <f t="shared" si="48"/>
        <v>0</v>
      </c>
      <c r="P132" s="734">
        <f t="shared" si="48"/>
        <v>0</v>
      </c>
      <c r="Q132" s="734">
        <f t="shared" si="48"/>
        <v>0</v>
      </c>
      <c r="R132" s="734">
        <f t="shared" si="48"/>
        <v>0</v>
      </c>
      <c r="S132" s="734">
        <f t="shared" si="48"/>
        <v>0</v>
      </c>
      <c r="T132" s="734">
        <f t="shared" si="33"/>
        <v>0.81477989700232001</v>
      </c>
      <c r="W132" s="730"/>
    </row>
    <row r="133" spans="1:23" hidden="1">
      <c r="A133" s="613">
        <f t="shared" si="38"/>
        <v>3</v>
      </c>
      <c r="B133" s="613" t="s">
        <v>370</v>
      </c>
      <c r="C133" s="734">
        <f t="shared" si="31"/>
        <v>0.55000000000000004</v>
      </c>
      <c r="D133" s="734">
        <f t="shared" ref="D133:S133" si="49">IF(INDEX(D$49:D$53,$A133)&gt;0,D24*INDEX(D$99:D$103,$A133)/INDEX(D$49:D$53,$A133),0)</f>
        <v>0</v>
      </c>
      <c r="E133" s="734">
        <f t="shared" si="49"/>
        <v>0</v>
      </c>
      <c r="F133" s="734">
        <f t="shared" si="49"/>
        <v>0</v>
      </c>
      <c r="G133" s="734">
        <f t="shared" si="49"/>
        <v>0</v>
      </c>
      <c r="H133" s="734">
        <f t="shared" si="49"/>
        <v>0</v>
      </c>
      <c r="I133" s="734">
        <f t="shared" si="49"/>
        <v>0</v>
      </c>
      <c r="J133" s="734">
        <f t="shared" si="49"/>
        <v>0</v>
      </c>
      <c r="K133" s="734">
        <f t="shared" si="49"/>
        <v>0</v>
      </c>
      <c r="L133" s="734">
        <f t="shared" si="49"/>
        <v>7.389948501159968E-2</v>
      </c>
      <c r="M133" s="734">
        <f t="shared" si="49"/>
        <v>0</v>
      </c>
      <c r="N133" s="734">
        <f t="shared" si="49"/>
        <v>0</v>
      </c>
      <c r="O133" s="734">
        <f t="shared" si="49"/>
        <v>0</v>
      </c>
      <c r="P133" s="734">
        <f t="shared" si="49"/>
        <v>0</v>
      </c>
      <c r="Q133" s="734">
        <f t="shared" si="49"/>
        <v>0</v>
      </c>
      <c r="R133" s="734">
        <f t="shared" si="49"/>
        <v>0</v>
      </c>
      <c r="S133" s="734">
        <f t="shared" si="49"/>
        <v>0</v>
      </c>
      <c r="T133" s="734">
        <f t="shared" si="33"/>
        <v>0.62389948501159975</v>
      </c>
      <c r="W133" s="730"/>
    </row>
    <row r="134" spans="1:23" hidden="1">
      <c r="A134" s="613">
        <f t="shared" si="38"/>
        <v>3</v>
      </c>
      <c r="B134" s="613" t="s">
        <v>417</v>
      </c>
      <c r="C134" s="734">
        <f t="shared" si="31"/>
        <v>0.9</v>
      </c>
      <c r="D134" s="734">
        <f t="shared" ref="D134:S134" si="50">IF(INDEX(D$49:D$53,$A134)&gt;0,D25*INDEX(D$99:D$103,$A134)/INDEX(D$49:D$53,$A134),0)</f>
        <v>0</v>
      </c>
      <c r="E134" s="734">
        <f t="shared" si="50"/>
        <v>0</v>
      </c>
      <c r="F134" s="734">
        <f t="shared" si="50"/>
        <v>0</v>
      </c>
      <c r="G134" s="734">
        <f t="shared" si="50"/>
        <v>0</v>
      </c>
      <c r="H134" s="734">
        <f t="shared" si="50"/>
        <v>0</v>
      </c>
      <c r="I134" s="734">
        <f t="shared" si="50"/>
        <v>0</v>
      </c>
      <c r="J134" s="734">
        <f t="shared" si="50"/>
        <v>0</v>
      </c>
      <c r="K134" s="734">
        <f t="shared" si="50"/>
        <v>0</v>
      </c>
      <c r="L134" s="734">
        <f t="shared" si="50"/>
        <v>1.847487125289992E-2</v>
      </c>
      <c r="M134" s="734">
        <f t="shared" si="50"/>
        <v>0</v>
      </c>
      <c r="N134" s="734">
        <f t="shared" si="50"/>
        <v>0</v>
      </c>
      <c r="O134" s="734">
        <f t="shared" si="50"/>
        <v>0</v>
      </c>
      <c r="P134" s="734">
        <f t="shared" si="50"/>
        <v>0</v>
      </c>
      <c r="Q134" s="734">
        <f t="shared" si="50"/>
        <v>0</v>
      </c>
      <c r="R134" s="734">
        <f t="shared" si="50"/>
        <v>0</v>
      </c>
      <c r="S134" s="734">
        <f t="shared" si="50"/>
        <v>0</v>
      </c>
      <c r="T134" s="734">
        <f t="shared" si="33"/>
        <v>0.91847487125289995</v>
      </c>
      <c r="W134" s="730"/>
    </row>
    <row r="135" spans="1:23" hidden="1">
      <c r="A135" s="613">
        <f t="shared" si="38"/>
        <v>3</v>
      </c>
      <c r="B135" s="613" t="s">
        <v>418</v>
      </c>
      <c r="C135" s="734">
        <f t="shared" si="31"/>
        <v>0.3</v>
      </c>
      <c r="D135" s="734">
        <f t="shared" ref="D135:S135" si="51">IF(INDEX(D$49:D$53,$A135)&gt;0,D26*INDEX(D$99:D$103,$A135)/INDEX(D$49:D$53,$A135),0)</f>
        <v>0</v>
      </c>
      <c r="E135" s="734">
        <f t="shared" si="51"/>
        <v>0.10207106759041004</v>
      </c>
      <c r="F135" s="734">
        <f t="shared" si="51"/>
        <v>0</v>
      </c>
      <c r="G135" s="734">
        <f t="shared" si="51"/>
        <v>0</v>
      </c>
      <c r="H135" s="734">
        <f t="shared" si="51"/>
        <v>0</v>
      </c>
      <c r="I135" s="734">
        <f t="shared" si="51"/>
        <v>0</v>
      </c>
      <c r="J135" s="734">
        <f t="shared" si="51"/>
        <v>0</v>
      </c>
      <c r="K135" s="734">
        <f t="shared" si="51"/>
        <v>0</v>
      </c>
      <c r="L135" s="734">
        <f t="shared" si="51"/>
        <v>9.2374356264499594E-2</v>
      </c>
      <c r="M135" s="734">
        <f t="shared" si="51"/>
        <v>0</v>
      </c>
      <c r="N135" s="734">
        <f t="shared" si="51"/>
        <v>0</v>
      </c>
      <c r="O135" s="734">
        <f t="shared" si="51"/>
        <v>0</v>
      </c>
      <c r="P135" s="734">
        <f t="shared" si="51"/>
        <v>0</v>
      </c>
      <c r="Q135" s="734">
        <f t="shared" si="51"/>
        <v>0</v>
      </c>
      <c r="R135" s="734">
        <f t="shared" si="51"/>
        <v>0</v>
      </c>
      <c r="S135" s="734">
        <f t="shared" si="51"/>
        <v>0</v>
      </c>
      <c r="T135" s="734">
        <f t="shared" si="33"/>
        <v>0.49444542385490958</v>
      </c>
      <c r="W135" s="730"/>
    </row>
    <row r="136" spans="1:23" hidden="1">
      <c r="A136" s="613">
        <f t="shared" si="38"/>
        <v>3</v>
      </c>
      <c r="B136" s="613" t="s">
        <v>968</v>
      </c>
      <c r="C136" s="734">
        <f t="shared" si="31"/>
        <v>0.97</v>
      </c>
      <c r="D136" s="734">
        <f t="shared" ref="D136:S136" si="52">IF(INDEX(D$49:D$53,$A136)&gt;0,D27*INDEX(D$99:D$103,$A136)/INDEX(D$49:D$53,$A136),0)</f>
        <v>0</v>
      </c>
      <c r="E136" s="734">
        <f t="shared" si="52"/>
        <v>6.1242640554246011E-2</v>
      </c>
      <c r="F136" s="734">
        <f t="shared" si="52"/>
        <v>0</v>
      </c>
      <c r="G136" s="734">
        <f t="shared" si="52"/>
        <v>0</v>
      </c>
      <c r="H136" s="734">
        <f t="shared" si="52"/>
        <v>0</v>
      </c>
      <c r="I136" s="734">
        <f t="shared" si="52"/>
        <v>0</v>
      </c>
      <c r="J136" s="734">
        <f t="shared" si="52"/>
        <v>0</v>
      </c>
      <c r="K136" s="734">
        <f t="shared" si="52"/>
        <v>0</v>
      </c>
      <c r="L136" s="734">
        <f t="shared" si="52"/>
        <v>0</v>
      </c>
      <c r="M136" s="734">
        <f t="shared" si="52"/>
        <v>0</v>
      </c>
      <c r="N136" s="734">
        <f t="shared" si="52"/>
        <v>0</v>
      </c>
      <c r="O136" s="734">
        <f t="shared" si="52"/>
        <v>0</v>
      </c>
      <c r="P136" s="734">
        <f t="shared" si="52"/>
        <v>0</v>
      </c>
      <c r="Q136" s="734">
        <f t="shared" si="52"/>
        <v>0</v>
      </c>
      <c r="R136" s="734">
        <f t="shared" si="52"/>
        <v>0</v>
      </c>
      <c r="S136" s="734">
        <f t="shared" si="52"/>
        <v>0</v>
      </c>
      <c r="T136" s="734">
        <f t="shared" si="33"/>
        <v>1.0312426405542461</v>
      </c>
      <c r="W136" s="730"/>
    </row>
    <row r="137" spans="1:23" hidden="1">
      <c r="A137" s="613">
        <f t="shared" si="38"/>
        <v>3</v>
      </c>
      <c r="B137" s="613" t="s">
        <v>969</v>
      </c>
      <c r="C137" s="734">
        <f t="shared" si="31"/>
        <v>0</v>
      </c>
      <c r="D137" s="734">
        <f t="shared" ref="D137:S137" si="53">IF(INDEX(D$49:D$53,$A137)&gt;0,D28*INDEX(D$99:D$103,$A137)/INDEX(D$49:D$53,$A137),0)</f>
        <v>0</v>
      </c>
      <c r="E137" s="734">
        <f t="shared" si="53"/>
        <v>0.10207106759041004</v>
      </c>
      <c r="F137" s="734">
        <f t="shared" si="53"/>
        <v>0</v>
      </c>
      <c r="G137" s="734">
        <f t="shared" si="53"/>
        <v>0</v>
      </c>
      <c r="H137" s="734">
        <f t="shared" si="53"/>
        <v>0</v>
      </c>
      <c r="I137" s="734">
        <f t="shared" si="53"/>
        <v>0</v>
      </c>
      <c r="J137" s="734">
        <f t="shared" si="53"/>
        <v>0</v>
      </c>
      <c r="K137" s="734">
        <f t="shared" si="53"/>
        <v>0</v>
      </c>
      <c r="L137" s="734">
        <f t="shared" si="53"/>
        <v>4.4339691006959808E-2</v>
      </c>
      <c r="M137" s="734">
        <f t="shared" si="53"/>
        <v>0</v>
      </c>
      <c r="N137" s="734">
        <f t="shared" si="53"/>
        <v>0</v>
      </c>
      <c r="O137" s="734">
        <f t="shared" si="53"/>
        <v>0</v>
      </c>
      <c r="P137" s="734">
        <f t="shared" si="53"/>
        <v>0</v>
      </c>
      <c r="Q137" s="734">
        <f t="shared" si="53"/>
        <v>0</v>
      </c>
      <c r="R137" s="734">
        <f t="shared" si="53"/>
        <v>0</v>
      </c>
      <c r="S137" s="734">
        <f t="shared" si="53"/>
        <v>1.0839764978436122</v>
      </c>
      <c r="T137" s="734">
        <f t="shared" si="33"/>
        <v>1.2303872564409821</v>
      </c>
    </row>
    <row r="138" spans="1:23" hidden="1">
      <c r="A138" s="613">
        <f t="shared" si="38"/>
        <v>4</v>
      </c>
      <c r="B138" s="613" t="s">
        <v>360</v>
      </c>
      <c r="C138" s="734">
        <f t="shared" si="31"/>
        <v>0.1</v>
      </c>
      <c r="D138" s="734">
        <f t="shared" ref="D138:S138" si="54">IF(INDEX(D$49:D$53,$A138)&gt;0,D29*INDEX(D$99:D$103,$A138)/INDEX(D$49:D$53,$A138),0)</f>
        <v>4.1399688553070531E-2</v>
      </c>
      <c r="E138" s="734">
        <f t="shared" si="54"/>
        <v>1.3698466170000188</v>
      </c>
      <c r="F138" s="734">
        <f t="shared" si="54"/>
        <v>0</v>
      </c>
      <c r="G138" s="734">
        <f t="shared" si="54"/>
        <v>0</v>
      </c>
      <c r="H138" s="734">
        <f t="shared" si="54"/>
        <v>0</v>
      </c>
      <c r="I138" s="734">
        <f t="shared" si="54"/>
        <v>0</v>
      </c>
      <c r="J138" s="734">
        <f t="shared" si="54"/>
        <v>0</v>
      </c>
      <c r="K138" s="734">
        <f t="shared" si="54"/>
        <v>0</v>
      </c>
      <c r="L138" s="734">
        <f t="shared" si="54"/>
        <v>1.7780484040205956E-2</v>
      </c>
      <c r="M138" s="734">
        <f t="shared" si="54"/>
        <v>3.3727007526052869E-3</v>
      </c>
      <c r="N138" s="734">
        <f t="shared" si="54"/>
        <v>0</v>
      </c>
      <c r="O138" s="734">
        <f t="shared" si="54"/>
        <v>23.168073602245563</v>
      </c>
      <c r="P138" s="734">
        <f t="shared" si="54"/>
        <v>0</v>
      </c>
      <c r="Q138" s="734">
        <f t="shared" si="54"/>
        <v>0</v>
      </c>
      <c r="R138" s="734">
        <f t="shared" si="54"/>
        <v>0</v>
      </c>
      <c r="S138" s="734">
        <f t="shared" si="54"/>
        <v>0</v>
      </c>
      <c r="T138" s="734">
        <f t="shared" si="33"/>
        <v>24.700473092591466</v>
      </c>
    </row>
    <row r="139" spans="1:23" hidden="1">
      <c r="A139" s="613">
        <f t="shared" si="38"/>
        <v>4</v>
      </c>
      <c r="B139" s="613" t="s">
        <v>972</v>
      </c>
      <c r="C139" s="734">
        <f t="shared" si="31"/>
        <v>0.1</v>
      </c>
      <c r="D139" s="734">
        <f t="shared" ref="D139:S139" si="55">IF(INDEX(D$49:D$53,$A139)&gt;0,D30*INDEX(D$99:D$103,$A139)/INDEX(D$49:D$53,$A139),0)</f>
        <v>3.10497664148029E-2</v>
      </c>
      <c r="E139" s="734">
        <f t="shared" si="55"/>
        <v>1.3698466170000188</v>
      </c>
      <c r="F139" s="734">
        <f t="shared" si="55"/>
        <v>0</v>
      </c>
      <c r="G139" s="734">
        <f t="shared" si="55"/>
        <v>0</v>
      </c>
      <c r="H139" s="734">
        <f t="shared" si="55"/>
        <v>0</v>
      </c>
      <c r="I139" s="734">
        <f t="shared" si="55"/>
        <v>0</v>
      </c>
      <c r="J139" s="734">
        <f t="shared" si="55"/>
        <v>0</v>
      </c>
      <c r="K139" s="734">
        <f t="shared" si="55"/>
        <v>0</v>
      </c>
      <c r="L139" s="734">
        <f t="shared" si="55"/>
        <v>1.7780484040205956E-2</v>
      </c>
      <c r="M139" s="734">
        <f t="shared" si="55"/>
        <v>3.3727007526052869E-3</v>
      </c>
      <c r="N139" s="734">
        <f t="shared" si="55"/>
        <v>0</v>
      </c>
      <c r="O139" s="734">
        <f t="shared" si="55"/>
        <v>23.168073602245563</v>
      </c>
      <c r="P139" s="734">
        <f t="shared" si="55"/>
        <v>0</v>
      </c>
      <c r="Q139" s="734">
        <f t="shared" si="55"/>
        <v>0</v>
      </c>
      <c r="R139" s="734">
        <f t="shared" si="55"/>
        <v>0</v>
      </c>
      <c r="S139" s="734">
        <f t="shared" si="55"/>
        <v>0</v>
      </c>
      <c r="T139" s="734">
        <f t="shared" si="33"/>
        <v>24.690123170453198</v>
      </c>
    </row>
    <row r="140" spans="1:23" hidden="1">
      <c r="A140" s="613">
        <f t="shared" si="38"/>
        <v>4</v>
      </c>
      <c r="B140" s="613" t="s">
        <v>358</v>
      </c>
      <c r="C140" s="734">
        <f t="shared" si="31"/>
        <v>0.1</v>
      </c>
      <c r="D140" s="734">
        <f t="shared" ref="D140:S140" si="56">IF(INDEX(D$49:D$53,$A140)&gt;0,D31*INDEX(D$99:D$103,$A140)/INDEX(D$49:D$53,$A140),0)</f>
        <v>0.15524883207401452</v>
      </c>
      <c r="E140" s="734">
        <f t="shared" si="56"/>
        <v>0</v>
      </c>
      <c r="F140" s="734">
        <f t="shared" si="56"/>
        <v>0</v>
      </c>
      <c r="G140" s="734">
        <f t="shared" si="56"/>
        <v>0</v>
      </c>
      <c r="H140" s="734">
        <f t="shared" si="56"/>
        <v>0</v>
      </c>
      <c r="I140" s="734">
        <f t="shared" si="56"/>
        <v>0</v>
      </c>
      <c r="J140" s="734">
        <f t="shared" si="56"/>
        <v>0</v>
      </c>
      <c r="K140" s="734">
        <f t="shared" si="56"/>
        <v>0</v>
      </c>
      <c r="L140" s="734">
        <f t="shared" si="56"/>
        <v>0</v>
      </c>
      <c r="M140" s="734">
        <f t="shared" si="56"/>
        <v>0</v>
      </c>
      <c r="N140" s="734">
        <f t="shared" si="56"/>
        <v>0</v>
      </c>
      <c r="O140" s="734">
        <f t="shared" si="56"/>
        <v>4.6336147204491125</v>
      </c>
      <c r="P140" s="734">
        <f t="shared" si="56"/>
        <v>0</v>
      </c>
      <c r="Q140" s="734">
        <f t="shared" si="56"/>
        <v>0</v>
      </c>
      <c r="R140" s="734">
        <f t="shared" si="56"/>
        <v>0</v>
      </c>
      <c r="S140" s="734">
        <f t="shared" si="56"/>
        <v>0</v>
      </c>
      <c r="T140" s="734">
        <f t="shared" si="33"/>
        <v>4.8888635525231265</v>
      </c>
    </row>
    <row r="141" spans="1:23" hidden="1">
      <c r="A141" s="613">
        <f t="shared" si="38"/>
        <v>4</v>
      </c>
      <c r="B141" s="613" t="s">
        <v>540</v>
      </c>
      <c r="C141" s="734">
        <f t="shared" si="31"/>
        <v>1</v>
      </c>
      <c r="D141" s="734">
        <f t="shared" ref="D141:S141" si="57">IF(INDEX(D$49:D$53,$A141)&gt;0,D32*INDEX(D$99:D$103,$A141)/INDEX(D$49:D$53,$A141),0)</f>
        <v>0</v>
      </c>
      <c r="E141" s="734">
        <f t="shared" si="57"/>
        <v>0</v>
      </c>
      <c r="F141" s="734">
        <f t="shared" si="57"/>
        <v>0</v>
      </c>
      <c r="G141" s="734">
        <f t="shared" si="57"/>
        <v>0</v>
      </c>
      <c r="H141" s="734">
        <f t="shared" si="57"/>
        <v>0</v>
      </c>
      <c r="I141" s="734">
        <f t="shared" si="57"/>
        <v>0</v>
      </c>
      <c r="J141" s="734">
        <f t="shared" si="57"/>
        <v>0</v>
      </c>
      <c r="K141" s="734">
        <f t="shared" si="57"/>
        <v>0</v>
      </c>
      <c r="L141" s="734">
        <f t="shared" si="57"/>
        <v>0</v>
      </c>
      <c r="M141" s="734">
        <f t="shared" si="57"/>
        <v>0</v>
      </c>
      <c r="N141" s="734">
        <f t="shared" si="57"/>
        <v>0</v>
      </c>
      <c r="O141" s="734">
        <f t="shared" si="57"/>
        <v>0</v>
      </c>
      <c r="P141" s="734">
        <f t="shared" si="57"/>
        <v>0</v>
      </c>
      <c r="Q141" s="734">
        <f t="shared" si="57"/>
        <v>0</v>
      </c>
      <c r="R141" s="734">
        <f t="shared" si="57"/>
        <v>0</v>
      </c>
      <c r="S141" s="734">
        <f t="shared" si="57"/>
        <v>0</v>
      </c>
      <c r="T141" s="734">
        <f t="shared" si="33"/>
        <v>1</v>
      </c>
    </row>
    <row r="142" spans="1:23" hidden="1">
      <c r="A142" s="613">
        <f t="shared" si="38"/>
        <v>4</v>
      </c>
      <c r="B142" s="613" t="s">
        <v>354</v>
      </c>
      <c r="C142" s="734">
        <f t="shared" si="31"/>
        <v>0.1</v>
      </c>
      <c r="D142" s="734">
        <f t="shared" ref="D142:S142" si="58">IF(INDEX(D$49:D$53,$A142)&gt;0,D33*INDEX(D$99:D$103,$A142)/INDEX(D$49:D$53,$A142),0)</f>
        <v>0.17594867635054975</v>
      </c>
      <c r="E142" s="734">
        <f t="shared" si="58"/>
        <v>0</v>
      </c>
      <c r="F142" s="734">
        <f t="shared" si="58"/>
        <v>0</v>
      </c>
      <c r="G142" s="734">
        <f t="shared" si="58"/>
        <v>0</v>
      </c>
      <c r="H142" s="734">
        <f t="shared" si="58"/>
        <v>0</v>
      </c>
      <c r="I142" s="734">
        <f t="shared" si="58"/>
        <v>0</v>
      </c>
      <c r="J142" s="734">
        <f t="shared" si="58"/>
        <v>0</v>
      </c>
      <c r="K142" s="734">
        <f t="shared" si="58"/>
        <v>0</v>
      </c>
      <c r="L142" s="734">
        <f t="shared" si="58"/>
        <v>0</v>
      </c>
      <c r="M142" s="734">
        <f t="shared" si="58"/>
        <v>0</v>
      </c>
      <c r="N142" s="734">
        <f t="shared" si="58"/>
        <v>0</v>
      </c>
      <c r="O142" s="734">
        <f t="shared" si="58"/>
        <v>0</v>
      </c>
      <c r="P142" s="734">
        <f t="shared" si="58"/>
        <v>0</v>
      </c>
      <c r="Q142" s="734">
        <f t="shared" si="58"/>
        <v>0</v>
      </c>
      <c r="R142" s="734">
        <f t="shared" si="58"/>
        <v>0</v>
      </c>
      <c r="S142" s="734">
        <f t="shared" si="58"/>
        <v>0</v>
      </c>
      <c r="T142" s="734">
        <f t="shared" si="33"/>
        <v>0.27594867635054976</v>
      </c>
    </row>
    <row r="143" spans="1:23" hidden="1">
      <c r="A143" s="613">
        <f t="shared" si="38"/>
        <v>4</v>
      </c>
      <c r="B143" s="613" t="s">
        <v>535</v>
      </c>
      <c r="C143" s="734">
        <f t="shared" si="31"/>
        <v>0.4</v>
      </c>
      <c r="D143" s="734">
        <f t="shared" ref="D143:S143" si="59">IF(INDEX(D$49:D$53,$A143)&gt;0,D34*INDEX(D$99:D$103,$A143)/INDEX(D$49:D$53,$A143),0)</f>
        <v>5.1749610691338169E-2</v>
      </c>
      <c r="E143" s="734">
        <f t="shared" si="59"/>
        <v>1.3698466170000188</v>
      </c>
      <c r="F143" s="734">
        <f t="shared" si="59"/>
        <v>0</v>
      </c>
      <c r="G143" s="734">
        <f t="shared" si="59"/>
        <v>0</v>
      </c>
      <c r="H143" s="734">
        <f t="shared" si="59"/>
        <v>0</v>
      </c>
      <c r="I143" s="734">
        <f t="shared" si="59"/>
        <v>0</v>
      </c>
      <c r="J143" s="734">
        <f t="shared" si="59"/>
        <v>0</v>
      </c>
      <c r="K143" s="734">
        <f t="shared" si="59"/>
        <v>0</v>
      </c>
      <c r="L143" s="734">
        <f t="shared" si="59"/>
        <v>4.9785355312576683E-2</v>
      </c>
      <c r="M143" s="734">
        <f t="shared" si="59"/>
        <v>3.3727007526052869E-3</v>
      </c>
      <c r="N143" s="734">
        <f t="shared" si="59"/>
        <v>0</v>
      </c>
      <c r="O143" s="734">
        <f t="shared" si="59"/>
        <v>0.46336147204491124</v>
      </c>
      <c r="P143" s="734">
        <f t="shared" si="59"/>
        <v>0</v>
      </c>
      <c r="Q143" s="734">
        <f t="shared" si="59"/>
        <v>0</v>
      </c>
      <c r="R143" s="734">
        <f t="shared" si="59"/>
        <v>0</v>
      </c>
      <c r="S143" s="734">
        <f t="shared" si="59"/>
        <v>0</v>
      </c>
      <c r="T143" s="734">
        <f t="shared" si="33"/>
        <v>2.33811575580145</v>
      </c>
    </row>
    <row r="144" spans="1:23" hidden="1">
      <c r="A144" s="613">
        <f t="shared" si="38"/>
        <v>4</v>
      </c>
      <c r="B144" s="613" t="s">
        <v>973</v>
      </c>
      <c r="C144" s="734">
        <f t="shared" si="31"/>
        <v>0.96</v>
      </c>
      <c r="D144" s="734">
        <f t="shared" ref="D144:S144" si="60">IF(INDEX(D$49:D$53,$A144)&gt;0,D35*INDEX(D$99:D$103,$A144)/INDEX(D$49:D$53,$A144),0)</f>
        <v>0</v>
      </c>
      <c r="E144" s="734">
        <f t="shared" si="60"/>
        <v>0.54793864680000748</v>
      </c>
      <c r="F144" s="734">
        <f t="shared" si="60"/>
        <v>0</v>
      </c>
      <c r="G144" s="734">
        <f t="shared" si="60"/>
        <v>0</v>
      </c>
      <c r="H144" s="734">
        <f t="shared" si="60"/>
        <v>0</v>
      </c>
      <c r="I144" s="734">
        <f t="shared" si="60"/>
        <v>0</v>
      </c>
      <c r="J144" s="734">
        <f t="shared" si="60"/>
        <v>0</v>
      </c>
      <c r="K144" s="734">
        <f t="shared" si="60"/>
        <v>0</v>
      </c>
      <c r="L144" s="734">
        <f t="shared" si="60"/>
        <v>0</v>
      </c>
      <c r="M144" s="734">
        <f t="shared" si="60"/>
        <v>6.7454015052105726E-4</v>
      </c>
      <c r="N144" s="734">
        <f t="shared" si="60"/>
        <v>0</v>
      </c>
      <c r="O144" s="734">
        <f t="shared" si="60"/>
        <v>0.46336147204491124</v>
      </c>
      <c r="P144" s="734">
        <f t="shared" si="60"/>
        <v>0</v>
      </c>
      <c r="Q144" s="734">
        <f t="shared" si="60"/>
        <v>0</v>
      </c>
      <c r="R144" s="734">
        <f t="shared" si="60"/>
        <v>0</v>
      </c>
      <c r="S144" s="734">
        <f t="shared" si="60"/>
        <v>0</v>
      </c>
      <c r="T144" s="734">
        <f t="shared" si="33"/>
        <v>1.9719746589954399</v>
      </c>
    </row>
    <row r="145" spans="1:20" hidden="1">
      <c r="A145" s="613">
        <f t="shared" si="38"/>
        <v>4</v>
      </c>
      <c r="B145" s="613" t="s">
        <v>974</v>
      </c>
      <c r="C145" s="734">
        <f t="shared" si="31"/>
        <v>0</v>
      </c>
      <c r="D145" s="734">
        <f t="shared" ref="D145:S145" si="61">IF(INDEX(D$49:D$53,$A145)&gt;0,D36*INDEX(D$99:D$103,$A145)/INDEX(D$49:D$53,$A145),0)</f>
        <v>8.2799377106141062E-2</v>
      </c>
      <c r="E145" s="734">
        <f t="shared" si="61"/>
        <v>0</v>
      </c>
      <c r="F145" s="734">
        <f t="shared" si="61"/>
        <v>0</v>
      </c>
      <c r="G145" s="734">
        <f t="shared" si="61"/>
        <v>0</v>
      </c>
      <c r="H145" s="734">
        <f t="shared" si="61"/>
        <v>0</v>
      </c>
      <c r="I145" s="734">
        <f t="shared" si="61"/>
        <v>0</v>
      </c>
      <c r="J145" s="734">
        <f t="shared" si="61"/>
        <v>0</v>
      </c>
      <c r="K145" s="734">
        <f t="shared" si="61"/>
        <v>0</v>
      </c>
      <c r="L145" s="734">
        <f t="shared" si="61"/>
        <v>3.5560968080411912E-2</v>
      </c>
      <c r="M145" s="734">
        <f t="shared" si="61"/>
        <v>2.0236204515631717E-3</v>
      </c>
      <c r="N145" s="734">
        <f t="shared" si="61"/>
        <v>0</v>
      </c>
      <c r="O145" s="734">
        <f t="shared" si="61"/>
        <v>0</v>
      </c>
      <c r="P145" s="734">
        <f t="shared" si="61"/>
        <v>0</v>
      </c>
      <c r="Q145" s="734">
        <f t="shared" si="61"/>
        <v>1.4151360534541821E-2</v>
      </c>
      <c r="R145" s="734">
        <f t="shared" si="61"/>
        <v>0</v>
      </c>
      <c r="S145" s="734">
        <f t="shared" si="61"/>
        <v>0.25634529354238977</v>
      </c>
      <c r="T145" s="734">
        <f t="shared" si="33"/>
        <v>0.39088061971504773</v>
      </c>
    </row>
    <row r="146" spans="1:20" hidden="1">
      <c r="A146" s="613">
        <f t="shared" si="38"/>
        <v>5</v>
      </c>
      <c r="B146" s="613" t="s">
        <v>341</v>
      </c>
      <c r="C146" s="734">
        <f t="shared" si="31"/>
        <v>0</v>
      </c>
      <c r="D146" s="734">
        <f t="shared" ref="D146:S146" si="62">IF(INDEX(D$49:D$53,$A146)&gt;0,D37*INDEX(D$99:D$103,$A146)/INDEX(D$49:D$53,$A146),0)</f>
        <v>0.12416440260065305</v>
      </c>
      <c r="E146" s="734">
        <f t="shared" si="62"/>
        <v>0.1054039074651467</v>
      </c>
      <c r="F146" s="734">
        <f t="shared" si="62"/>
        <v>0</v>
      </c>
      <c r="G146" s="734">
        <f t="shared" si="62"/>
        <v>0</v>
      </c>
      <c r="H146" s="734">
        <f t="shared" si="62"/>
        <v>0</v>
      </c>
      <c r="I146" s="734">
        <f t="shared" si="62"/>
        <v>0</v>
      </c>
      <c r="J146" s="734">
        <f t="shared" si="62"/>
        <v>0</v>
      </c>
      <c r="K146" s="734">
        <f t="shared" si="62"/>
        <v>0</v>
      </c>
      <c r="L146" s="734">
        <f t="shared" si="62"/>
        <v>0</v>
      </c>
      <c r="M146" s="734">
        <f t="shared" si="62"/>
        <v>0</v>
      </c>
      <c r="N146" s="734">
        <f t="shared" si="62"/>
        <v>0</v>
      </c>
      <c r="O146" s="734">
        <f t="shared" si="62"/>
        <v>0</v>
      </c>
      <c r="P146" s="734">
        <f t="shared" si="62"/>
        <v>0</v>
      </c>
      <c r="Q146" s="734">
        <f t="shared" si="62"/>
        <v>0</v>
      </c>
      <c r="R146" s="734">
        <f t="shared" si="62"/>
        <v>0</v>
      </c>
      <c r="S146" s="734">
        <f t="shared" si="62"/>
        <v>0</v>
      </c>
      <c r="T146" s="734">
        <f t="shared" si="33"/>
        <v>0.22956831006579975</v>
      </c>
    </row>
    <row r="147" spans="1:20" hidden="1">
      <c r="A147" s="613">
        <f t="shared" si="38"/>
        <v>5</v>
      </c>
      <c r="B147" s="613" t="s">
        <v>342</v>
      </c>
      <c r="C147" s="734">
        <f t="shared" si="31"/>
        <v>1</v>
      </c>
      <c r="D147" s="734">
        <f t="shared" ref="D147:S147" si="63">IF(INDEX(D$49:D$53,$A147)&gt;0,D38*INDEX(D$99:D$103,$A147)/INDEX(D$49:D$53,$A147),0)</f>
        <v>0</v>
      </c>
      <c r="E147" s="734">
        <f t="shared" si="63"/>
        <v>0</v>
      </c>
      <c r="F147" s="734">
        <f t="shared" si="63"/>
        <v>0</v>
      </c>
      <c r="G147" s="734">
        <f t="shared" si="63"/>
        <v>0</v>
      </c>
      <c r="H147" s="734">
        <f t="shared" si="63"/>
        <v>0</v>
      </c>
      <c r="I147" s="734">
        <f t="shared" si="63"/>
        <v>0</v>
      </c>
      <c r="J147" s="734">
        <f t="shared" si="63"/>
        <v>0</v>
      </c>
      <c r="K147" s="734">
        <f t="shared" si="63"/>
        <v>0</v>
      </c>
      <c r="L147" s="734">
        <f t="shared" si="63"/>
        <v>0</v>
      </c>
      <c r="M147" s="734">
        <f t="shared" si="63"/>
        <v>0</v>
      </c>
      <c r="N147" s="734">
        <f t="shared" si="63"/>
        <v>0</v>
      </c>
      <c r="O147" s="734">
        <f t="shared" si="63"/>
        <v>0</v>
      </c>
      <c r="P147" s="734">
        <f t="shared" si="63"/>
        <v>0</v>
      </c>
      <c r="Q147" s="734">
        <f t="shared" si="63"/>
        <v>0</v>
      </c>
      <c r="R147" s="734">
        <f t="shared" si="63"/>
        <v>0</v>
      </c>
      <c r="S147" s="734">
        <f t="shared" si="63"/>
        <v>0</v>
      </c>
      <c r="T147" s="734">
        <f t="shared" si="33"/>
        <v>1</v>
      </c>
    </row>
    <row r="148" spans="1:20" hidden="1">
      <c r="A148" s="613">
        <f t="shared" si="38"/>
        <v>5</v>
      </c>
      <c r="B148" s="613" t="s">
        <v>343</v>
      </c>
      <c r="C148" s="734">
        <f t="shared" si="31"/>
        <v>0</v>
      </c>
      <c r="D148" s="734">
        <f t="shared" ref="D148:S148" si="64">IF(INDEX(D$49:D$53,$A148)&gt;0,D39*INDEX(D$99:D$103,$A148)/INDEX(D$49:D$53,$A148),0)</f>
        <v>0.12416440260065305</v>
      </c>
      <c r="E148" s="734">
        <f t="shared" si="64"/>
        <v>0</v>
      </c>
      <c r="F148" s="734">
        <f t="shared" si="64"/>
        <v>0</v>
      </c>
      <c r="G148" s="734">
        <f t="shared" si="64"/>
        <v>1.7938102450214953E-2</v>
      </c>
      <c r="H148" s="734">
        <f t="shared" si="64"/>
        <v>0</v>
      </c>
      <c r="I148" s="734">
        <f t="shared" si="64"/>
        <v>0</v>
      </c>
      <c r="J148" s="734">
        <f t="shared" si="64"/>
        <v>0</v>
      </c>
      <c r="K148" s="734">
        <f t="shared" si="64"/>
        <v>0</v>
      </c>
      <c r="L148" s="734">
        <f t="shared" si="64"/>
        <v>4.3934656483430728E-2</v>
      </c>
      <c r="M148" s="734">
        <f t="shared" si="64"/>
        <v>0</v>
      </c>
      <c r="N148" s="734">
        <f t="shared" si="64"/>
        <v>0</v>
      </c>
      <c r="O148" s="734">
        <f t="shared" si="64"/>
        <v>0</v>
      </c>
      <c r="P148" s="734">
        <f t="shared" si="64"/>
        <v>0</v>
      </c>
      <c r="Q148" s="734">
        <f t="shared" si="64"/>
        <v>0.19615067397125244</v>
      </c>
      <c r="R148" s="734">
        <f t="shared" si="64"/>
        <v>0</v>
      </c>
      <c r="S148" s="734">
        <f t="shared" si="64"/>
        <v>0</v>
      </c>
      <c r="T148" s="734">
        <f t="shared" si="33"/>
        <v>0.38218783550555113</v>
      </c>
    </row>
    <row r="149" spans="1:20" hidden="1">
      <c r="A149" s="613">
        <f t="shared" si="38"/>
        <v>5</v>
      </c>
      <c r="B149" s="613" t="s">
        <v>344</v>
      </c>
      <c r="C149" s="734">
        <f t="shared" si="31"/>
        <v>0</v>
      </c>
      <c r="D149" s="734">
        <f t="shared" ref="D149:S149" si="65">IF(INDEX(D$49:D$53,$A149)&gt;0,D40*INDEX(D$99:D$103,$A149)/INDEX(D$49:D$53,$A149),0)</f>
        <v>0.15520550325081631</v>
      </c>
      <c r="E149" s="734">
        <f t="shared" si="65"/>
        <v>8.4323125972117358E-2</v>
      </c>
      <c r="F149" s="734">
        <f t="shared" si="65"/>
        <v>0</v>
      </c>
      <c r="G149" s="734">
        <f t="shared" si="65"/>
        <v>0</v>
      </c>
      <c r="H149" s="734">
        <f t="shared" si="65"/>
        <v>0</v>
      </c>
      <c r="I149" s="734">
        <f t="shared" si="65"/>
        <v>0</v>
      </c>
      <c r="J149" s="734">
        <f t="shared" si="65"/>
        <v>0</v>
      </c>
      <c r="K149" s="734">
        <f t="shared" si="65"/>
        <v>0</v>
      </c>
      <c r="L149" s="734">
        <f t="shared" si="65"/>
        <v>0</v>
      </c>
      <c r="M149" s="734">
        <f t="shared" si="65"/>
        <v>0</v>
      </c>
      <c r="N149" s="734">
        <f t="shared" si="65"/>
        <v>0</v>
      </c>
      <c r="O149" s="734">
        <f t="shared" si="65"/>
        <v>0</v>
      </c>
      <c r="P149" s="734">
        <f t="shared" si="65"/>
        <v>0</v>
      </c>
      <c r="Q149" s="734">
        <f t="shared" si="65"/>
        <v>0</v>
      </c>
      <c r="R149" s="734">
        <f t="shared" si="65"/>
        <v>0</v>
      </c>
      <c r="S149" s="734">
        <f t="shared" si="65"/>
        <v>0</v>
      </c>
      <c r="T149" s="734">
        <f t="shared" si="33"/>
        <v>0.23952862922293366</v>
      </c>
    </row>
    <row r="150" spans="1:20" hidden="1">
      <c r="A150" s="613">
        <f t="shared" si="38"/>
        <v>5</v>
      </c>
      <c r="B150" s="613" t="s">
        <v>345</v>
      </c>
      <c r="C150" s="734">
        <f t="shared" si="31"/>
        <v>0.12</v>
      </c>
      <c r="D150" s="734">
        <f t="shared" ref="D150:S150" si="66">IF(INDEX(D$49:D$53,$A150)&gt;0,D41*INDEX(D$99:D$103,$A150)/INDEX(D$49:D$53,$A150),0)</f>
        <v>0.10553974221055508</v>
      </c>
      <c r="E150" s="734">
        <f t="shared" si="66"/>
        <v>2.1080781493029339E-2</v>
      </c>
      <c r="F150" s="734">
        <f t="shared" si="66"/>
        <v>0</v>
      </c>
      <c r="G150" s="734">
        <f t="shared" si="66"/>
        <v>1.0762861470128973E-2</v>
      </c>
      <c r="H150" s="734">
        <f t="shared" si="66"/>
        <v>0</v>
      </c>
      <c r="I150" s="734">
        <f t="shared" si="66"/>
        <v>0</v>
      </c>
      <c r="J150" s="734">
        <f t="shared" si="66"/>
        <v>0</v>
      </c>
      <c r="K150" s="734">
        <f t="shared" si="66"/>
        <v>0</v>
      </c>
      <c r="L150" s="734">
        <f t="shared" si="66"/>
        <v>1.933124885270952E-2</v>
      </c>
      <c r="M150" s="734">
        <f t="shared" si="66"/>
        <v>0</v>
      </c>
      <c r="N150" s="734">
        <f t="shared" si="66"/>
        <v>0</v>
      </c>
      <c r="O150" s="734">
        <f t="shared" si="66"/>
        <v>0</v>
      </c>
      <c r="P150" s="734">
        <f t="shared" si="66"/>
        <v>0</v>
      </c>
      <c r="Q150" s="734">
        <f t="shared" si="66"/>
        <v>3.9230134794250485E-2</v>
      </c>
      <c r="R150" s="734">
        <f t="shared" si="66"/>
        <v>0</v>
      </c>
      <c r="S150" s="734">
        <f t="shared" si="66"/>
        <v>0</v>
      </c>
      <c r="T150" s="734">
        <f t="shared" si="33"/>
        <v>0.31594476882067335</v>
      </c>
    </row>
    <row r="151" spans="1:20" hidden="1">
      <c r="A151" s="613">
        <f t="shared" si="38"/>
        <v>5</v>
      </c>
      <c r="B151" s="613" t="s">
        <v>970</v>
      </c>
      <c r="C151" s="734">
        <f t="shared" si="31"/>
        <v>1</v>
      </c>
      <c r="D151" s="734">
        <f t="shared" ref="D151:S151" si="67">IF(INDEX(D$49:D$53,$A151)&gt;0,D42*INDEX(D$99:D$103,$A151)/INDEX(D$49:D$53,$A151),0)</f>
        <v>0</v>
      </c>
      <c r="E151" s="734">
        <f t="shared" si="67"/>
        <v>0</v>
      </c>
      <c r="F151" s="734">
        <f t="shared" si="67"/>
        <v>0</v>
      </c>
      <c r="G151" s="734">
        <f t="shared" si="67"/>
        <v>0</v>
      </c>
      <c r="H151" s="734">
        <f t="shared" si="67"/>
        <v>0</v>
      </c>
      <c r="I151" s="734">
        <f t="shared" si="67"/>
        <v>0</v>
      </c>
      <c r="J151" s="734">
        <f t="shared" si="67"/>
        <v>0</v>
      </c>
      <c r="K151" s="734">
        <f t="shared" si="67"/>
        <v>0</v>
      </c>
      <c r="L151" s="734">
        <f t="shared" si="67"/>
        <v>0</v>
      </c>
      <c r="M151" s="734">
        <f t="shared" si="67"/>
        <v>0</v>
      </c>
      <c r="N151" s="734">
        <f t="shared" si="67"/>
        <v>0</v>
      </c>
      <c r="O151" s="734">
        <f t="shared" si="67"/>
        <v>0</v>
      </c>
      <c r="P151" s="734">
        <f t="shared" si="67"/>
        <v>0</v>
      </c>
      <c r="Q151" s="734">
        <f t="shared" si="67"/>
        <v>0</v>
      </c>
      <c r="R151" s="734">
        <f t="shared" si="67"/>
        <v>0</v>
      </c>
      <c r="S151" s="734">
        <f t="shared" si="67"/>
        <v>0</v>
      </c>
      <c r="T151" s="734">
        <f t="shared" si="33"/>
        <v>1</v>
      </c>
    </row>
    <row r="152" spans="1:20" hidden="1">
      <c r="A152" s="613">
        <f t="shared" si="38"/>
        <v>5</v>
      </c>
      <c r="B152" s="613" t="s">
        <v>971</v>
      </c>
      <c r="C152" s="734">
        <f t="shared" si="31"/>
        <v>0</v>
      </c>
      <c r="D152" s="734">
        <f t="shared" ref="D152:S152" si="68">IF(INDEX(D$49:D$53,$A152)&gt;0,D43*INDEX(D$99:D$103,$A152)/INDEX(D$49:D$53,$A152),0)</f>
        <v>5.8978091235310191E-2</v>
      </c>
      <c r="E152" s="734">
        <f t="shared" si="68"/>
        <v>4.2161562986058679E-3</v>
      </c>
      <c r="F152" s="734">
        <f t="shared" si="68"/>
        <v>0</v>
      </c>
      <c r="G152" s="734">
        <f t="shared" si="68"/>
        <v>2.0808198842249347E-2</v>
      </c>
      <c r="H152" s="734">
        <f t="shared" si="68"/>
        <v>0</v>
      </c>
      <c r="I152" s="734">
        <f t="shared" si="68"/>
        <v>0</v>
      </c>
      <c r="J152" s="734">
        <f t="shared" si="68"/>
        <v>0</v>
      </c>
      <c r="K152" s="734">
        <f t="shared" si="68"/>
        <v>7.6231485804463192E-2</v>
      </c>
      <c r="L152" s="734">
        <f t="shared" si="68"/>
        <v>7.0295450373489173E-3</v>
      </c>
      <c r="M152" s="734">
        <f t="shared" si="68"/>
        <v>0</v>
      </c>
      <c r="N152" s="734">
        <f t="shared" si="68"/>
        <v>0</v>
      </c>
      <c r="O152" s="734">
        <f t="shared" si="68"/>
        <v>0</v>
      </c>
      <c r="P152" s="734">
        <f t="shared" si="68"/>
        <v>0</v>
      </c>
      <c r="Q152" s="734">
        <f t="shared" si="68"/>
        <v>1.8045862005355222</v>
      </c>
      <c r="R152" s="734">
        <f t="shared" si="68"/>
        <v>0</v>
      </c>
      <c r="S152" s="734">
        <f t="shared" si="68"/>
        <v>0.12816597198389901</v>
      </c>
      <c r="T152" s="734">
        <f t="shared" si="33"/>
        <v>2.100015649737399</v>
      </c>
    </row>
    <row r="153" spans="1:20" hidden="1"/>
    <row r="154" spans="1:20" hidden="1"/>
    <row r="155" spans="1:20" hidden="1">
      <c r="B155" s="612" t="s">
        <v>256</v>
      </c>
    </row>
    <row r="156" spans="1:20" hidden="1">
      <c r="C156" s="613" t="s">
        <v>905</v>
      </c>
      <c r="D156" s="613" t="s">
        <v>906</v>
      </c>
      <c r="E156" s="613" t="s">
        <v>907</v>
      </c>
      <c r="F156" s="613" t="s">
        <v>908</v>
      </c>
      <c r="G156" s="613" t="s">
        <v>909</v>
      </c>
      <c r="H156" s="613" t="s">
        <v>910</v>
      </c>
      <c r="I156" s="613" t="s">
        <v>911</v>
      </c>
      <c r="J156" s="613" t="s">
        <v>912</v>
      </c>
      <c r="K156" s="613" t="s">
        <v>1150</v>
      </c>
      <c r="L156" s="613" t="s">
        <v>913</v>
      </c>
      <c r="M156" s="613" t="s">
        <v>826</v>
      </c>
      <c r="N156" s="613" t="s">
        <v>914</v>
      </c>
      <c r="O156" s="613" t="s">
        <v>915</v>
      </c>
      <c r="P156" s="613" t="s">
        <v>916</v>
      </c>
      <c r="Q156" s="613" t="s">
        <v>917</v>
      </c>
      <c r="R156" s="613" t="s">
        <v>950</v>
      </c>
      <c r="S156" s="613" t="s">
        <v>946</v>
      </c>
      <c r="T156" s="613" t="s">
        <v>888</v>
      </c>
    </row>
    <row r="157" spans="1:20" hidden="1">
      <c r="A157" s="613">
        <v>1</v>
      </c>
      <c r="B157" s="613" t="s">
        <v>568</v>
      </c>
      <c r="C157" s="634">
        <f t="array" aca="1" ref="C157" ca="1">SUM(IF($A$118:$A$152=$A157,C$118:C$152/$T$118:$T$152*Driver22!$R$58:$R$92))</f>
        <v>2.5193413840175781E-2</v>
      </c>
      <c r="D157" s="634">
        <f t="array" aca="1" ref="D157" ca="1">SUM(IF($A$118:$A$152=$A157,D$118:D$152/$T$118:$T$152*Driver22!$R$58:$R$85))</f>
        <v>2.7774169094509768E-3</v>
      </c>
      <c r="E157" s="634">
        <f t="array" aca="1" ref="E157" ca="1">SUM(IF($A$118:$A$152=$A157,E$118:E$152/$T$118:$T$152*Driver22!$R$58:$R$85))</f>
        <v>7.6971936722679025E-3</v>
      </c>
      <c r="F157" s="634">
        <f t="array" aca="1" ref="F157" ca="1">SUM(IF($A$118:$A$152=$A157,F$118:F$152/$T$118:$T$152*Driver22!$R$58:$R$85))</f>
        <v>0</v>
      </c>
      <c r="G157" s="634">
        <f t="array" aca="1" ref="G157" ca="1">SUM(IF($A$118:$A$152=$A157,G$118:G$152/$T$118:$T$152*Driver22!$R$58:$R$85))</f>
        <v>1.3887084547254886E-3</v>
      </c>
      <c r="H157" s="634">
        <f t="array" aca="1" ref="H157" ca="1">SUM(IF($A$118:$A$152=$A157,H$118:H$152/$T$118:$T$152*Driver22!$R$58:$R$85))</f>
        <v>0</v>
      </c>
      <c r="I157" s="634">
        <f t="array" aca="1" ref="I157" ca="1">SUM(IF($A$118:$A$152=$A157,I$118:I$152/$T$118:$T$152*Driver22!$R$58:$R$85))</f>
        <v>0</v>
      </c>
      <c r="J157" s="634">
        <f t="array" aca="1" ref="J157" ca="1">SUM(IF($A$118:$A$152=$A157,J$118:J$152/$T$118:$T$152*Driver22!$R$58:$R$85))</f>
        <v>0</v>
      </c>
      <c r="K157" s="634">
        <f t="array" aca="1" ref="K157" ca="1">SUM(IF($A$118:$A$152=$A157,K$118:K$152/$T$118:$T$152*Driver22!$R$58:$R$85))</f>
        <v>0</v>
      </c>
      <c r="L157" s="634">
        <f t="array" aca="1" ref="L157" ca="1">SUM(IF($A$118:$A$152=$A157,L$118:L$152/$T$118:$T$152*Driver22!$R$58:$R$85))</f>
        <v>0</v>
      </c>
      <c r="M157" s="634">
        <f t="array" aca="1" ref="M157" ca="1">SUM(IF($A$118:$A$152=$A157,M$118:M$152/$T$118:$T$152*Driver22!$R$58:$R$85))</f>
        <v>0</v>
      </c>
      <c r="N157" s="634">
        <f t="array" aca="1" ref="N157" ca="1">SUM(IF($A$118:$A$152=$A157,N$118:N$152/$T$118:$T$152*Driver22!$R$58:$R$85))</f>
        <v>0</v>
      </c>
      <c r="O157" s="634">
        <f t="array" aca="1" ref="O157" ca="1">SUM(IF($A$118:$A$152=$A157,O$118:O$152/$T$118:$T$152*Driver22!$R$58:$R$85))</f>
        <v>0</v>
      </c>
      <c r="P157" s="634">
        <f t="array" aca="1" ref="P157" ca="1">SUM(IF($A$118:$A$152=$A157,P$118:P$152/$T$118:$T$152*Driver22!$R$58:$R$85))</f>
        <v>0</v>
      </c>
      <c r="Q157" s="634">
        <f t="array" aca="1" ref="Q157" ca="1">SUM(IF($A$118:$A$152=$A157,Q$118:Q$152/$T$118:$T$152*Driver22!$R$58:$R$85))</f>
        <v>0</v>
      </c>
      <c r="R157" s="634">
        <f t="array" aca="1" ref="R157" ca="1">SUM(IF($A$118:$A$152=$A157,R$118:R$152/$T$118:$T$152*Driver22!$R$58:$R$85))</f>
        <v>0</v>
      </c>
      <c r="S157" s="634">
        <f t="array" aca="1" ref="S157" ca="1">SUM(IF($A$118:$A$152=$A157,S$118:S$152/$T$118:$T$152*Driver22!$R$58:$R$85))</f>
        <v>1.6890375589031232E-3</v>
      </c>
      <c r="T157" s="634">
        <f>SUM(C157:S157)</f>
        <v>3.8745770435523276E-2</v>
      </c>
    </row>
    <row r="158" spans="1:20" hidden="1">
      <c r="A158" s="613">
        <v>2</v>
      </c>
      <c r="B158" s="613" t="s">
        <v>879</v>
      </c>
      <c r="C158" s="630">
        <f t="array" aca="1" ref="C158" ca="1">SUM(IF($A$118:$A$152=$A158,C$118:C$152/$T$118:$T$152*Driver22!$R$58:$R$85))</f>
        <v>0.11819781237193096</v>
      </c>
      <c r="D158" s="630">
        <f t="array" aca="1" ref="D158" ca="1">SUM(IF($A$118:$A$152=$A158,D$118:D$152/$T$118:$T$152*Driver22!$R$58:$R$85))</f>
        <v>4.7530483261844295E-2</v>
      </c>
      <c r="E158" s="630">
        <f t="array" aca="1" ref="E158" ca="1">SUM(IF($A$118:$A$152=$A158,E$118:E$152/$T$118:$T$152*Driver22!$R$58:$R$85))</f>
        <v>1.4276077819811519E-2</v>
      </c>
      <c r="F158" s="630">
        <f t="array" aca="1" ref="F158" ca="1">SUM(IF($A$118:$A$152=$A158,F$118:F$152/$T$118:$T$152*Driver22!$R$58:$R$85))</f>
        <v>0</v>
      </c>
      <c r="G158" s="630">
        <f t="array" aca="1" ref="G158" ca="1">SUM(IF($A$118:$A$152=$A158,G$118:G$152/$T$118:$T$152*Driver22!$R$58:$R$85))</f>
        <v>6.1865720372290919E-2</v>
      </c>
      <c r="H158" s="630">
        <f t="array" aca="1" ref="H158" ca="1">SUM(IF($A$118:$A$152=$A158,H$118:H$152/$T$118:$T$152*Driver22!$R$58:$R$85))</f>
        <v>0</v>
      </c>
      <c r="I158" s="630">
        <f t="array" aca="1" ref="I158" ca="1">SUM(IF($A$118:$A$152=$A158,I$118:I$152/$T$118:$T$152*Driver22!$R$58:$R$85))</f>
        <v>0</v>
      </c>
      <c r="J158" s="630">
        <f t="array" aca="1" ref="J158" ca="1">SUM(IF($A$118:$A$152=$A158,J$118:J$152/$T$118:$T$152*Driver22!$R$58:$R$85))</f>
        <v>0</v>
      </c>
      <c r="K158" s="630">
        <f t="array" aca="1" ref="K158" ca="1">SUM(IF($A$118:$A$152=$A158,K$118:K$152/$T$118:$T$152*Driver22!$R$58:$R$85))</f>
        <v>0</v>
      </c>
      <c r="L158" s="630">
        <f t="array" aca="1" ref="L158" ca="1">SUM(IF($A$118:$A$152=$A158,L$118:L$152/$T$118:$T$152*Driver22!$R$58:$R$85))</f>
        <v>4.4333055073294096E-3</v>
      </c>
      <c r="M158" s="630">
        <f t="array" aca="1" ref="M158" ca="1">SUM(IF($A$118:$A$152=$A158,M$118:M$152/$T$118:$T$152*Driver22!$R$58:$R$85))</f>
        <v>6.2834409416996024E-3</v>
      </c>
      <c r="N158" s="630">
        <f t="array" aca="1" ref="N158" ca="1">SUM(IF($A$118:$A$152=$A158,N$118:N$152/$T$118:$T$152*Driver22!$R$58:$R$85))</f>
        <v>0</v>
      </c>
      <c r="O158" s="630">
        <f t="array" aca="1" ref="O158" ca="1">SUM(IF($A$118:$A$152=$A158,O$118:O$152/$T$118:$T$152*Driver22!$R$58:$R$85))</f>
        <v>0</v>
      </c>
      <c r="P158" s="630">
        <f t="array" aca="1" ref="P158" ca="1">SUM(IF($A$118:$A$152=$A158,P$118:P$152/$T$118:$T$152*Driver22!$R$58:$R$85))</f>
        <v>3.024348410503986E-2</v>
      </c>
      <c r="Q158" s="630">
        <f t="array" aca="1" ref="Q158" ca="1">SUM(IF($A$118:$A$152=$A158,Q$118:Q$152/$T$118:$T$152*Driver22!$R$58:$R$85))</f>
        <v>3.3267832515543848E-2</v>
      </c>
      <c r="R158" s="630">
        <f t="array" aca="1" ref="R158" ca="1">SUM(IF($A$118:$A$152=$A158,R$118:R$152/$T$118:$T$152*Driver22!$R$58:$R$85))</f>
        <v>0</v>
      </c>
      <c r="S158" s="630">
        <f t="array" aca="1" ref="S158" ca="1">SUM(IF($A$118:$A$152=$A158,S$118:S$152/$T$118:$T$152*Driver22!$R$58:$R$85))</f>
        <v>1.7694709769284812E-2</v>
      </c>
      <c r="T158" s="630">
        <f>SUM(C158:S158)</f>
        <v>0.3337928666647752</v>
      </c>
    </row>
    <row r="159" spans="1:20" hidden="1">
      <c r="A159" s="613">
        <v>3</v>
      </c>
      <c r="B159" s="613" t="s">
        <v>880</v>
      </c>
      <c r="C159" s="630">
        <f t="array" aca="1" ref="C159" ca="1">SUM(IF($A$118:$A$152=$A159,C$118:C$152/$T$118:$T$152*Driver22!$R$58:$R$85))</f>
        <v>2.4494206408507274E-2</v>
      </c>
      <c r="D159" s="630">
        <f t="array" aca="1" ref="D159" ca="1">SUM(IF($A$118:$A$152=$A159,D$118:D$152/$T$118:$T$152*Driver22!$R$58:$R$85))</f>
        <v>0</v>
      </c>
      <c r="E159" s="630">
        <f t="array" aca="1" ref="E159" ca="1">SUM(IF($A$118:$A$152=$A159,E$118:E$152/$T$118:$T$152*Driver22!$R$58:$R$85))</f>
        <v>3.3893609582962498E-3</v>
      </c>
      <c r="F159" s="630">
        <f t="array" aca="1" ref="F159" ca="1">SUM(IF($A$118:$A$152=$A159,F$118:F$152/$T$118:$T$152*Driver22!$R$58:$R$85))</f>
        <v>0</v>
      </c>
      <c r="G159" s="630">
        <f t="array" aca="1" ref="G159" ca="1">SUM(IF($A$118:$A$152=$A159,G$118:G$152/$T$118:$T$152*Driver22!$R$58:$R$85))</f>
        <v>0</v>
      </c>
      <c r="H159" s="630">
        <f t="array" aca="1" ref="H159" ca="1">SUM(IF($A$118:$A$152=$A159,H$118:H$152/$T$118:$T$152*Driver22!$R$58:$R$85))</f>
        <v>0</v>
      </c>
      <c r="I159" s="630">
        <f t="array" aca="1" ref="I159" ca="1">SUM(IF($A$118:$A$152=$A159,I$118:I$152/$T$118:$T$152*Driver22!$R$58:$R$85))</f>
        <v>0</v>
      </c>
      <c r="J159" s="630">
        <f t="array" aca="1" ref="J159" ca="1">SUM(IF($A$118:$A$152=$A159,J$118:J$152/$T$118:$T$152*Driver22!$R$58:$R$85))</f>
        <v>0</v>
      </c>
      <c r="K159" s="630">
        <f t="array" aca="1" ref="K159" ca="1">SUM(IF($A$118:$A$152=$A159,K$118:K$152/$T$118:$T$152*Driver22!$R$58:$R$85))</f>
        <v>0</v>
      </c>
      <c r="L159" s="630">
        <f t="array" aca="1" ref="L159" ca="1">SUM(IF($A$118:$A$152=$A159,L$118:L$152/$T$118:$T$152*Driver22!$R$58:$R$85))</f>
        <v>1.4805049978080672E-3</v>
      </c>
      <c r="M159" s="630">
        <f t="array" aca="1" ref="M159" ca="1">SUM(IF($A$118:$A$152=$A159,M$118:M$152/$T$118:$T$152*Driver22!$R$58:$R$85))</f>
        <v>0</v>
      </c>
      <c r="N159" s="630">
        <f t="array" aca="1" ref="N159" ca="1">SUM(IF($A$118:$A$152=$A159,N$118:N$152/$T$118:$T$152*Driver22!$R$58:$R$85))</f>
        <v>0</v>
      </c>
      <c r="O159" s="630">
        <f t="array" aca="1" ref="O159" ca="1">SUM(IF($A$118:$A$152=$A159,O$118:O$152/$T$118:$T$152*Driver22!$R$58:$R$85))</f>
        <v>0</v>
      </c>
      <c r="P159" s="630">
        <f t="array" aca="1" ref="P159" ca="1">SUM(IF($A$118:$A$152=$A159,P$118:P$152/$T$118:$T$152*Driver22!$R$58:$R$85))</f>
        <v>0</v>
      </c>
      <c r="Q159" s="630">
        <f t="array" aca="1" ref="Q159" ca="1">SUM(IF($A$118:$A$152=$A159,Q$118:Q$152/$T$118:$T$152*Driver22!$R$58:$R$85))</f>
        <v>0</v>
      </c>
      <c r="R159" s="630">
        <f t="array" aca="1" ref="R159" ca="1">SUM(IF($A$118:$A$152=$A159,R$118:R$152/$T$118:$T$152*Driver22!$R$58:$R$85))</f>
        <v>0</v>
      </c>
      <c r="S159" s="630">
        <f t="array" aca="1" ref="S159" ca="1">SUM(IF($A$118:$A$152=$A159,S$118:S$152/$T$118:$T$152*Driver22!$R$58:$R$85))</f>
        <v>8.9016730434414507E-3</v>
      </c>
      <c r="T159" s="630">
        <f>SUM(C159:S159)</f>
        <v>3.826574540805304E-2</v>
      </c>
    </row>
    <row r="160" spans="1:20" hidden="1">
      <c r="A160" s="613">
        <v>4</v>
      </c>
      <c r="B160" s="613" t="s">
        <v>787</v>
      </c>
      <c r="C160" s="630">
        <f t="array" aca="1" ref="C160" ca="1">SUM(IF($A$118:$A$152=$A160,C$118:C$152/$T$118:$T$152*Driver22!$R$58:$R$85))</f>
        <v>0.12654537589844644</v>
      </c>
      <c r="D160" s="630">
        <f t="array" aca="1" ref="D160" ca="1">SUM(IF($A$118:$A$152=$A160,D$118:D$152/$T$118:$T$152*Driver22!$R$58:$R$85))</f>
        <v>0.20140965592947163</v>
      </c>
      <c r="E160" s="630">
        <f t="array" aca="1" ref="E160" ca="1">SUM(IF($A$118:$A$152=$A160,E$118:E$152/$T$118:$T$152*Driver22!$R$58:$R$85))</f>
        <v>0.22258743427476449</v>
      </c>
      <c r="F160" s="630">
        <f t="array" aca="1" ref="F160" ca="1">SUM(IF($A$118:$A$152=$A160,F$118:F$152/$T$118:$T$152*Driver22!$R$58:$R$85))</f>
        <v>0</v>
      </c>
      <c r="G160" s="630">
        <f t="array" aca="1" ref="G160" ca="1">SUM(IF($A$118:$A$152=$A160,G$118:G$152/$T$118:$T$152*Driver22!$R$58:$R$85))</f>
        <v>0</v>
      </c>
      <c r="H160" s="630">
        <f t="array" aca="1" ref="H160" ca="1">SUM(IF($A$118:$A$152=$A160,H$118:H$152/$T$118:$T$152*Driver22!$R$58:$R$85))</f>
        <v>0</v>
      </c>
      <c r="I160" s="630">
        <f t="array" aca="1" ref="I160" ca="1">SUM(IF($A$118:$A$152=$A160,I$118:I$152/$T$118:$T$152*Driver22!$R$58:$R$85))</f>
        <v>0</v>
      </c>
      <c r="J160" s="630">
        <f t="array" aca="1" ref="J160" ca="1">SUM(IF($A$118:$A$152=$A160,J$118:J$152/$T$118:$T$152*Driver22!$R$58:$R$85))</f>
        <v>0</v>
      </c>
      <c r="K160" s="630">
        <f t="array" aca="1" ref="K160" ca="1">SUM(IF($A$118:$A$152=$A160,K$118:K$152/$T$118:$T$152*Driver22!$R$58:$R$85))</f>
        <v>0</v>
      </c>
      <c r="L160" s="630">
        <f t="array" aca="1" ref="L160" ca="1">SUM(IF($A$118:$A$152=$A160,L$118:L$152/$T$118:$T$152*Driver22!$R$58:$R$85))</f>
        <v>9.0132194984453337E-2</v>
      </c>
      <c r="M160" s="630">
        <f t="array" aca="1" ref="M160" ca="1">SUM(IF($A$118:$A$152=$A160,M$118:M$152/$T$118:$T$152*Driver22!$R$58:$R$85))</f>
        <v>5.2520072370860786E-3</v>
      </c>
      <c r="N160" s="630">
        <f t="array" aca="1" ref="N160" ca="1">SUM(IF($A$118:$A$152=$A160,N$118:N$152/$T$118:$T$152*Driver22!$R$58:$R$85))</f>
        <v>0</v>
      </c>
      <c r="O160" s="630">
        <f t="array" aca="1" ref="O160" ca="1">SUM(IF($A$118:$A$152=$A160,O$118:O$152/$T$118:$T$152*Driver22!$R$58:$R$85))</f>
        <v>9.6681563047710695E-2</v>
      </c>
      <c r="P160" s="630">
        <f t="array" aca="1" ref="P160" ca="1">SUM(IF($A$118:$A$152=$A160,P$118:P$152/$T$118:$T$152*Driver22!$R$58:$R$85))</f>
        <v>0</v>
      </c>
      <c r="Q160" s="630">
        <f t="array" aca="1" ref="Q160" ca="1">SUM(IF($A$118:$A$152=$A160,Q$118:Q$152/$T$118:$T$152*Driver22!$R$58:$R$85))</f>
        <v>3.3258236260157927E-2</v>
      </c>
      <c r="R160" s="630">
        <f t="array" aca="1" ref="R160" ca="1">SUM(IF($A$118:$A$152=$A160,R$118:R$152/$T$118:$T$152*Driver22!$R$58:$R$85))</f>
        <v>0</v>
      </c>
      <c r="S160" s="630">
        <f t="array" aca="1" ref="S160" ca="1">SUM(IF($A$118:$A$152=$A160,S$118:S$152/$T$118:$T$152*Driver22!$R$58:$R$85))</f>
        <v>0.60245743269718544</v>
      </c>
      <c r="T160" s="630">
        <f>SUM(C160:S160)</f>
        <v>1.378323900329276</v>
      </c>
    </row>
    <row r="161" spans="1:24" hidden="1">
      <c r="A161" s="613">
        <v>5</v>
      </c>
      <c r="B161" s="613" t="s">
        <v>978</v>
      </c>
      <c r="C161" s="646">
        <f t="array" aca="1" ref="C161" ca="1">SUM(IF($A$118:$A$152=$A161,C$118:C$152/$T$118:$T$152*Driver22!$R$58:$R$92))</f>
        <v>3.1684243088749814E-2</v>
      </c>
      <c r="D161" s="646">
        <f t="array" aca="1" ref="D161" ca="1">SUM(IF($A$118:$A$152=$A161,D$118:D$152/$T$118:$T$152*Driver22!$R$58:$R$92))</f>
        <v>1.4829977041256194E-2</v>
      </c>
      <c r="E161" s="646">
        <f t="array" aca="1" ref="E161" ca="1">SUM(IF($A$118:$A$152=$A161,E$118:E$152/$T$118:$T$152*Driver22!$R$58:$R$92))</f>
        <v>2.8676760940979382E-3</v>
      </c>
      <c r="F161" s="646">
        <f t="array" aca="1" ref="F161" ca="1">SUM(IF($A$118:$A$152=$A161,F$118:F$152/$T$118:$T$152*Driver22!$R$58:$R$92))</f>
        <v>0</v>
      </c>
      <c r="G161" s="646">
        <f t="array" aca="1" ref="G161" ca="1">SUM(IF($A$118:$A$152=$A161,G$118:G$152/$T$118:$T$152*Driver22!$R$58:$R$92))</f>
        <v>1.6971694900374799E-3</v>
      </c>
      <c r="H161" s="646">
        <f t="array" aca="1" ref="H161" ca="1">SUM(IF($A$118:$A$152=$A161,H$118:H$152/$T$118:$T$152*Driver22!$R$58:$R$92))</f>
        <v>0</v>
      </c>
      <c r="I161" s="646">
        <f t="array" aca="1" ref="I161" ca="1">SUM(IF($A$118:$A$152=$A161,I$118:I$152/$T$118:$T$152*Driver22!$R$58:$R$92))</f>
        <v>0</v>
      </c>
      <c r="J161" s="646">
        <f t="array" aca="1" ref="J161" ca="1">SUM(IF($A$118:$A$152=$A161,J$118:J$152/$T$118:$T$152*Driver22!$R$58:$R$92))</f>
        <v>0</v>
      </c>
      <c r="K161" s="646">
        <f t="array" aca="1" ref="K161" ca="1">SUM(IF($A$118:$A$152=$A161,K$118:K$152/$T$118:$T$152*Driver22!$R$58:$R$92))</f>
        <v>9.5237385504726819E-4</v>
      </c>
      <c r="L161" s="646">
        <f t="array" aca="1" ref="L161" ca="1">SUM(IF($A$118:$A$152=$A161,L$118:L$152/$T$118:$T$152*Driver22!$R$58:$R$92))</f>
        <v>2.6692020310146274E-3</v>
      </c>
      <c r="M161" s="646">
        <f t="array" aca="1" ref="M161" ca="1">SUM(IF($A$118:$A$152=$A161,M$118:M$152/$T$118:$T$152*Driver22!$R$58:$R$92))</f>
        <v>0</v>
      </c>
      <c r="N161" s="646">
        <f t="array" aca="1" ref="N161" ca="1">SUM(IF($A$118:$A$152=$A161,N$118:N$152/$T$118:$T$152*Driver22!$R$58:$R$92))</f>
        <v>0</v>
      </c>
      <c r="O161" s="646">
        <f t="array" aca="1" ref="O161" ca="1">SUM(IF($A$118:$A$152=$A161,O$118:O$152/$T$118:$T$152*Driver22!$R$58:$R$92))</f>
        <v>0</v>
      </c>
      <c r="P161" s="646">
        <f t="array" aca="1" ref="P161" ca="1">SUM(IF($A$118:$A$152=$A161,P$118:P$152/$T$118:$T$152*Driver22!$R$58:$R$92))</f>
        <v>0</v>
      </c>
      <c r="Q161" s="646">
        <f t="array" aca="1" ref="Q161" ca="1">SUM(IF($A$118:$A$152=$A161,Q$118:Q$152/$T$118:$T$152*Driver22!$R$58:$R$92))</f>
        <v>2.7783584704226608E-2</v>
      </c>
      <c r="R161" s="646">
        <f t="array" aca="1" ref="R161" ca="1">SUM(IF($A$118:$A$152=$A161,R$118:R$152/$T$118:$T$152*Driver22!$R$58:$R$92))</f>
        <v>0</v>
      </c>
      <c r="S161" s="646">
        <f t="array" aca="1" ref="S161" ca="1">SUM(IF($A$118:$A$152=$A161,S$118:S$152/$T$118:$T$152*Driver22!$R$58:$R$92))</f>
        <v>1.6012008625580219E-3</v>
      </c>
      <c r="T161" s="646">
        <f>SUM(C161:S161)</f>
        <v>8.4085427166987955E-2</v>
      </c>
    </row>
    <row r="162" spans="1:24" hidden="1">
      <c r="B162" s="612" t="s">
        <v>415</v>
      </c>
      <c r="C162" s="630"/>
      <c r="D162" s="630"/>
      <c r="E162" s="630"/>
      <c r="F162" s="630"/>
      <c r="G162" s="630"/>
      <c r="H162" s="630"/>
      <c r="I162" s="630"/>
      <c r="J162" s="630"/>
      <c r="K162" s="630"/>
      <c r="L162" s="630"/>
      <c r="M162" s="630"/>
      <c r="N162" s="630"/>
      <c r="O162" s="630"/>
      <c r="P162" s="630"/>
      <c r="Q162" s="630"/>
      <c r="R162" s="630"/>
      <c r="S162" s="630"/>
      <c r="T162" s="630"/>
    </row>
    <row r="163" spans="1:24" hidden="1">
      <c r="B163" s="613" t="s">
        <v>568</v>
      </c>
      <c r="C163" s="634">
        <f t="array" ref="C163:S167">IF(C157:S161&gt;0,C99:S103/C157:S161,0)</f>
        <v>0.92537043539613484</v>
      </c>
      <c r="D163" s="634">
        <v>1.4401870984470591</v>
      </c>
      <c r="E163" s="634">
        <v>0.9094223554774501</v>
      </c>
      <c r="F163" s="634">
        <v>0</v>
      </c>
      <c r="G163" s="634">
        <v>1.4401870984470588</v>
      </c>
      <c r="H163" s="634">
        <v>0</v>
      </c>
      <c r="I163" s="634">
        <v>0</v>
      </c>
      <c r="J163" s="634">
        <v>0</v>
      </c>
      <c r="K163" s="634">
        <v>0</v>
      </c>
      <c r="L163" s="634">
        <v>0</v>
      </c>
      <c r="M163" s="634">
        <v>0</v>
      </c>
      <c r="N163" s="634">
        <v>0</v>
      </c>
      <c r="O163" s="634">
        <v>0</v>
      </c>
      <c r="P163" s="634">
        <v>0</v>
      </c>
      <c r="Q163" s="634">
        <v>0</v>
      </c>
      <c r="R163" s="634">
        <v>0</v>
      </c>
      <c r="S163" s="634">
        <v>1.4401870984470588</v>
      </c>
      <c r="T163" s="630"/>
    </row>
    <row r="164" spans="1:24" hidden="1">
      <c r="B164" s="613" t="s">
        <v>879</v>
      </c>
      <c r="C164" s="630">
        <v>0.70677375089980654</v>
      </c>
      <c r="D164" s="630">
        <v>0.63117388970633259</v>
      </c>
      <c r="E164" s="630">
        <v>1.5410395122300093</v>
      </c>
      <c r="F164" s="630">
        <v>0</v>
      </c>
      <c r="G164" s="630">
        <v>0.82436605753713044</v>
      </c>
      <c r="H164" s="630">
        <v>0</v>
      </c>
      <c r="I164" s="630">
        <v>0</v>
      </c>
      <c r="J164" s="630">
        <v>0</v>
      </c>
      <c r="K164" s="630">
        <v>0</v>
      </c>
      <c r="L164" s="630">
        <v>0.67669597663418823</v>
      </c>
      <c r="M164" s="630">
        <v>1.5914846805729839</v>
      </c>
      <c r="N164" s="630">
        <v>0</v>
      </c>
      <c r="O164" s="630">
        <v>0</v>
      </c>
      <c r="P164" s="630">
        <v>1.6532486742050947</v>
      </c>
      <c r="Q164" s="630">
        <v>1.6532486742050945</v>
      </c>
      <c r="R164" s="630">
        <v>0</v>
      </c>
      <c r="S164" s="630">
        <v>1.6532486742050949</v>
      </c>
      <c r="T164" s="630"/>
    </row>
    <row r="165" spans="1:24" hidden="1">
      <c r="B165" s="613" t="s">
        <v>880</v>
      </c>
      <c r="C165" s="630">
        <v>0.95178590175925726</v>
      </c>
      <c r="D165" s="630">
        <v>0</v>
      </c>
      <c r="E165" s="630">
        <v>0.88512260479569216</v>
      </c>
      <c r="F165" s="630">
        <v>0</v>
      </c>
      <c r="G165" s="630">
        <v>0</v>
      </c>
      <c r="H165" s="630">
        <v>0</v>
      </c>
      <c r="I165" s="630">
        <v>0</v>
      </c>
      <c r="J165" s="630">
        <v>0</v>
      </c>
      <c r="K165" s="630">
        <v>0</v>
      </c>
      <c r="L165" s="630">
        <v>0.67544520381932549</v>
      </c>
      <c r="M165" s="630">
        <v>0</v>
      </c>
      <c r="N165" s="630">
        <v>0</v>
      </c>
      <c r="O165" s="630">
        <v>0</v>
      </c>
      <c r="P165" s="630">
        <v>0</v>
      </c>
      <c r="Q165" s="630">
        <v>0</v>
      </c>
      <c r="R165" s="630">
        <v>0</v>
      </c>
      <c r="S165" s="630">
        <v>1.2303872564409819</v>
      </c>
      <c r="T165" s="630"/>
    </row>
    <row r="166" spans="1:24" hidden="1">
      <c r="B166" s="613" t="s">
        <v>787</v>
      </c>
      <c r="C166" s="630">
        <v>2.124415560631828</v>
      </c>
      <c r="D166" s="630">
        <v>0.45678048341543259</v>
      </c>
      <c r="E166" s="630">
        <v>2.2687713780672012</v>
      </c>
      <c r="F166" s="630">
        <v>0</v>
      </c>
      <c r="G166" s="630">
        <v>0</v>
      </c>
      <c r="H166" s="630">
        <v>0</v>
      </c>
      <c r="I166" s="630">
        <v>0</v>
      </c>
      <c r="J166" s="630">
        <v>0</v>
      </c>
      <c r="K166" s="630">
        <v>0</v>
      </c>
      <c r="L166" s="630">
        <v>0.53255110461117017</v>
      </c>
      <c r="M166" s="630">
        <v>0.57121018014142377</v>
      </c>
      <c r="N166" s="630">
        <v>0</v>
      </c>
      <c r="O166" s="630">
        <v>2.2031087757123675</v>
      </c>
      <c r="P166" s="630">
        <v>0</v>
      </c>
      <c r="Q166" s="630">
        <v>0.39088061971504773</v>
      </c>
      <c r="R166" s="630">
        <v>0</v>
      </c>
      <c r="S166" s="630">
        <v>0.39088061971504773</v>
      </c>
      <c r="T166" s="630"/>
    </row>
    <row r="167" spans="1:24" hidden="1">
      <c r="B167" s="613" t="s">
        <v>978</v>
      </c>
      <c r="C167" s="646">
        <v>0.65404372259096821</v>
      </c>
      <c r="D167" s="646">
        <v>0.40458592641838381</v>
      </c>
      <c r="E167" s="646">
        <v>0.34871441794215674</v>
      </c>
      <c r="F167" s="646">
        <v>0</v>
      </c>
      <c r="G167" s="646">
        <v>0.58921634278136603</v>
      </c>
      <c r="H167" s="646">
        <v>0</v>
      </c>
      <c r="I167" s="646">
        <v>0</v>
      </c>
      <c r="J167" s="646">
        <v>0</v>
      </c>
      <c r="K167" s="646">
        <v>2.1000156497373985</v>
      </c>
      <c r="L167" s="646">
        <v>0.37464380304696387</v>
      </c>
      <c r="M167" s="646">
        <v>0</v>
      </c>
      <c r="N167" s="646">
        <v>0</v>
      </c>
      <c r="O167" s="646">
        <v>0</v>
      </c>
      <c r="P167" s="646">
        <v>0</v>
      </c>
      <c r="Q167" s="646">
        <v>1.7636313140163595</v>
      </c>
      <c r="R167" s="646">
        <v>0</v>
      </c>
      <c r="S167" s="646">
        <v>2.100015649737399</v>
      </c>
      <c r="T167" s="630"/>
    </row>
    <row r="168" spans="1:24" hidden="1"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30"/>
      <c r="T168" s="630"/>
    </row>
    <row r="169" spans="1:24" hidden="1"/>
    <row r="170" spans="1:24" hidden="1">
      <c r="B170" s="612" t="s">
        <v>80</v>
      </c>
    </row>
    <row r="171" spans="1:24" hidden="1">
      <c r="C171" s="613" t="s">
        <v>905</v>
      </c>
      <c r="D171" s="613" t="s">
        <v>906</v>
      </c>
      <c r="E171" s="613" t="s">
        <v>907</v>
      </c>
      <c r="F171" s="613" t="s">
        <v>908</v>
      </c>
      <c r="G171" s="613" t="s">
        <v>909</v>
      </c>
      <c r="H171" s="613" t="s">
        <v>910</v>
      </c>
      <c r="I171" s="613" t="s">
        <v>911</v>
      </c>
      <c r="J171" s="613" t="s">
        <v>912</v>
      </c>
      <c r="K171" s="613" t="s">
        <v>1150</v>
      </c>
      <c r="L171" s="613" t="s">
        <v>913</v>
      </c>
      <c r="M171" s="613" t="s">
        <v>826</v>
      </c>
      <c r="N171" s="613" t="s">
        <v>914</v>
      </c>
      <c r="O171" s="613" t="s">
        <v>915</v>
      </c>
      <c r="P171" s="613" t="s">
        <v>916</v>
      </c>
      <c r="Q171" s="613" t="s">
        <v>917</v>
      </c>
      <c r="R171" s="613" t="s">
        <v>950</v>
      </c>
      <c r="S171" s="613" t="s">
        <v>946</v>
      </c>
      <c r="T171" s="613" t="s">
        <v>888</v>
      </c>
      <c r="V171" s="613" t="s">
        <v>257</v>
      </c>
      <c r="X171" s="613" t="s">
        <v>258</v>
      </c>
    </row>
    <row r="172" spans="1:24" hidden="1">
      <c r="A172" s="613" t="str">
        <f t="shared" ref="A172:A199" si="69">MID(B172,1,3)</f>
        <v>IIS</v>
      </c>
      <c r="B172" s="613" t="s">
        <v>961</v>
      </c>
      <c r="C172" s="738">
        <f ca="1">Driver22!$R58*C118/$T118*INDEX($B$163:$S$167,$A118,C$4)</f>
        <v>0</v>
      </c>
      <c r="D172" s="738">
        <f ca="1">Driver22!$R58*D118/$T118*INDEX($B$163:$S$167,$A118,D$4)</f>
        <v>0</v>
      </c>
      <c r="E172" s="738">
        <f ca="1">Driver22!$R58*E118/$T118*INDEX($B$163:$S$167,$A118,E$4)</f>
        <v>0</v>
      </c>
      <c r="F172" s="738">
        <f ca="1">Driver22!$R58*F118/$T118*INDEX($B$163:$S$167,$A118,F$4)</f>
        <v>0</v>
      </c>
      <c r="G172" s="738">
        <f ca="1">Driver22!$R58*G118/$T118*INDEX($B$163:$S$167,$A118,G$4)</f>
        <v>0</v>
      </c>
      <c r="H172" s="738">
        <f ca="1">Driver22!$R58*H118/$T118*INDEX($B$163:$S$167,$A118,H$4)</f>
        <v>0</v>
      </c>
      <c r="I172" s="738">
        <f ca="1">Driver22!$R58*I118/$T118*INDEX($B$163:$S$167,$A118,I$4)</f>
        <v>0</v>
      </c>
      <c r="J172" s="738">
        <f ca="1">Driver22!$R58*J118/$T118*INDEX($B$163:$S$167,$A118,J$4)</f>
        <v>0</v>
      </c>
      <c r="K172" s="738">
        <f ca="1">Driver22!$R58*K118/$T118*INDEX($B$163:$S$167,$A118,K$4)</f>
        <v>0</v>
      </c>
      <c r="L172" s="738">
        <f ca="1">Driver22!$R58*L118/$T118*INDEX($B$163:$S$167,$A118,L$4)</f>
        <v>0</v>
      </c>
      <c r="M172" s="738">
        <f ca="1">Driver22!$R58*M118/$T118*INDEX($B$163:$S$167,$A118,M$4)</f>
        <v>0</v>
      </c>
      <c r="N172" s="738">
        <f ca="1">Driver22!$R58*N118/$T118*INDEX($B$163:$S$167,$A118,N$4)</f>
        <v>0</v>
      </c>
      <c r="O172" s="738">
        <f ca="1">Driver22!$R58*O118/$T118*INDEX($B$163:$S$167,$A118,O$4)</f>
        <v>0</v>
      </c>
      <c r="P172" s="738">
        <f ca="1">Driver22!$R58*P118/$T118*INDEX($B$163:$S$167,$A118,P$4)</f>
        <v>0</v>
      </c>
      <c r="Q172" s="738">
        <f ca="1">Driver22!$R58*Q118/$T118*INDEX($B$163:$S$167,$A118,Q$4)</f>
        <v>0</v>
      </c>
      <c r="R172" s="738">
        <f ca="1">Driver22!$R58*R118/$T118*INDEX($B$163:$S$167,$A118,R$4)</f>
        <v>0</v>
      </c>
      <c r="S172" s="738">
        <f ca="1">Driver22!$R58*S118/$T118*INDEX($B$163:$S$167,$A118,S$4)</f>
        <v>0</v>
      </c>
      <c r="T172" s="738">
        <f t="shared" ref="T172:T206" si="70">SUM(C172:S172)</f>
        <v>0</v>
      </c>
      <c r="V172" s="613">
        <f ca="1">VLOOKUP($B172,Driver22!$E$58:$M$93,9,FALSE)</f>
        <v>0</v>
      </c>
      <c r="W172" s="613" t="s">
        <v>213</v>
      </c>
      <c r="X172" s="613" t="b">
        <f t="shared" ref="X172:X206" si="71">IF(T172&gt;0,V172/T172)</f>
        <v>0</v>
      </c>
    </row>
    <row r="173" spans="1:24" hidden="1">
      <c r="A173" s="613" t="str">
        <f t="shared" si="69"/>
        <v>IIS</v>
      </c>
      <c r="B173" s="613" t="s">
        <v>368</v>
      </c>
      <c r="C173" s="738">
        <f ca="1">Driver22!$R59*C119/$T119*INDEX($B$163:$S$167,$A119,C$4)</f>
        <v>0</v>
      </c>
      <c r="D173" s="738">
        <f ca="1">Driver22!$R59*D119/$T119*INDEX($B$163:$S$167,$A119,D$4)</f>
        <v>0</v>
      </c>
      <c r="E173" s="738">
        <f ca="1">Driver22!$R59*E119/$T119*INDEX($B$163:$S$167,$A119,E$4)</f>
        <v>0</v>
      </c>
      <c r="F173" s="738">
        <f ca="1">Driver22!$R59*F119/$T119*INDEX($B$163:$S$167,$A119,F$4)</f>
        <v>0</v>
      </c>
      <c r="G173" s="738">
        <f ca="1">Driver22!$R59*G119/$T119*INDEX($B$163:$S$167,$A119,G$4)</f>
        <v>0</v>
      </c>
      <c r="H173" s="738">
        <f ca="1">Driver22!$R59*H119/$T119*INDEX($B$163:$S$167,$A119,H$4)</f>
        <v>0</v>
      </c>
      <c r="I173" s="738">
        <f ca="1">Driver22!$R59*I119/$T119*INDEX($B$163:$S$167,$A119,I$4)</f>
        <v>0</v>
      </c>
      <c r="J173" s="738">
        <f ca="1">Driver22!$R59*J119/$T119*INDEX($B$163:$S$167,$A119,J$4)</f>
        <v>0</v>
      </c>
      <c r="K173" s="738">
        <f ca="1">Driver22!$R59*K119/$T119*INDEX($B$163:$S$167,$A119,K$4)</f>
        <v>0</v>
      </c>
      <c r="L173" s="738">
        <f ca="1">Driver22!$R59*L119/$T119*INDEX($B$163:$S$167,$A119,L$4)</f>
        <v>0</v>
      </c>
      <c r="M173" s="738">
        <f ca="1">Driver22!$R59*M119/$T119*INDEX($B$163:$S$167,$A119,M$4)</f>
        <v>0</v>
      </c>
      <c r="N173" s="738">
        <f ca="1">Driver22!$R59*N119/$T119*INDEX($B$163:$S$167,$A119,N$4)</f>
        <v>0</v>
      </c>
      <c r="O173" s="738">
        <f ca="1">Driver22!$R59*O119/$T119*INDEX($B$163:$S$167,$A119,O$4)</f>
        <v>0</v>
      </c>
      <c r="P173" s="738">
        <f ca="1">Driver22!$R59*P119/$T119*INDEX($B$163:$S$167,$A119,P$4)</f>
        <v>0</v>
      </c>
      <c r="Q173" s="738">
        <f ca="1">Driver22!$R59*Q119/$T119*INDEX($B$163:$S$167,$A119,Q$4)</f>
        <v>0</v>
      </c>
      <c r="R173" s="738">
        <f ca="1">Driver22!$R59*R119/$T119*INDEX($B$163:$S$167,$A119,R$4)</f>
        <v>0</v>
      </c>
      <c r="S173" s="738">
        <f ca="1">Driver22!$R59*S119/$T119*INDEX($B$163:$S$167,$A119,S$4)</f>
        <v>0</v>
      </c>
      <c r="T173" s="738">
        <f t="shared" si="70"/>
        <v>0</v>
      </c>
      <c r="V173" s="613">
        <f ca="1">VLOOKUP($B173,Driver22!$E$58:$M$93,9,FALSE)</f>
        <v>0</v>
      </c>
      <c r="W173" s="613" t="s">
        <v>367</v>
      </c>
      <c r="X173" s="613" t="b">
        <f t="shared" si="71"/>
        <v>0</v>
      </c>
    </row>
    <row r="174" spans="1:24" hidden="1">
      <c r="A174" s="613" t="str">
        <f t="shared" si="69"/>
        <v>IIS</v>
      </c>
      <c r="B174" s="613" t="s">
        <v>366</v>
      </c>
      <c r="C174" s="738">
        <f ca="1">Driver22!$R60*C120/$T120*INDEX($B$163:$S$167,$A120,C$4)</f>
        <v>0</v>
      </c>
      <c r="D174" s="738">
        <f ca="1">Driver22!$R60*D120/$T120*INDEX($B$163:$S$167,$A120,D$4)</f>
        <v>0</v>
      </c>
      <c r="E174" s="738">
        <f ca="1">Driver22!$R60*E120/$T120*INDEX($B$163:$S$167,$A120,E$4)</f>
        <v>0</v>
      </c>
      <c r="F174" s="738">
        <f ca="1">Driver22!$R60*F120/$T120*INDEX($B$163:$S$167,$A120,F$4)</f>
        <v>0</v>
      </c>
      <c r="G174" s="738">
        <f ca="1">Driver22!$R60*G120/$T120*INDEX($B$163:$S$167,$A120,G$4)</f>
        <v>0</v>
      </c>
      <c r="H174" s="738">
        <f ca="1">Driver22!$R60*H120/$T120*INDEX($B$163:$S$167,$A120,H$4)</f>
        <v>0</v>
      </c>
      <c r="I174" s="738">
        <f ca="1">Driver22!$R60*I120/$T120*INDEX($B$163:$S$167,$A120,I$4)</f>
        <v>0</v>
      </c>
      <c r="J174" s="738">
        <f ca="1">Driver22!$R60*J120/$T120*INDEX($B$163:$S$167,$A120,J$4)</f>
        <v>0</v>
      </c>
      <c r="K174" s="738">
        <f ca="1">Driver22!$R60*K120/$T120*INDEX($B$163:$S$167,$A120,K$4)</f>
        <v>0</v>
      </c>
      <c r="L174" s="738">
        <f ca="1">Driver22!$R60*L120/$T120*INDEX($B$163:$S$167,$A120,L$4)</f>
        <v>0</v>
      </c>
      <c r="M174" s="738">
        <f ca="1">Driver22!$R60*M120/$T120*INDEX($B$163:$S$167,$A120,M$4)</f>
        <v>0</v>
      </c>
      <c r="N174" s="738">
        <f ca="1">Driver22!$R60*N120/$T120*INDEX($B$163:$S$167,$A120,N$4)</f>
        <v>0</v>
      </c>
      <c r="O174" s="738">
        <f ca="1">Driver22!$R60*O120/$T120*INDEX($B$163:$S$167,$A120,O$4)</f>
        <v>0</v>
      </c>
      <c r="P174" s="738">
        <f ca="1">Driver22!$R60*P120/$T120*INDEX($B$163:$S$167,$A120,P$4)</f>
        <v>0</v>
      </c>
      <c r="Q174" s="738">
        <f ca="1">Driver22!$R60*Q120/$T120*INDEX($B$163:$S$167,$A120,Q$4)</f>
        <v>0</v>
      </c>
      <c r="R174" s="738">
        <f ca="1">Driver22!$R60*R120/$T120*INDEX($B$163:$S$167,$A120,R$4)</f>
        <v>0</v>
      </c>
      <c r="S174" s="738">
        <f ca="1">Driver22!$R60*S120/$T120*INDEX($B$163:$S$167,$A120,S$4)</f>
        <v>0</v>
      </c>
      <c r="T174" s="738">
        <f t="shared" si="70"/>
        <v>0</v>
      </c>
      <c r="V174" s="613">
        <f ca="1">VLOOKUP($B174,Driver22!$E$58:$M$93,9,FALSE)</f>
        <v>0</v>
      </c>
      <c r="W174" s="613" t="s">
        <v>365</v>
      </c>
      <c r="X174" s="613" t="b">
        <f t="shared" si="71"/>
        <v>0</v>
      </c>
    </row>
    <row r="175" spans="1:24" hidden="1">
      <c r="A175" s="613" t="str">
        <f t="shared" si="69"/>
        <v>IIS</v>
      </c>
      <c r="B175" s="613" t="s">
        <v>410</v>
      </c>
      <c r="C175" s="738">
        <f ca="1">Driver22!$R61*C121/$T121*INDEX($B$163:$S$167,$A121,C$4)</f>
        <v>0</v>
      </c>
      <c r="D175" s="738">
        <f ca="1">Driver22!$R61*D121/$T121*INDEX($B$163:$S$167,$A121,D$4)</f>
        <v>0</v>
      </c>
      <c r="E175" s="738">
        <f ca="1">Driver22!$R61*E121/$T121*INDEX($B$163:$S$167,$A121,E$4)</f>
        <v>0</v>
      </c>
      <c r="F175" s="738">
        <f ca="1">Driver22!$R61*F121/$T121*INDEX($B$163:$S$167,$A121,F$4)</f>
        <v>0</v>
      </c>
      <c r="G175" s="738">
        <f ca="1">Driver22!$R61*G121/$T121*INDEX($B$163:$S$167,$A121,G$4)</f>
        <v>0</v>
      </c>
      <c r="H175" s="738">
        <f ca="1">Driver22!$R61*H121/$T121*INDEX($B$163:$S$167,$A121,H$4)</f>
        <v>0</v>
      </c>
      <c r="I175" s="738">
        <f ca="1">Driver22!$R61*I121/$T121*INDEX($B$163:$S$167,$A121,I$4)</f>
        <v>0</v>
      </c>
      <c r="J175" s="738">
        <f ca="1">Driver22!$R61*J121/$T121*INDEX($B$163:$S$167,$A121,J$4)</f>
        <v>0</v>
      </c>
      <c r="K175" s="738">
        <f ca="1">Driver22!$R61*K121/$T121*INDEX($B$163:$S$167,$A121,K$4)</f>
        <v>0</v>
      </c>
      <c r="L175" s="738">
        <f ca="1">Driver22!$R61*L121/$T121*INDEX($B$163:$S$167,$A121,L$4)</f>
        <v>0</v>
      </c>
      <c r="M175" s="738">
        <f ca="1">Driver22!$R61*M121/$T121*INDEX($B$163:$S$167,$A121,M$4)</f>
        <v>0</v>
      </c>
      <c r="N175" s="738">
        <f ca="1">Driver22!$R61*N121/$T121*INDEX($B$163:$S$167,$A121,N$4)</f>
        <v>0</v>
      </c>
      <c r="O175" s="738">
        <f ca="1">Driver22!$R61*O121/$T121*INDEX($B$163:$S$167,$A121,O$4)</f>
        <v>0</v>
      </c>
      <c r="P175" s="738">
        <f ca="1">Driver22!$R61*P121/$T121*INDEX($B$163:$S$167,$A121,P$4)</f>
        <v>0</v>
      </c>
      <c r="Q175" s="738">
        <f ca="1">Driver22!$R61*Q121/$T121*INDEX($B$163:$S$167,$A121,Q$4)</f>
        <v>0</v>
      </c>
      <c r="R175" s="738">
        <f ca="1">Driver22!$R61*R121/$T121*INDEX($B$163:$S$167,$A121,R$4)</f>
        <v>0</v>
      </c>
      <c r="S175" s="738">
        <f ca="1">Driver22!$R61*S121/$T121*INDEX($B$163:$S$167,$A121,S$4)</f>
        <v>0</v>
      </c>
      <c r="T175" s="738">
        <f t="shared" si="70"/>
        <v>0</v>
      </c>
      <c r="V175" s="613">
        <f ca="1">VLOOKUP($B175,Driver22!$E$58:$M$93,9,FALSE)</f>
        <v>0</v>
      </c>
      <c r="W175" s="613" t="s">
        <v>409</v>
      </c>
      <c r="X175" s="613" t="b">
        <f t="shared" si="71"/>
        <v>0</v>
      </c>
    </row>
    <row r="176" spans="1:24" hidden="1">
      <c r="A176" s="613" t="str">
        <f t="shared" si="69"/>
        <v>IIS</v>
      </c>
      <c r="B176" s="613" t="s">
        <v>1286</v>
      </c>
      <c r="C176" s="738">
        <f ca="1">Driver22!$R62*C122/$T122*INDEX($B$163:$S$167,$A122,C$4)</f>
        <v>7.9441699547904126E-3</v>
      </c>
      <c r="D176" s="738">
        <f ca="1">Driver22!$R62*D122/$T122*INDEX($B$163:$S$167,$A122,D$4)</f>
        <v>0</v>
      </c>
      <c r="E176" s="738">
        <f ca="1">Driver22!$R62*E122/$T122*INDEX($B$163:$S$167,$A122,E$4)</f>
        <v>4.9933000774040589E-3</v>
      </c>
      <c r="F176" s="738">
        <f ca="1">Driver22!$R62*F122/$T122*INDEX($B$163:$S$167,$A122,F$4)</f>
        <v>0</v>
      </c>
      <c r="G176" s="738">
        <f ca="1">Driver22!$R62*G122/$T122*INDEX($B$163:$S$167,$A122,G$4)</f>
        <v>0</v>
      </c>
      <c r="H176" s="738">
        <f ca="1">Driver22!$R62*H122/$T122*INDEX($B$163:$S$167,$A122,H$4)</f>
        <v>0</v>
      </c>
      <c r="I176" s="738">
        <f ca="1">Driver22!$R62*I122/$T122*INDEX($B$163:$S$167,$A122,I$4)</f>
        <v>0</v>
      </c>
      <c r="J176" s="738">
        <f ca="1">Driver22!$R62*J122/$T122*INDEX($B$163:$S$167,$A122,J$4)</f>
        <v>0</v>
      </c>
      <c r="K176" s="738">
        <f ca="1">Driver22!$R62*K122/$T122*INDEX($B$163:$S$167,$A122,K$4)</f>
        <v>0</v>
      </c>
      <c r="L176" s="738">
        <f ca="1">Driver22!$R62*L122/$T122*INDEX($B$163:$S$167,$A122,L$4)</f>
        <v>0</v>
      </c>
      <c r="M176" s="738">
        <f ca="1">Driver22!$R62*M122/$T122*INDEX($B$163:$S$167,$A122,M$4)</f>
        <v>0</v>
      </c>
      <c r="N176" s="738">
        <f ca="1">Driver22!$R62*N122/$T122*INDEX($B$163:$S$167,$A122,N$4)</f>
        <v>0</v>
      </c>
      <c r="O176" s="738">
        <f ca="1">Driver22!$R62*O122/$T122*INDEX($B$163:$S$167,$A122,O$4)</f>
        <v>0</v>
      </c>
      <c r="P176" s="738">
        <f ca="1">Driver22!$R62*P122/$T122*INDEX($B$163:$S$167,$A122,P$4)</f>
        <v>0</v>
      </c>
      <c r="Q176" s="738">
        <f ca="1">Driver22!$R62*Q122/$T122*INDEX($B$163:$S$167,$A122,Q$4)</f>
        <v>0</v>
      </c>
      <c r="R176" s="738">
        <f ca="1">Driver22!$R62*R122/$T122*INDEX($B$163:$S$167,$A122,R$4)</f>
        <v>0</v>
      </c>
      <c r="S176" s="738">
        <f ca="1">Driver22!$R62*S122/$T122*INDEX($B$163:$S$167,$A122,S$4)</f>
        <v>0</v>
      </c>
      <c r="T176" s="738">
        <f t="shared" si="70"/>
        <v>1.2937470032194472E-2</v>
      </c>
      <c r="V176" s="613">
        <f ca="1">VLOOKUP($B176,Driver22!$E$58:$M$93,9,FALSE)</f>
        <v>1.4075482111955718E-2</v>
      </c>
      <c r="W176" s="613" t="s">
        <v>1285</v>
      </c>
      <c r="X176" s="613">
        <f t="shared" si="71"/>
        <v>1.0879624901104574</v>
      </c>
    </row>
    <row r="177" spans="1:24" hidden="1">
      <c r="A177" s="613" t="str">
        <f t="shared" si="69"/>
        <v>IIS</v>
      </c>
      <c r="B177" s="613" t="s">
        <v>962</v>
      </c>
      <c r="C177" s="738">
        <f ca="1">Driver22!$R63*C123/$T123*INDEX($B$163:$S$167,$A123,C$4)</f>
        <v>1.5369070379608057E-2</v>
      </c>
      <c r="D177" s="738">
        <f ca="1">Driver22!$R63*D123/$T123*INDEX($B$163:$S$167,$A123,D$4)</f>
        <v>0</v>
      </c>
      <c r="E177" s="738">
        <f ca="1">Driver22!$R63*E123/$T123*INDEX($B$163:$S$167,$A123,E$4)</f>
        <v>1.3416963626725919E-3</v>
      </c>
      <c r="F177" s="738">
        <f ca="1">Driver22!$R63*F123/$T123*INDEX($B$163:$S$167,$A123,F$4)</f>
        <v>0</v>
      </c>
      <c r="G177" s="738">
        <f ca="1">Driver22!$R63*G123/$T123*INDEX($B$163:$S$167,$A123,G$4)</f>
        <v>0</v>
      </c>
      <c r="H177" s="738">
        <f ca="1">Driver22!$R63*H123/$T123*INDEX($B$163:$S$167,$A123,H$4)</f>
        <v>0</v>
      </c>
      <c r="I177" s="738">
        <f ca="1">Driver22!$R63*I123/$T123*INDEX($B$163:$S$167,$A123,I$4)</f>
        <v>0</v>
      </c>
      <c r="J177" s="738">
        <f ca="1">Driver22!$R63*J123/$T123*INDEX($B$163:$S$167,$A123,J$4)</f>
        <v>0</v>
      </c>
      <c r="K177" s="738">
        <f ca="1">Driver22!$R63*K123/$T123*INDEX($B$163:$S$167,$A123,K$4)</f>
        <v>0</v>
      </c>
      <c r="L177" s="738">
        <f ca="1">Driver22!$R63*L123/$T123*INDEX($B$163:$S$167,$A123,L$4)</f>
        <v>0</v>
      </c>
      <c r="M177" s="738">
        <f ca="1">Driver22!$R63*M123/$T123*INDEX($B$163:$S$167,$A123,M$4)</f>
        <v>0</v>
      </c>
      <c r="N177" s="738">
        <f ca="1">Driver22!$R63*N123/$T123*INDEX($B$163:$S$167,$A123,N$4)</f>
        <v>0</v>
      </c>
      <c r="O177" s="738">
        <f ca="1">Driver22!$R63*O123/$T123*INDEX($B$163:$S$167,$A123,O$4)</f>
        <v>0</v>
      </c>
      <c r="P177" s="738">
        <f ca="1">Driver22!$R63*P123/$T123*INDEX($B$163:$S$167,$A123,P$4)</f>
        <v>0</v>
      </c>
      <c r="Q177" s="738">
        <f ca="1">Driver22!$R63*Q123/$T123*INDEX($B$163:$S$167,$A123,Q$4)</f>
        <v>0</v>
      </c>
      <c r="R177" s="738">
        <f ca="1">Driver22!$R63*R123/$T123*INDEX($B$163:$S$167,$A123,R$4)</f>
        <v>0</v>
      </c>
      <c r="S177" s="738">
        <f ca="1">Driver22!$R63*S123/$T123*INDEX($B$163:$S$167,$A123,S$4)</f>
        <v>0</v>
      </c>
      <c r="T177" s="738">
        <f t="shared" si="70"/>
        <v>1.6710766742280649E-2</v>
      </c>
      <c r="V177" s="613">
        <f ca="1">VLOOKUP($B177,Driver22!$E$58:$M$93,9,FALSE)</f>
        <v>1.8083888087134015E-2</v>
      </c>
      <c r="W177" s="613" t="s">
        <v>224</v>
      </c>
      <c r="X177" s="613">
        <f t="shared" si="71"/>
        <v>1.0821698588718356</v>
      </c>
    </row>
    <row r="178" spans="1:24" hidden="1">
      <c r="A178" s="613" t="str">
        <f t="shared" si="69"/>
        <v>IIS</v>
      </c>
      <c r="B178" s="613" t="s">
        <v>963</v>
      </c>
      <c r="C178" s="738">
        <f ca="1">Driver22!$R64*C124/$T124*INDEX($B$163:$S$167,$A124,C$4)</f>
        <v>0</v>
      </c>
      <c r="D178" s="738">
        <f ca="1">Driver22!$R64*D124/$T124*INDEX($B$163:$S$167,$A124,D$4)</f>
        <v>4.000000000000001E-3</v>
      </c>
      <c r="E178" s="738">
        <f ca="1">Driver22!$R64*E124/$T124*INDEX($B$163:$S$167,$A124,E$4)</f>
        <v>6.6500355992334939E-4</v>
      </c>
      <c r="F178" s="738">
        <f ca="1">Driver22!$R64*F124/$T124*INDEX($B$163:$S$167,$A124,F$4)</f>
        <v>0</v>
      </c>
      <c r="G178" s="738">
        <f ca="1">Driver22!$R64*G124/$T124*INDEX($B$163:$S$167,$A124,G$4)</f>
        <v>2.0000000000000005E-3</v>
      </c>
      <c r="H178" s="738">
        <f ca="1">Driver22!$R64*H124/$T124*INDEX($B$163:$S$167,$A124,H$4)</f>
        <v>0</v>
      </c>
      <c r="I178" s="738">
        <f ca="1">Driver22!$R64*I124/$T124*INDEX($B$163:$S$167,$A124,I$4)</f>
        <v>0</v>
      </c>
      <c r="J178" s="738">
        <f ca="1">Driver22!$R64*J124/$T124*INDEX($B$163:$S$167,$A124,J$4)</f>
        <v>0</v>
      </c>
      <c r="K178" s="738">
        <f ca="1">Driver22!$R64*K124/$T124*INDEX($B$163:$S$167,$A124,K$4)</f>
        <v>0</v>
      </c>
      <c r="L178" s="738">
        <f ca="1">Driver22!$R64*L124/$T124*INDEX($B$163:$S$167,$A124,L$4)</f>
        <v>0</v>
      </c>
      <c r="M178" s="738">
        <f ca="1">Driver22!$R64*M124/$T124*INDEX($B$163:$S$167,$A124,M$4)</f>
        <v>0</v>
      </c>
      <c r="N178" s="738">
        <f ca="1">Driver22!$R64*N124/$T124*INDEX($B$163:$S$167,$A124,N$4)</f>
        <v>0</v>
      </c>
      <c r="O178" s="738">
        <f ca="1">Driver22!$R64*O124/$T124*INDEX($B$163:$S$167,$A124,O$4)</f>
        <v>0</v>
      </c>
      <c r="P178" s="738">
        <f ca="1">Driver22!$R64*P124/$T124*INDEX($B$163:$S$167,$A124,P$4)</f>
        <v>0</v>
      </c>
      <c r="Q178" s="738">
        <f ca="1">Driver22!$R64*Q124/$T124*INDEX($B$163:$S$167,$A124,Q$4)</f>
        <v>0</v>
      </c>
      <c r="R178" s="738">
        <f ca="1">Driver22!$R64*R124/$T124*INDEX($B$163:$S$167,$A124,R$4)</f>
        <v>0</v>
      </c>
      <c r="S178" s="738">
        <f ca="1">Driver22!$R64*S124/$T124*INDEX($B$163:$S$167,$A124,S$4)</f>
        <v>2.4325301011247922E-3</v>
      </c>
      <c r="T178" s="738">
        <f t="shared" si="70"/>
        <v>9.0975336610481412E-3</v>
      </c>
      <c r="V178" s="613">
        <f ca="1">VLOOKUP($B178,Driver22!$E$58:$M$93,9,FALSE)</f>
        <v>6.5864002364335369E-3</v>
      </c>
      <c r="W178" s="613" t="s">
        <v>223</v>
      </c>
      <c r="X178" s="613">
        <f t="shared" si="71"/>
        <v>0.7239764623937327</v>
      </c>
    </row>
    <row r="179" spans="1:24" hidden="1">
      <c r="A179" s="613" t="str">
        <f t="shared" si="69"/>
        <v>INM</v>
      </c>
      <c r="B179" s="613" t="s">
        <v>964</v>
      </c>
      <c r="C179" s="738">
        <f ca="1">Driver22!$R65*C125/$T125*INDEX($B$163:$S$167,$A125,C$4)</f>
        <v>0</v>
      </c>
      <c r="D179" s="738">
        <f ca="1">Driver22!$R65*D125/$T125*INDEX($B$163:$S$167,$A125,D$4)</f>
        <v>0</v>
      </c>
      <c r="E179" s="738">
        <f ca="1">Driver22!$R65*E125/$T125*INDEX($B$163:$S$167,$A125,E$4)</f>
        <v>0</v>
      </c>
      <c r="F179" s="738">
        <f ca="1">Driver22!$R65*F125/$T125*INDEX($B$163:$S$167,$A125,F$4)</f>
        <v>0</v>
      </c>
      <c r="G179" s="738">
        <f ca="1">Driver22!$R65*G125/$T125*INDEX($B$163:$S$167,$A125,G$4)</f>
        <v>0</v>
      </c>
      <c r="H179" s="738">
        <f ca="1">Driver22!$R65*H125/$T125*INDEX($B$163:$S$167,$A125,H$4)</f>
        <v>0</v>
      </c>
      <c r="I179" s="738">
        <f ca="1">Driver22!$R65*I125/$T125*INDEX($B$163:$S$167,$A125,I$4)</f>
        <v>0</v>
      </c>
      <c r="J179" s="738">
        <f ca="1">Driver22!$R65*J125/$T125*INDEX($B$163:$S$167,$A125,J$4)</f>
        <v>0</v>
      </c>
      <c r="K179" s="738">
        <f ca="1">Driver22!$R65*K125/$T125*INDEX($B$163:$S$167,$A125,K$4)</f>
        <v>0</v>
      </c>
      <c r="L179" s="738">
        <f ca="1">Driver22!$R65*L125/$T125*INDEX($B$163:$S$167,$A125,L$4)</f>
        <v>0</v>
      </c>
      <c r="M179" s="738">
        <f ca="1">Driver22!$R65*M125/$T125*INDEX($B$163:$S$167,$A125,M$4)</f>
        <v>0</v>
      </c>
      <c r="N179" s="738">
        <f ca="1">Driver22!$R65*N125/$T125*INDEX($B$163:$S$167,$A125,N$4)</f>
        <v>0</v>
      </c>
      <c r="O179" s="738">
        <f ca="1">Driver22!$R65*O125/$T125*INDEX($B$163:$S$167,$A125,O$4)</f>
        <v>0</v>
      </c>
      <c r="P179" s="738">
        <f ca="1">Driver22!$R65*P125/$T125*INDEX($B$163:$S$167,$A125,P$4)</f>
        <v>0</v>
      </c>
      <c r="Q179" s="738">
        <f ca="1">Driver22!$R65*Q125/$T125*INDEX($B$163:$S$167,$A125,Q$4)</f>
        <v>0</v>
      </c>
      <c r="R179" s="738">
        <f ca="1">Driver22!$R65*R125/$T125*INDEX($B$163:$S$167,$A125,R$4)</f>
        <v>0</v>
      </c>
      <c r="S179" s="738">
        <f ca="1">Driver22!$R65*S125/$T125*INDEX($B$163:$S$167,$A125,S$4)</f>
        <v>0</v>
      </c>
      <c r="T179" s="738">
        <f t="shared" si="70"/>
        <v>0</v>
      </c>
      <c r="V179" s="613">
        <f ca="1">VLOOKUP($B179,Driver22!$E$58:$M$93,9,FALSE)</f>
        <v>0</v>
      </c>
      <c r="W179" s="613" t="s">
        <v>215</v>
      </c>
      <c r="X179" s="613" t="b">
        <f t="shared" si="71"/>
        <v>0</v>
      </c>
    </row>
    <row r="180" spans="1:24" hidden="1">
      <c r="A180" s="613" t="str">
        <f t="shared" si="69"/>
        <v>INM</v>
      </c>
      <c r="B180" s="613" t="s">
        <v>965</v>
      </c>
      <c r="C180" s="738">
        <f ca="1">Driver22!$R66*C126/$T126*INDEX($B$163:$S$167,$A126,C$4)</f>
        <v>0</v>
      </c>
      <c r="D180" s="738">
        <f ca="1">Driver22!$R66*D126/$T126*INDEX($B$163:$S$167,$A126,D$4)</f>
        <v>0</v>
      </c>
      <c r="E180" s="738">
        <f ca="1">Driver22!$R66*E126/$T126*INDEX($B$163:$S$167,$A126,E$4)</f>
        <v>0</v>
      </c>
      <c r="F180" s="738">
        <f ca="1">Driver22!$R66*F126/$T126*INDEX($B$163:$S$167,$A126,F$4)</f>
        <v>0</v>
      </c>
      <c r="G180" s="738">
        <f ca="1">Driver22!$R66*G126/$T126*INDEX($B$163:$S$167,$A126,G$4)</f>
        <v>0</v>
      </c>
      <c r="H180" s="738">
        <f ca="1">Driver22!$R66*H126/$T126*INDEX($B$163:$S$167,$A126,H$4)</f>
        <v>0</v>
      </c>
      <c r="I180" s="738">
        <f ca="1">Driver22!$R66*I126/$T126*INDEX($B$163:$S$167,$A126,I$4)</f>
        <v>0</v>
      </c>
      <c r="J180" s="738">
        <f ca="1">Driver22!$R66*J126/$T126*INDEX($B$163:$S$167,$A126,J$4)</f>
        <v>0</v>
      </c>
      <c r="K180" s="738">
        <f ca="1">Driver22!$R66*K126/$T126*INDEX($B$163:$S$167,$A126,K$4)</f>
        <v>0</v>
      </c>
      <c r="L180" s="738">
        <f ca="1">Driver22!$R66*L126/$T126*INDEX($B$163:$S$167,$A126,L$4)</f>
        <v>0</v>
      </c>
      <c r="M180" s="738">
        <f ca="1">Driver22!$R66*M126/$T126*INDEX($B$163:$S$167,$A126,M$4)</f>
        <v>0</v>
      </c>
      <c r="N180" s="738">
        <f ca="1">Driver22!$R66*N126/$T126*INDEX($B$163:$S$167,$A126,N$4)</f>
        <v>0</v>
      </c>
      <c r="O180" s="738">
        <f ca="1">Driver22!$R66*O126/$T126*INDEX($B$163:$S$167,$A126,O$4)</f>
        <v>0</v>
      </c>
      <c r="P180" s="738">
        <f ca="1">Driver22!$R66*P126/$T126*INDEX($B$163:$S$167,$A126,P$4)</f>
        <v>0</v>
      </c>
      <c r="Q180" s="738">
        <f ca="1">Driver22!$R66*Q126/$T126*INDEX($B$163:$S$167,$A126,Q$4)</f>
        <v>0</v>
      </c>
      <c r="R180" s="738">
        <f ca="1">Driver22!$R66*R126/$T126*INDEX($B$163:$S$167,$A126,R$4)</f>
        <v>0</v>
      </c>
      <c r="S180" s="738">
        <f ca="1">Driver22!$R66*S126/$T126*INDEX($B$163:$S$167,$A126,S$4)</f>
        <v>0</v>
      </c>
      <c r="T180" s="738">
        <f t="shared" si="70"/>
        <v>0</v>
      </c>
      <c r="V180" s="613">
        <f ca="1">VLOOKUP($B180,Driver22!$E$58:$M$93,9,FALSE)</f>
        <v>0</v>
      </c>
      <c r="W180" s="613" t="s">
        <v>217</v>
      </c>
      <c r="X180" s="613" t="b">
        <f t="shared" si="71"/>
        <v>0</v>
      </c>
    </row>
    <row r="181" spans="1:24" hidden="1">
      <c r="A181" s="613" t="str">
        <f t="shared" si="69"/>
        <v>INM</v>
      </c>
      <c r="B181" s="613" t="s">
        <v>412</v>
      </c>
      <c r="C181" s="738">
        <f ca="1">Driver22!$R67*C127/$T127*INDEX($B$163:$S$167,$A127,C$4)</f>
        <v>0</v>
      </c>
      <c r="D181" s="738">
        <f ca="1">Driver22!$R67*D127/$T127*INDEX($B$163:$S$167,$A127,D$4)</f>
        <v>0</v>
      </c>
      <c r="E181" s="738">
        <f ca="1">Driver22!$R67*E127/$T127*INDEX($B$163:$S$167,$A127,E$4)</f>
        <v>0</v>
      </c>
      <c r="F181" s="738">
        <f ca="1">Driver22!$R67*F127/$T127*INDEX($B$163:$S$167,$A127,F$4)</f>
        <v>0</v>
      </c>
      <c r="G181" s="738">
        <f ca="1">Driver22!$R67*G127/$T127*INDEX($B$163:$S$167,$A127,G$4)</f>
        <v>0</v>
      </c>
      <c r="H181" s="738">
        <f ca="1">Driver22!$R67*H127/$T127*INDEX($B$163:$S$167,$A127,H$4)</f>
        <v>0</v>
      </c>
      <c r="I181" s="738">
        <f ca="1">Driver22!$R67*I127/$T127*INDEX($B$163:$S$167,$A127,I$4)</f>
        <v>0</v>
      </c>
      <c r="J181" s="738">
        <f ca="1">Driver22!$R67*J127/$T127*INDEX($B$163:$S$167,$A127,J$4)</f>
        <v>0</v>
      </c>
      <c r="K181" s="738">
        <f ca="1">Driver22!$R67*K127/$T127*INDEX($B$163:$S$167,$A127,K$4)</f>
        <v>0</v>
      </c>
      <c r="L181" s="738">
        <f ca="1">Driver22!$R67*L127/$T127*INDEX($B$163:$S$167,$A127,L$4)</f>
        <v>0</v>
      </c>
      <c r="M181" s="738">
        <f ca="1">Driver22!$R67*M127/$T127*INDEX($B$163:$S$167,$A127,M$4)</f>
        <v>0</v>
      </c>
      <c r="N181" s="738">
        <f ca="1">Driver22!$R67*N127/$T127*INDEX($B$163:$S$167,$A127,N$4)</f>
        <v>0</v>
      </c>
      <c r="O181" s="738">
        <f ca="1">Driver22!$R67*O127/$T127*INDEX($B$163:$S$167,$A127,O$4)</f>
        <v>0</v>
      </c>
      <c r="P181" s="738">
        <f ca="1">Driver22!$R67*P127/$T127*INDEX($B$163:$S$167,$A127,P$4)</f>
        <v>0</v>
      </c>
      <c r="Q181" s="738">
        <f ca="1">Driver22!$R67*Q127/$T127*INDEX($B$163:$S$167,$A127,Q$4)</f>
        <v>0</v>
      </c>
      <c r="R181" s="738">
        <f ca="1">Driver22!$R67*R127/$T127*INDEX($B$163:$S$167,$A127,R$4)</f>
        <v>0</v>
      </c>
      <c r="S181" s="738">
        <f ca="1">Driver22!$R67*S127/$T127*INDEX($B$163:$S$167,$A127,S$4)</f>
        <v>0</v>
      </c>
      <c r="T181" s="738">
        <f t="shared" si="70"/>
        <v>0</v>
      </c>
      <c r="V181" s="613">
        <f ca="1">VLOOKUP($B181,Driver22!$E$58:$M$93,9,FALSE)</f>
        <v>0</v>
      </c>
      <c r="W181" s="613" t="s">
        <v>411</v>
      </c>
      <c r="X181" s="613" t="b">
        <f t="shared" si="71"/>
        <v>0</v>
      </c>
    </row>
    <row r="182" spans="1:24" hidden="1">
      <c r="A182" s="613" t="str">
        <f t="shared" si="69"/>
        <v>INM</v>
      </c>
      <c r="B182" s="613" t="s">
        <v>362</v>
      </c>
      <c r="C182" s="738">
        <f ca="1">Driver22!$R68*C128/$T128*INDEX($B$163:$S$167,$A128,C$4)</f>
        <v>0</v>
      </c>
      <c r="D182" s="738">
        <f ca="1">Driver22!$R68*D128/$T128*INDEX($B$163:$S$167,$A128,D$4)</f>
        <v>0</v>
      </c>
      <c r="E182" s="738">
        <f ca="1">Driver22!$R68*E128/$T128*INDEX($B$163:$S$167,$A128,E$4)</f>
        <v>0</v>
      </c>
      <c r="F182" s="738">
        <f ca="1">Driver22!$R68*F128/$T128*INDEX($B$163:$S$167,$A128,F$4)</f>
        <v>0</v>
      </c>
      <c r="G182" s="738">
        <f ca="1">Driver22!$R68*G128/$T128*INDEX($B$163:$S$167,$A128,G$4)</f>
        <v>0</v>
      </c>
      <c r="H182" s="738">
        <f ca="1">Driver22!$R68*H128/$T128*INDEX($B$163:$S$167,$A128,H$4)</f>
        <v>0</v>
      </c>
      <c r="I182" s="738">
        <f ca="1">Driver22!$R68*I128/$T128*INDEX($B$163:$S$167,$A128,I$4)</f>
        <v>0</v>
      </c>
      <c r="J182" s="738">
        <f ca="1">Driver22!$R68*J128/$T128*INDEX($B$163:$S$167,$A128,J$4)</f>
        <v>0</v>
      </c>
      <c r="K182" s="738">
        <f ca="1">Driver22!$R68*K128/$T128*INDEX($B$163:$S$167,$A128,K$4)</f>
        <v>0</v>
      </c>
      <c r="L182" s="738">
        <f ca="1">Driver22!$R68*L128/$T128*INDEX($B$163:$S$167,$A128,L$4)</f>
        <v>0</v>
      </c>
      <c r="M182" s="738">
        <f ca="1">Driver22!$R68*M128/$T128*INDEX($B$163:$S$167,$A128,M$4)</f>
        <v>0</v>
      </c>
      <c r="N182" s="738">
        <f ca="1">Driver22!$R68*N128/$T128*INDEX($B$163:$S$167,$A128,N$4)</f>
        <v>0</v>
      </c>
      <c r="O182" s="738">
        <f ca="1">Driver22!$R68*O128/$T128*INDEX($B$163:$S$167,$A128,O$4)</f>
        <v>0</v>
      </c>
      <c r="P182" s="738">
        <f ca="1">Driver22!$R68*P128/$T128*INDEX($B$163:$S$167,$A128,P$4)</f>
        <v>0</v>
      </c>
      <c r="Q182" s="738">
        <f ca="1">Driver22!$R68*Q128/$T128*INDEX($B$163:$S$167,$A128,Q$4)</f>
        <v>0</v>
      </c>
      <c r="R182" s="738">
        <f ca="1">Driver22!$R68*R128/$T128*INDEX($B$163:$S$167,$A128,R$4)</f>
        <v>0</v>
      </c>
      <c r="S182" s="738">
        <f ca="1">Driver22!$R68*S128/$T128*INDEX($B$163:$S$167,$A128,S$4)</f>
        <v>0</v>
      </c>
      <c r="T182" s="738">
        <f t="shared" si="70"/>
        <v>0</v>
      </c>
      <c r="V182" s="613">
        <f ca="1">VLOOKUP($B182,Driver22!$E$58:$M$93,9,FALSE)</f>
        <v>0</v>
      </c>
      <c r="W182" s="613" t="s">
        <v>361</v>
      </c>
      <c r="X182" s="613" t="b">
        <f t="shared" si="71"/>
        <v>0</v>
      </c>
    </row>
    <row r="183" spans="1:24" hidden="1">
      <c r="A183" s="613" t="str">
        <f t="shared" si="69"/>
        <v>INM</v>
      </c>
      <c r="B183" s="613" t="s">
        <v>364</v>
      </c>
      <c r="C183" s="738">
        <f ca="1">Driver22!$R69*C129/$T129*INDEX($B$163:$S$167,$A129,C$4)</f>
        <v>5.6298462564037567E-2</v>
      </c>
      <c r="D183" s="738">
        <f ca="1">Driver22!$R69*D129/$T129*INDEX($B$163:$S$167,$A129,D$4)</f>
        <v>2.766924575391129E-2</v>
      </c>
      <c r="E183" s="738">
        <f ca="1">Driver22!$R69*E129/$T129*INDEX($B$163:$S$167,$A129,E$4)</f>
        <v>0</v>
      </c>
      <c r="F183" s="738">
        <f ca="1">Driver22!$R69*F129/$T129*INDEX($B$163:$S$167,$A129,F$4)</f>
        <v>0</v>
      </c>
      <c r="G183" s="738">
        <f ca="1">Driver22!$R69*G129/$T129*INDEX($B$163:$S$167,$A129,G$4)</f>
        <v>3.8146667140470721E-2</v>
      </c>
      <c r="H183" s="738">
        <f ca="1">Driver22!$R69*H129/$T129*INDEX($B$163:$S$167,$A129,H$4)</f>
        <v>0</v>
      </c>
      <c r="I183" s="738">
        <f ca="1">Driver22!$R69*I129/$T129*INDEX($B$163:$S$167,$A129,I$4)</f>
        <v>0</v>
      </c>
      <c r="J183" s="738">
        <f ca="1">Driver22!$R69*J129/$T129*INDEX($B$163:$S$167,$A129,J$4)</f>
        <v>0</v>
      </c>
      <c r="K183" s="738">
        <f ca="1">Driver22!$R69*K129/$T129*INDEX($B$163:$S$167,$A129,K$4)</f>
        <v>0</v>
      </c>
      <c r="L183" s="738">
        <f ca="1">Driver22!$R69*L129/$T129*INDEX($B$163:$S$167,$A129,L$4)</f>
        <v>2.6436887975849629E-3</v>
      </c>
      <c r="M183" s="738">
        <f ca="1">Driver22!$R69*M129/$T129*INDEX($B$163:$S$167,$A129,M$4)</f>
        <v>0</v>
      </c>
      <c r="N183" s="738">
        <f ca="1">Driver22!$R69*N129/$T129*INDEX($B$163:$S$167,$A129,N$4)</f>
        <v>0</v>
      </c>
      <c r="O183" s="738">
        <f ca="1">Driver22!$R69*O129/$T129*INDEX($B$163:$S$167,$A129,O$4)</f>
        <v>0</v>
      </c>
      <c r="P183" s="738">
        <f ca="1">Driver22!$R69*P129/$T129*INDEX($B$163:$S$167,$A129,P$4)</f>
        <v>0</v>
      </c>
      <c r="Q183" s="738">
        <f ca="1">Driver22!$R69*Q129/$T129*INDEX($B$163:$S$167,$A129,Q$4)</f>
        <v>0</v>
      </c>
      <c r="R183" s="738">
        <f ca="1">Driver22!$R69*R129/$T129*INDEX($B$163:$S$167,$A129,R$4)</f>
        <v>0</v>
      </c>
      <c r="S183" s="738">
        <f ca="1">Driver22!$R69*S129/$T129*INDEX($B$163:$S$167,$A129,S$4)</f>
        <v>0</v>
      </c>
      <c r="T183" s="738">
        <f t="shared" si="70"/>
        <v>0.12475806425600454</v>
      </c>
      <c r="V183" s="613">
        <f ca="1">VLOOKUP($B183,Driver22!$E$58:$M$93,9,FALSE)</f>
        <v>0.17367402127071607</v>
      </c>
      <c r="W183" s="613" t="s">
        <v>363</v>
      </c>
      <c r="X183" s="613">
        <f t="shared" si="71"/>
        <v>1.3920865340963899</v>
      </c>
    </row>
    <row r="184" spans="1:24" hidden="1">
      <c r="A184" s="613" t="str">
        <f t="shared" si="69"/>
        <v>INM</v>
      </c>
      <c r="B184" s="613" t="s">
        <v>966</v>
      </c>
      <c r="C184" s="738">
        <f ca="1">Driver22!$R70*C130/$T130*INDEX($B$163:$S$167,$A130,C$4)</f>
        <v>2.7240648634223635E-2</v>
      </c>
      <c r="D184" s="738">
        <f ca="1">Driver22!$R70*D130/$T130*INDEX($B$163:$S$167,$A130,D$4)</f>
        <v>0</v>
      </c>
      <c r="E184" s="738">
        <f ca="1">Driver22!$R70*E130/$T130*INDEX($B$163:$S$167,$A130,E$4)</f>
        <v>4.031704261939586E-3</v>
      </c>
      <c r="F184" s="738">
        <f ca="1">Driver22!$R70*F130/$T130*INDEX($B$163:$S$167,$A130,F$4)</f>
        <v>0</v>
      </c>
      <c r="G184" s="738">
        <f ca="1">Driver22!$R70*G130/$T130*INDEX($B$163:$S$167,$A130,G$4)</f>
        <v>0</v>
      </c>
      <c r="H184" s="738">
        <f ca="1">Driver22!$R70*H130/$T130*INDEX($B$163:$S$167,$A130,H$4)</f>
        <v>0</v>
      </c>
      <c r="I184" s="738">
        <f ca="1">Driver22!$R70*I130/$T130*INDEX($B$163:$S$167,$A130,I$4)</f>
        <v>0</v>
      </c>
      <c r="J184" s="738">
        <f ca="1">Driver22!$R70*J130/$T130*INDEX($B$163:$S$167,$A130,J$4)</f>
        <v>0</v>
      </c>
      <c r="K184" s="738">
        <f ca="1">Driver22!$R70*K130/$T130*INDEX($B$163:$S$167,$A130,K$4)</f>
        <v>0</v>
      </c>
      <c r="L184" s="738">
        <f ca="1">Driver22!$R70*L130/$T130*INDEX($B$163:$S$167,$A130,L$4)</f>
        <v>0</v>
      </c>
      <c r="M184" s="738">
        <f ca="1">Driver22!$R70*M130/$T130*INDEX($B$163:$S$167,$A130,M$4)</f>
        <v>1.0087255879915676E-3</v>
      </c>
      <c r="N184" s="738">
        <f ca="1">Driver22!$R70*N130/$T130*INDEX($B$163:$S$167,$A130,N$4)</f>
        <v>0</v>
      </c>
      <c r="O184" s="738">
        <f ca="1">Driver22!$R70*O130/$T130*INDEX($B$163:$S$167,$A130,O$4)</f>
        <v>0</v>
      </c>
      <c r="P184" s="738">
        <f ca="1">Driver22!$R70*P130/$T130*INDEX($B$163:$S$167,$A130,P$4)</f>
        <v>0</v>
      </c>
      <c r="Q184" s="738">
        <f ca="1">Driver22!$R70*Q130/$T130*INDEX($B$163:$S$167,$A130,Q$4)</f>
        <v>0</v>
      </c>
      <c r="R184" s="738">
        <f ca="1">Driver22!$R70*R130/$T130*INDEX($B$163:$S$167,$A130,R$4)</f>
        <v>0</v>
      </c>
      <c r="S184" s="738">
        <f ca="1">Driver22!$R70*S130/$T130*INDEX($B$163:$S$167,$A130,S$4)</f>
        <v>0</v>
      </c>
      <c r="T184" s="738">
        <f t="shared" si="70"/>
        <v>3.228107848415479E-2</v>
      </c>
      <c r="V184" s="613">
        <f ca="1">VLOOKUP($B184,Driver22!$E$58:$M$93,9,FALSE)</f>
        <v>4.1792297792273107E-2</v>
      </c>
      <c r="W184" s="613" t="s">
        <v>239</v>
      </c>
      <c r="X184" s="613">
        <f t="shared" si="71"/>
        <v>1.2946375943662141</v>
      </c>
    </row>
    <row r="185" spans="1:24" hidden="1">
      <c r="A185" s="613" t="str">
        <f t="shared" si="69"/>
        <v>INM</v>
      </c>
      <c r="B185" s="613" t="s">
        <v>967</v>
      </c>
      <c r="C185" s="738">
        <f ca="1">Driver22!$R71*C131/$T131*INDEX($B$163:$S$167,$A131,C$4)</f>
        <v>0</v>
      </c>
      <c r="D185" s="738">
        <f ca="1">Driver22!$R71*D131/$T131*INDEX($B$163:$S$167,$A131,D$4)</f>
        <v>2.3307542460887102E-3</v>
      </c>
      <c r="E185" s="738">
        <f ca="1">Driver22!$R71*E131/$T131*INDEX($B$163:$S$167,$A131,E$4)</f>
        <v>1.7968295738060414E-2</v>
      </c>
      <c r="F185" s="738">
        <f ca="1">Driver22!$R71*F131/$T131*INDEX($B$163:$S$167,$A131,F$4)</f>
        <v>0</v>
      </c>
      <c r="G185" s="738">
        <f ca="1">Driver22!$R71*G131/$T131*INDEX($B$163:$S$167,$A131,G$4)</f>
        <v>1.2853332859529285E-2</v>
      </c>
      <c r="H185" s="738">
        <f ca="1">Driver22!$R71*H131/$T131*INDEX($B$163:$S$167,$A131,H$4)</f>
        <v>0</v>
      </c>
      <c r="I185" s="738">
        <f ca="1">Driver22!$R71*I131/$T131*INDEX($B$163:$S$167,$A131,I$4)</f>
        <v>0</v>
      </c>
      <c r="J185" s="738">
        <f ca="1">Driver22!$R71*J131/$T131*INDEX($B$163:$S$167,$A131,J$4)</f>
        <v>0</v>
      </c>
      <c r="K185" s="738">
        <f ca="1">Driver22!$R71*K131/$T131*INDEX($B$163:$S$167,$A131,K$4)</f>
        <v>0</v>
      </c>
      <c r="L185" s="738">
        <f ca="1">Driver22!$R71*L131/$T131*INDEX($B$163:$S$167,$A131,L$4)</f>
        <v>3.5631120241503737E-4</v>
      </c>
      <c r="M185" s="738">
        <f ca="1">Driver22!$R71*M131/$T131*INDEX($B$163:$S$167,$A131,M$4)</f>
        <v>8.9912744120084331E-3</v>
      </c>
      <c r="N185" s="738">
        <f ca="1">Driver22!$R71*N131/$T131*INDEX($B$163:$S$167,$A131,N$4)</f>
        <v>0</v>
      </c>
      <c r="O185" s="738">
        <f ca="1">Driver22!$R71*O131/$T131*INDEX($B$163:$S$167,$A131,O$4)</f>
        <v>0</v>
      </c>
      <c r="P185" s="738">
        <f ca="1">Driver22!$R71*P131/$T131*INDEX($B$163:$S$167,$A131,P$4)</f>
        <v>0.05</v>
      </c>
      <c r="Q185" s="738">
        <f ca="1">Driver22!$R71*Q131/$T131*INDEX($B$163:$S$167,$A131,Q$4)</f>
        <v>5.4999999999999986E-2</v>
      </c>
      <c r="R185" s="738">
        <f ca="1">Driver22!$R71*R131/$T131*INDEX($B$163:$S$167,$A131,R$4)</f>
        <v>0</v>
      </c>
      <c r="S185" s="738">
        <f ca="1">Driver22!$R71*S131/$T131*INDEX($B$163:$S$167,$A131,S$4)</f>
        <v>2.9253755466514056E-2</v>
      </c>
      <c r="T185" s="738">
        <f t="shared" si="70"/>
        <v>0.17675372392461591</v>
      </c>
      <c r="V185" s="613">
        <f ca="1">VLOOKUP($B185,Driver22!$E$58:$M$93,9,FALSE)</f>
        <v>0.11832654760178606</v>
      </c>
      <c r="W185" s="613" t="s">
        <v>240</v>
      </c>
      <c r="X185" s="613">
        <f t="shared" si="71"/>
        <v>0.66944302487370166</v>
      </c>
    </row>
    <row r="186" spans="1:24" hidden="1">
      <c r="A186" s="613" t="str">
        <f t="shared" si="69"/>
        <v>INF</v>
      </c>
      <c r="B186" s="613" t="s">
        <v>259</v>
      </c>
      <c r="C186" s="738">
        <f ca="1">Driver22!$R72*C132/$T132*INDEX($B$163:$S$167,$A132,C$4)</f>
        <v>0</v>
      </c>
      <c r="D186" s="738">
        <f ca="1">Driver22!$R72*D132/$T132*INDEX($B$163:$S$167,$A132,D$4)</f>
        <v>0</v>
      </c>
      <c r="E186" s="738">
        <f ca="1">Driver22!$R72*E132/$T132*INDEX($B$163:$S$167,$A132,E$4)</f>
        <v>0</v>
      </c>
      <c r="F186" s="738">
        <f ca="1">Driver22!$R72*F132/$T132*INDEX($B$163:$S$167,$A132,F$4)</f>
        <v>0</v>
      </c>
      <c r="G186" s="738">
        <f ca="1">Driver22!$R72*G132/$T132*INDEX($B$163:$S$167,$A132,G$4)</f>
        <v>0</v>
      </c>
      <c r="H186" s="738">
        <f ca="1">Driver22!$R72*H132/$T132*INDEX($B$163:$S$167,$A132,H$4)</f>
        <v>0</v>
      </c>
      <c r="I186" s="738">
        <f ca="1">Driver22!$R72*I132/$T132*INDEX($B$163:$S$167,$A132,I$4)</f>
        <v>0</v>
      </c>
      <c r="J186" s="738">
        <f ca="1">Driver22!$R72*J132/$T132*INDEX($B$163:$S$167,$A132,J$4)</f>
        <v>0</v>
      </c>
      <c r="K186" s="738">
        <f ca="1">Driver22!$R72*K132/$T132*INDEX($B$163:$S$167,$A132,K$4)</f>
        <v>0</v>
      </c>
      <c r="L186" s="738">
        <f ca="1">Driver22!$R72*L132/$T132*INDEX($B$163:$S$167,$A132,L$4)</f>
        <v>0</v>
      </c>
      <c r="M186" s="738">
        <f ca="1">Driver22!$R72*M132/$T132*INDEX($B$163:$S$167,$A132,M$4)</f>
        <v>0</v>
      </c>
      <c r="N186" s="738">
        <f ca="1">Driver22!$R72*N132/$T132*INDEX($B$163:$S$167,$A132,N$4)</f>
        <v>0</v>
      </c>
      <c r="O186" s="738">
        <f ca="1">Driver22!$R72*O132/$T132*INDEX($B$163:$S$167,$A132,O$4)</f>
        <v>0</v>
      </c>
      <c r="P186" s="738">
        <f ca="1">Driver22!$R72*P132/$T132*INDEX($B$163:$S$167,$A132,P$4)</f>
        <v>0</v>
      </c>
      <c r="Q186" s="738">
        <f ca="1">Driver22!$R72*Q132/$T132*INDEX($B$163:$S$167,$A132,Q$4)</f>
        <v>0</v>
      </c>
      <c r="R186" s="738">
        <f ca="1">Driver22!$R72*R132/$T132*INDEX($B$163:$S$167,$A132,R$4)</f>
        <v>0</v>
      </c>
      <c r="S186" s="738">
        <f ca="1">Driver22!$R72*S132/$T132*INDEX($B$163:$S$167,$A132,S$4)</f>
        <v>0</v>
      </c>
      <c r="T186" s="738">
        <f t="shared" si="70"/>
        <v>0</v>
      </c>
      <c r="V186" s="613">
        <f ca="1">VLOOKUP($B186,Driver22!$E$58:$M$93,9,FALSE)</f>
        <v>0</v>
      </c>
      <c r="W186" s="613" t="s">
        <v>221</v>
      </c>
      <c r="X186" s="613" t="b">
        <f t="shared" si="71"/>
        <v>0</v>
      </c>
    </row>
    <row r="187" spans="1:24" hidden="1">
      <c r="A187" s="613" t="str">
        <f t="shared" si="69"/>
        <v>INF</v>
      </c>
      <c r="B187" s="613" t="s">
        <v>370</v>
      </c>
      <c r="C187" s="738">
        <f ca="1">Driver22!$R73*C133/$T133*INDEX($B$163:$S$167,$A133,C$4)</f>
        <v>0</v>
      </c>
      <c r="D187" s="738">
        <f ca="1">Driver22!$R73*D133/$T133*INDEX($B$163:$S$167,$A133,D$4)</f>
        <v>0</v>
      </c>
      <c r="E187" s="738">
        <f ca="1">Driver22!$R73*E133/$T133*INDEX($B$163:$S$167,$A133,E$4)</f>
        <v>0</v>
      </c>
      <c r="F187" s="738">
        <f ca="1">Driver22!$R73*F133/$T133*INDEX($B$163:$S$167,$A133,F$4)</f>
        <v>0</v>
      </c>
      <c r="G187" s="738">
        <f ca="1">Driver22!$R73*G133/$T133*INDEX($B$163:$S$167,$A133,G$4)</f>
        <v>0</v>
      </c>
      <c r="H187" s="738">
        <f ca="1">Driver22!$R73*H133/$T133*INDEX($B$163:$S$167,$A133,H$4)</f>
        <v>0</v>
      </c>
      <c r="I187" s="738">
        <f ca="1">Driver22!$R73*I133/$T133*INDEX($B$163:$S$167,$A133,I$4)</f>
        <v>0</v>
      </c>
      <c r="J187" s="738">
        <f ca="1">Driver22!$R73*J133/$T133*INDEX($B$163:$S$167,$A133,J$4)</f>
        <v>0</v>
      </c>
      <c r="K187" s="738">
        <f ca="1">Driver22!$R73*K133/$T133*INDEX($B$163:$S$167,$A133,K$4)</f>
        <v>0</v>
      </c>
      <c r="L187" s="738">
        <f ca="1">Driver22!$R73*L133/$T133*INDEX($B$163:$S$167,$A133,L$4)</f>
        <v>0</v>
      </c>
      <c r="M187" s="738">
        <f ca="1">Driver22!$R73*M133/$T133*INDEX($B$163:$S$167,$A133,M$4)</f>
        <v>0</v>
      </c>
      <c r="N187" s="738">
        <f ca="1">Driver22!$R73*N133/$T133*INDEX($B$163:$S$167,$A133,N$4)</f>
        <v>0</v>
      </c>
      <c r="O187" s="738">
        <f ca="1">Driver22!$R73*O133/$T133*INDEX($B$163:$S$167,$A133,O$4)</f>
        <v>0</v>
      </c>
      <c r="P187" s="738">
        <f ca="1">Driver22!$R73*P133/$T133*INDEX($B$163:$S$167,$A133,P$4)</f>
        <v>0</v>
      </c>
      <c r="Q187" s="738">
        <f ca="1">Driver22!$R73*Q133/$T133*INDEX($B$163:$S$167,$A133,Q$4)</f>
        <v>0</v>
      </c>
      <c r="R187" s="738">
        <f ca="1">Driver22!$R73*R133/$T133*INDEX($B$163:$S$167,$A133,R$4)</f>
        <v>0</v>
      </c>
      <c r="S187" s="738">
        <f ca="1">Driver22!$R73*S133/$T133*INDEX($B$163:$S$167,$A133,S$4)</f>
        <v>0</v>
      </c>
      <c r="T187" s="738">
        <f t="shared" si="70"/>
        <v>0</v>
      </c>
      <c r="V187" s="613">
        <f ca="1">VLOOKUP($B187,Driver22!$E$58:$M$93,9,FALSE)</f>
        <v>0</v>
      </c>
      <c r="W187" s="613" t="s">
        <v>369</v>
      </c>
      <c r="X187" s="613" t="b">
        <f t="shared" si="71"/>
        <v>0</v>
      </c>
    </row>
    <row r="188" spans="1:24" hidden="1">
      <c r="A188" s="613" t="str">
        <f t="shared" si="69"/>
        <v>INF</v>
      </c>
      <c r="B188" s="613" t="s">
        <v>417</v>
      </c>
      <c r="C188" s="738">
        <f ca="1">Driver22!$R74*C134/$T134*INDEX($B$163:$S$167,$A134,C$4)</f>
        <v>0</v>
      </c>
      <c r="D188" s="738">
        <f ca="1">Driver22!$R74*D134/$T134*INDEX($B$163:$S$167,$A134,D$4)</f>
        <v>0</v>
      </c>
      <c r="E188" s="738">
        <f ca="1">Driver22!$R74*E134/$T134*INDEX($B$163:$S$167,$A134,E$4)</f>
        <v>0</v>
      </c>
      <c r="F188" s="738">
        <f ca="1">Driver22!$R74*F134/$T134*INDEX($B$163:$S$167,$A134,F$4)</f>
        <v>0</v>
      </c>
      <c r="G188" s="738">
        <f ca="1">Driver22!$R74*G134/$T134*INDEX($B$163:$S$167,$A134,G$4)</f>
        <v>0</v>
      </c>
      <c r="H188" s="738">
        <f ca="1">Driver22!$R74*H134/$T134*INDEX($B$163:$S$167,$A134,H$4)</f>
        <v>0</v>
      </c>
      <c r="I188" s="738">
        <f ca="1">Driver22!$R74*I134/$T134*INDEX($B$163:$S$167,$A134,I$4)</f>
        <v>0</v>
      </c>
      <c r="J188" s="738">
        <f ca="1">Driver22!$R74*J134/$T134*INDEX($B$163:$S$167,$A134,J$4)</f>
        <v>0</v>
      </c>
      <c r="K188" s="738">
        <f ca="1">Driver22!$R74*K134/$T134*INDEX($B$163:$S$167,$A134,K$4)</f>
        <v>0</v>
      </c>
      <c r="L188" s="738">
        <f ca="1">Driver22!$R74*L134/$T134*INDEX($B$163:$S$167,$A134,L$4)</f>
        <v>0</v>
      </c>
      <c r="M188" s="738">
        <f ca="1">Driver22!$R74*M134/$T134*INDEX($B$163:$S$167,$A134,M$4)</f>
        <v>0</v>
      </c>
      <c r="N188" s="738">
        <f ca="1">Driver22!$R74*N134/$T134*INDEX($B$163:$S$167,$A134,N$4)</f>
        <v>0</v>
      </c>
      <c r="O188" s="738">
        <f ca="1">Driver22!$R74*O134/$T134*INDEX($B$163:$S$167,$A134,O$4)</f>
        <v>0</v>
      </c>
      <c r="P188" s="738">
        <f ca="1">Driver22!$R74*P134/$T134*INDEX($B$163:$S$167,$A134,P$4)</f>
        <v>0</v>
      </c>
      <c r="Q188" s="738">
        <f ca="1">Driver22!$R74*Q134/$T134*INDEX($B$163:$S$167,$A134,Q$4)</f>
        <v>0</v>
      </c>
      <c r="R188" s="738">
        <f ca="1">Driver22!$R74*R134/$T134*INDEX($B$163:$S$167,$A134,R$4)</f>
        <v>0</v>
      </c>
      <c r="S188" s="738">
        <f ca="1">Driver22!$R74*S134/$T134*INDEX($B$163:$S$167,$A134,S$4)</f>
        <v>0</v>
      </c>
      <c r="T188" s="738">
        <f t="shared" si="70"/>
        <v>0</v>
      </c>
      <c r="V188" s="613">
        <f ca="1">VLOOKUP($B188,Driver22!$E$58:$M$93,9,FALSE)</f>
        <v>0</v>
      </c>
      <c r="W188" s="613" t="s">
        <v>404</v>
      </c>
      <c r="X188" s="613" t="b">
        <f t="shared" si="71"/>
        <v>0</v>
      </c>
    </row>
    <row r="189" spans="1:24" hidden="1">
      <c r="A189" s="613" t="str">
        <f t="shared" si="69"/>
        <v>INF</v>
      </c>
      <c r="B189" s="613" t="s">
        <v>418</v>
      </c>
      <c r="C189" s="738">
        <f ca="1">Driver22!$R75*C135/$T135*INDEX($B$163:$S$167,$A135,C$4)</f>
        <v>3.4508264761600608E-3</v>
      </c>
      <c r="D189" s="738">
        <f ca="1">Driver22!$R75*D135/$T135*INDEX($B$163:$S$167,$A135,D$4)</f>
        <v>0</v>
      </c>
      <c r="E189" s="738">
        <f ca="1">Driver22!$R75*E135/$T135*INDEX($B$163:$S$167,$A135,E$4)</f>
        <v>1.0918643557663132E-3</v>
      </c>
      <c r="F189" s="738">
        <f ca="1">Driver22!$R75*F135/$T135*INDEX($B$163:$S$167,$A135,F$4)</f>
        <v>0</v>
      </c>
      <c r="G189" s="738">
        <f ca="1">Driver22!$R75*G135/$T135*INDEX($B$163:$S$167,$A135,G$4)</f>
        <v>0</v>
      </c>
      <c r="H189" s="738">
        <f ca="1">Driver22!$R75*H135/$T135*INDEX($B$163:$S$167,$A135,H$4)</f>
        <v>0</v>
      </c>
      <c r="I189" s="738">
        <f ca="1">Driver22!$R75*I135/$T135*INDEX($B$163:$S$167,$A135,I$4)</f>
        <v>0</v>
      </c>
      <c r="J189" s="738">
        <f ca="1">Driver22!$R75*J135/$T135*INDEX($B$163:$S$167,$A135,J$4)</f>
        <v>0</v>
      </c>
      <c r="K189" s="738">
        <f ca="1">Driver22!$R75*K135/$T135*INDEX($B$163:$S$167,$A135,K$4)</f>
        <v>0</v>
      </c>
      <c r="L189" s="738">
        <f ca="1">Driver22!$R75*L135/$T135*INDEX($B$163:$S$167,$A135,L$4)</f>
        <v>7.5405694859281283E-4</v>
      </c>
      <c r="M189" s="738">
        <f ca="1">Driver22!$R75*M135/$T135*INDEX($B$163:$S$167,$A135,M$4)</f>
        <v>0</v>
      </c>
      <c r="N189" s="738">
        <f ca="1">Driver22!$R75*N135/$T135*INDEX($B$163:$S$167,$A135,N$4)</f>
        <v>0</v>
      </c>
      <c r="O189" s="738">
        <f ca="1">Driver22!$R75*O135/$T135*INDEX($B$163:$S$167,$A135,O$4)</f>
        <v>0</v>
      </c>
      <c r="P189" s="738">
        <f ca="1">Driver22!$R75*P135/$T135*INDEX($B$163:$S$167,$A135,P$4)</f>
        <v>0</v>
      </c>
      <c r="Q189" s="738">
        <f ca="1">Driver22!$R75*Q135/$T135*INDEX($B$163:$S$167,$A135,Q$4)</f>
        <v>0</v>
      </c>
      <c r="R189" s="738">
        <f ca="1">Driver22!$R75*R135/$T135*INDEX($B$163:$S$167,$A135,R$4)</f>
        <v>0</v>
      </c>
      <c r="S189" s="738">
        <f ca="1">Driver22!$R75*S135/$T135*INDEX($B$163:$S$167,$A135,S$4)</f>
        <v>0</v>
      </c>
      <c r="T189" s="738">
        <f t="shared" si="70"/>
        <v>5.2967477805191867E-3</v>
      </c>
      <c r="V189" s="613">
        <f ca="1">VLOOKUP($B189,Driver22!$E$58:$M$93,9,FALSE)</f>
        <v>5.9755923277175545E-3</v>
      </c>
      <c r="W189" s="613" t="s">
        <v>405</v>
      </c>
      <c r="X189" s="613">
        <f t="shared" si="71"/>
        <v>1.1281625207254682</v>
      </c>
    </row>
    <row r="190" spans="1:24" hidden="1">
      <c r="A190" s="613" t="str">
        <f t="shared" si="69"/>
        <v>INF</v>
      </c>
      <c r="B190" s="613" t="s">
        <v>968</v>
      </c>
      <c r="C190" s="738">
        <f ca="1">Driver22!$R76*C136/$T136*INDEX($B$163:$S$167,$A136,C$4)</f>
        <v>1.9862413858238413E-2</v>
      </c>
      <c r="D190" s="738">
        <f ca="1">Driver22!$R76*D136/$T136*INDEX($B$163:$S$167,$A136,D$4)</f>
        <v>0</v>
      </c>
      <c r="E190" s="738">
        <f ca="1">Driver22!$R76*E136/$T136*INDEX($B$163:$S$167,$A136,E$4)</f>
        <v>1.1662143060392255E-3</v>
      </c>
      <c r="F190" s="738">
        <f ca="1">Driver22!$R76*F136/$T136*INDEX($B$163:$S$167,$A136,F$4)</f>
        <v>0</v>
      </c>
      <c r="G190" s="738">
        <f ca="1">Driver22!$R76*G136/$T136*INDEX($B$163:$S$167,$A136,G$4)</f>
        <v>0</v>
      </c>
      <c r="H190" s="738">
        <f ca="1">Driver22!$R76*H136/$T136*INDEX($B$163:$S$167,$A136,H$4)</f>
        <v>0</v>
      </c>
      <c r="I190" s="738">
        <f ca="1">Driver22!$R76*I136/$T136*INDEX($B$163:$S$167,$A136,I$4)</f>
        <v>0</v>
      </c>
      <c r="J190" s="738">
        <f ca="1">Driver22!$R76*J136/$T136*INDEX($B$163:$S$167,$A136,J$4)</f>
        <v>0</v>
      </c>
      <c r="K190" s="738">
        <f ca="1">Driver22!$R76*K136/$T136*INDEX($B$163:$S$167,$A136,K$4)</f>
        <v>0</v>
      </c>
      <c r="L190" s="738">
        <f ca="1">Driver22!$R76*L136/$T136*INDEX($B$163:$S$167,$A136,L$4)</f>
        <v>0</v>
      </c>
      <c r="M190" s="738">
        <f ca="1">Driver22!$R76*M136/$T136*INDEX($B$163:$S$167,$A136,M$4)</f>
        <v>0</v>
      </c>
      <c r="N190" s="738">
        <f ca="1">Driver22!$R76*N136/$T136*INDEX($B$163:$S$167,$A136,N$4)</f>
        <v>0</v>
      </c>
      <c r="O190" s="738">
        <f ca="1">Driver22!$R76*O136/$T136*INDEX($B$163:$S$167,$A136,O$4)</f>
        <v>0</v>
      </c>
      <c r="P190" s="738">
        <f ca="1">Driver22!$R76*P136/$T136*INDEX($B$163:$S$167,$A136,P$4)</f>
        <v>0</v>
      </c>
      <c r="Q190" s="738">
        <f ca="1">Driver22!$R76*Q136/$T136*INDEX($B$163:$S$167,$A136,Q$4)</f>
        <v>0</v>
      </c>
      <c r="R190" s="738">
        <f ca="1">Driver22!$R76*R136/$T136*INDEX($B$163:$S$167,$A136,R$4)</f>
        <v>0</v>
      </c>
      <c r="S190" s="738">
        <f ca="1">Driver22!$R76*S136/$T136*INDEX($B$163:$S$167,$A136,S$4)</f>
        <v>0</v>
      </c>
      <c r="T190" s="738">
        <f t="shared" si="70"/>
        <v>2.1028628164277637E-2</v>
      </c>
      <c r="V190" s="613">
        <f ca="1">VLOOKUP($B190,Driver22!$E$58:$M$93,9,FALSE)</f>
        <v>2.2186147047508462E-2</v>
      </c>
      <c r="W190" s="613" t="s">
        <v>235</v>
      </c>
      <c r="X190" s="613">
        <f t="shared" si="71"/>
        <v>1.0550449070756389</v>
      </c>
    </row>
    <row r="191" spans="1:24" hidden="1">
      <c r="A191" s="613" t="str">
        <f t="shared" si="69"/>
        <v>INF</v>
      </c>
      <c r="B191" s="613" t="s">
        <v>969</v>
      </c>
      <c r="C191" s="738">
        <f ca="1">Driver22!$R77*C137/$T137*INDEX($B$163:$S$167,$A137,C$4)</f>
        <v>0</v>
      </c>
      <c r="D191" s="738">
        <f ca="1">Driver22!$R77*D137/$T137*INDEX($B$163:$S$167,$A137,D$4)</f>
        <v>0</v>
      </c>
      <c r="E191" s="738">
        <f ca="1">Driver22!$R77*E137/$T137*INDEX($B$163:$S$167,$A137,E$4)</f>
        <v>7.4192133819446135E-4</v>
      </c>
      <c r="F191" s="738">
        <f ca="1">Driver22!$R77*F137/$T137*INDEX($B$163:$S$167,$A137,F$4)</f>
        <v>0</v>
      </c>
      <c r="G191" s="738">
        <f ca="1">Driver22!$R77*G137/$T137*INDEX($B$163:$S$167,$A137,G$4)</f>
        <v>0</v>
      </c>
      <c r="H191" s="738">
        <f ca="1">Driver22!$R77*H137/$T137*INDEX($B$163:$S$167,$A137,H$4)</f>
        <v>0</v>
      </c>
      <c r="I191" s="738">
        <f ca="1">Driver22!$R77*I137/$T137*INDEX($B$163:$S$167,$A137,I$4)</f>
        <v>0</v>
      </c>
      <c r="J191" s="738">
        <f ca="1">Driver22!$R77*J137/$T137*INDEX($B$163:$S$167,$A137,J$4)</f>
        <v>0</v>
      </c>
      <c r="K191" s="738">
        <f ca="1">Driver22!$R77*K137/$T137*INDEX($B$163:$S$167,$A137,K$4)</f>
        <v>0</v>
      </c>
      <c r="L191" s="738">
        <f ca="1">Driver22!$R77*L137/$T137*INDEX($B$163:$S$167,$A137,L$4)</f>
        <v>2.459430514071872E-4</v>
      </c>
      <c r="M191" s="738">
        <f ca="1">Driver22!$R77*M137/$T137*INDEX($B$163:$S$167,$A137,M$4)</f>
        <v>0</v>
      </c>
      <c r="N191" s="738">
        <f ca="1">Driver22!$R77*N137/$T137*INDEX($B$163:$S$167,$A137,N$4)</f>
        <v>0</v>
      </c>
      <c r="O191" s="738">
        <f ca="1">Driver22!$R77*O137/$T137*INDEX($B$163:$S$167,$A137,O$4)</f>
        <v>0</v>
      </c>
      <c r="P191" s="738">
        <f ca="1">Driver22!$R77*P137/$T137*INDEX($B$163:$S$167,$A137,P$4)</f>
        <v>0</v>
      </c>
      <c r="Q191" s="738">
        <f ca="1">Driver22!$R77*Q137/$T137*INDEX($B$163:$S$167,$A137,Q$4)</f>
        <v>0</v>
      </c>
      <c r="R191" s="738">
        <f ca="1">Driver22!$R77*R137/$T137*INDEX($B$163:$S$167,$A137,R$4)</f>
        <v>0</v>
      </c>
      <c r="S191" s="738">
        <f ca="1">Driver22!$R77*S137/$T137*INDEX($B$163:$S$167,$A137,S$4)</f>
        <v>1.0952505073654572E-2</v>
      </c>
      <c r="T191" s="738">
        <f t="shared" si="70"/>
        <v>1.1940369463256221E-2</v>
      </c>
      <c r="V191" s="613">
        <f ca="1">VLOOKUP($B191,Driver22!$E$58:$M$93,9,FALSE)</f>
        <v>1.010400603282703E-2</v>
      </c>
      <c r="W191" s="613" t="s">
        <v>236</v>
      </c>
      <c r="X191" s="613">
        <f t="shared" si="71"/>
        <v>0.84620547663284762</v>
      </c>
    </row>
    <row r="192" spans="1:24" hidden="1">
      <c r="A192" s="613" t="str">
        <f t="shared" si="69"/>
        <v>ICH</v>
      </c>
      <c r="B192" s="613" t="s">
        <v>360</v>
      </c>
      <c r="C192" s="738">
        <f ca="1">Driver22!$R78*C138/$T138*INDEX($B$163:$S$167,$A138,C$4)</f>
        <v>0</v>
      </c>
      <c r="D192" s="738">
        <f ca="1">Driver22!$R78*D138/$T138*INDEX($B$163:$S$167,$A138,D$4)</f>
        <v>0</v>
      </c>
      <c r="E192" s="738">
        <f ca="1">Driver22!$R78*E138/$T138*INDEX($B$163:$S$167,$A138,E$4)</f>
        <v>0</v>
      </c>
      <c r="F192" s="738">
        <f ca="1">Driver22!$R78*F138/$T138*INDEX($B$163:$S$167,$A138,F$4)</f>
        <v>0</v>
      </c>
      <c r="G192" s="738">
        <f ca="1">Driver22!$R78*G138/$T138*INDEX($B$163:$S$167,$A138,G$4)</f>
        <v>0</v>
      </c>
      <c r="H192" s="738">
        <f ca="1">Driver22!$R78*H138/$T138*INDEX($B$163:$S$167,$A138,H$4)</f>
        <v>0</v>
      </c>
      <c r="I192" s="738">
        <f ca="1">Driver22!$R78*I138/$T138*INDEX($B$163:$S$167,$A138,I$4)</f>
        <v>0</v>
      </c>
      <c r="J192" s="738">
        <f ca="1">Driver22!$R78*J138/$T138*INDEX($B$163:$S$167,$A138,J$4)</f>
        <v>0</v>
      </c>
      <c r="K192" s="738">
        <f ca="1">Driver22!$R78*K138/$T138*INDEX($B$163:$S$167,$A138,K$4)</f>
        <v>0</v>
      </c>
      <c r="L192" s="738">
        <f ca="1">Driver22!$R78*L138/$T138*INDEX($B$163:$S$167,$A138,L$4)</f>
        <v>0</v>
      </c>
      <c r="M192" s="738">
        <f ca="1">Driver22!$R78*M138/$T138*INDEX($B$163:$S$167,$A138,M$4)</f>
        <v>0</v>
      </c>
      <c r="N192" s="738">
        <f ca="1">Driver22!$R78*N138/$T138*INDEX($B$163:$S$167,$A138,N$4)</f>
        <v>0</v>
      </c>
      <c r="O192" s="738">
        <f ca="1">Driver22!$R78*O138/$T138*INDEX($B$163:$S$167,$A138,O$4)</f>
        <v>0</v>
      </c>
      <c r="P192" s="738">
        <f ca="1">Driver22!$R78*P138/$T138*INDEX($B$163:$S$167,$A138,P$4)</f>
        <v>0</v>
      </c>
      <c r="Q192" s="738">
        <f ca="1">Driver22!$R78*Q138/$T138*INDEX($B$163:$S$167,$A138,Q$4)</f>
        <v>0</v>
      </c>
      <c r="R192" s="738">
        <f ca="1">Driver22!$R78*R138/$T138*INDEX($B$163:$S$167,$A138,R$4)</f>
        <v>0</v>
      </c>
      <c r="S192" s="738">
        <f ca="1">Driver22!$R78*S138/$T138*INDEX($B$163:$S$167,$A138,S$4)</f>
        <v>0</v>
      </c>
      <c r="T192" s="738">
        <f t="shared" si="70"/>
        <v>0</v>
      </c>
      <c r="V192" s="613">
        <f ca="1">VLOOKUP($B192,Driver22!$E$58:$M$93,9,FALSE)</f>
        <v>0</v>
      </c>
      <c r="W192" s="613" t="s">
        <v>359</v>
      </c>
      <c r="X192" s="613" t="b">
        <f t="shared" si="71"/>
        <v>0</v>
      </c>
    </row>
    <row r="193" spans="1:24" hidden="1">
      <c r="A193" s="613" t="str">
        <f t="shared" si="69"/>
        <v>ICH</v>
      </c>
      <c r="B193" s="613" t="s">
        <v>972</v>
      </c>
      <c r="C193" s="738">
        <f ca="1">Driver22!$R79*C139/$T139*INDEX($B$163:$S$167,$A139,C$4)</f>
        <v>0</v>
      </c>
      <c r="D193" s="738">
        <f ca="1">Driver22!$R79*D139/$T139*INDEX($B$163:$S$167,$A139,D$4)</f>
        <v>0</v>
      </c>
      <c r="E193" s="738">
        <f ca="1">Driver22!$R79*E139/$T139*INDEX($B$163:$S$167,$A139,E$4)</f>
        <v>0</v>
      </c>
      <c r="F193" s="738">
        <f ca="1">Driver22!$R79*F139/$T139*INDEX($B$163:$S$167,$A139,F$4)</f>
        <v>0</v>
      </c>
      <c r="G193" s="738">
        <f ca="1">Driver22!$R79*G139/$T139*INDEX($B$163:$S$167,$A139,G$4)</f>
        <v>0</v>
      </c>
      <c r="H193" s="738">
        <f ca="1">Driver22!$R79*H139/$T139*INDEX($B$163:$S$167,$A139,H$4)</f>
        <v>0</v>
      </c>
      <c r="I193" s="738">
        <f ca="1">Driver22!$R79*I139/$T139*INDEX($B$163:$S$167,$A139,I$4)</f>
        <v>0</v>
      </c>
      <c r="J193" s="738">
        <f ca="1">Driver22!$R79*J139/$T139*INDEX($B$163:$S$167,$A139,J$4)</f>
        <v>0</v>
      </c>
      <c r="K193" s="738">
        <f ca="1">Driver22!$R79*K139/$T139*INDEX($B$163:$S$167,$A139,K$4)</f>
        <v>0</v>
      </c>
      <c r="L193" s="738">
        <f ca="1">Driver22!$R79*L139/$T139*INDEX($B$163:$S$167,$A139,L$4)</f>
        <v>0</v>
      </c>
      <c r="M193" s="738">
        <f ca="1">Driver22!$R79*M139/$T139*INDEX($B$163:$S$167,$A139,M$4)</f>
        <v>0</v>
      </c>
      <c r="N193" s="738">
        <f ca="1">Driver22!$R79*N139/$T139*INDEX($B$163:$S$167,$A139,N$4)</f>
        <v>0</v>
      </c>
      <c r="O193" s="738">
        <f ca="1">Driver22!$R79*O139/$T139*INDEX($B$163:$S$167,$A139,O$4)</f>
        <v>0</v>
      </c>
      <c r="P193" s="738">
        <f ca="1">Driver22!$R79*P139/$T139*INDEX($B$163:$S$167,$A139,P$4)</f>
        <v>0</v>
      </c>
      <c r="Q193" s="738">
        <f ca="1">Driver22!$R79*Q139/$T139*INDEX($B$163:$S$167,$A139,Q$4)</f>
        <v>0</v>
      </c>
      <c r="R193" s="738">
        <f ca="1">Driver22!$R79*R139/$T139*INDEX($B$163:$S$167,$A139,R$4)</f>
        <v>0</v>
      </c>
      <c r="S193" s="738">
        <f ca="1">Driver22!$R79*S139/$T139*INDEX($B$163:$S$167,$A139,S$4)</f>
        <v>0</v>
      </c>
      <c r="T193" s="738">
        <f t="shared" si="70"/>
        <v>0</v>
      </c>
      <c r="V193" s="613">
        <f ca="1">VLOOKUP($B193,Driver22!$E$58:$M$93,9,FALSE)</f>
        <v>0</v>
      </c>
      <c r="W193" s="613" t="s">
        <v>253</v>
      </c>
      <c r="X193" s="613" t="b">
        <f t="shared" si="71"/>
        <v>0</v>
      </c>
    </row>
    <row r="194" spans="1:24" hidden="1">
      <c r="A194" s="613" t="str">
        <f t="shared" si="69"/>
        <v>ICH</v>
      </c>
      <c r="B194" s="613" t="s">
        <v>358</v>
      </c>
      <c r="C194" s="738">
        <f ca="1">Driver22!$R80*C140/$T140*INDEX($B$163:$S$167,$A140,C$4)</f>
        <v>0</v>
      </c>
      <c r="D194" s="738">
        <f ca="1">Driver22!$R80*D140/$T140*INDEX($B$163:$S$167,$A140,D$4)</f>
        <v>0</v>
      </c>
      <c r="E194" s="738">
        <f ca="1">Driver22!$R80*E140/$T140*INDEX($B$163:$S$167,$A140,E$4)</f>
        <v>0</v>
      </c>
      <c r="F194" s="738">
        <f ca="1">Driver22!$R80*F140/$T140*INDEX($B$163:$S$167,$A140,F$4)</f>
        <v>0</v>
      </c>
      <c r="G194" s="738">
        <f ca="1">Driver22!$R80*G140/$T140*INDEX($B$163:$S$167,$A140,G$4)</f>
        <v>0</v>
      </c>
      <c r="H194" s="738">
        <f ca="1">Driver22!$R80*H140/$T140*INDEX($B$163:$S$167,$A140,H$4)</f>
        <v>0</v>
      </c>
      <c r="I194" s="738">
        <f ca="1">Driver22!$R80*I140/$T140*INDEX($B$163:$S$167,$A140,I$4)</f>
        <v>0</v>
      </c>
      <c r="J194" s="738">
        <f ca="1">Driver22!$R80*J140/$T140*INDEX($B$163:$S$167,$A140,J$4)</f>
        <v>0</v>
      </c>
      <c r="K194" s="738">
        <f ca="1">Driver22!$R80*K140/$T140*INDEX($B$163:$S$167,$A140,K$4)</f>
        <v>0</v>
      </c>
      <c r="L194" s="738">
        <f ca="1">Driver22!$R80*L140/$T140*INDEX($B$163:$S$167,$A140,L$4)</f>
        <v>0</v>
      </c>
      <c r="M194" s="738">
        <f ca="1">Driver22!$R80*M140/$T140*INDEX($B$163:$S$167,$A140,M$4)</f>
        <v>0</v>
      </c>
      <c r="N194" s="738">
        <f ca="1">Driver22!$R80*N140/$T140*INDEX($B$163:$S$167,$A140,N$4)</f>
        <v>0</v>
      </c>
      <c r="O194" s="738">
        <f ca="1">Driver22!$R80*O140/$T140*INDEX($B$163:$S$167,$A140,O$4)</f>
        <v>0</v>
      </c>
      <c r="P194" s="738">
        <f ca="1">Driver22!$R80*P140/$T140*INDEX($B$163:$S$167,$A140,P$4)</f>
        <v>0</v>
      </c>
      <c r="Q194" s="738">
        <f ca="1">Driver22!$R80*Q140/$T140*INDEX($B$163:$S$167,$A140,Q$4)</f>
        <v>0</v>
      </c>
      <c r="R194" s="738">
        <f ca="1">Driver22!$R80*R140/$T140*INDEX($B$163:$S$167,$A140,R$4)</f>
        <v>0</v>
      </c>
      <c r="S194" s="738">
        <f ca="1">Driver22!$R80*S140/$T140*INDEX($B$163:$S$167,$A140,S$4)</f>
        <v>0</v>
      </c>
      <c r="T194" s="738">
        <f t="shared" si="70"/>
        <v>0</v>
      </c>
      <c r="V194" s="613">
        <f ca="1">VLOOKUP($B194,Driver22!$E$58:$M$93,9,FALSE)</f>
        <v>0</v>
      </c>
      <c r="W194" s="613" t="s">
        <v>357</v>
      </c>
      <c r="X194" s="613" t="b">
        <f t="shared" si="71"/>
        <v>0</v>
      </c>
    </row>
    <row r="195" spans="1:24" hidden="1">
      <c r="A195" s="613" t="str">
        <f t="shared" si="69"/>
        <v>ICH</v>
      </c>
      <c r="B195" s="613" t="s">
        <v>541</v>
      </c>
      <c r="C195" s="738">
        <f ca="1">Driver22!$R81*C141/$T141*INDEX($B$163:$S$167,$A141,C$4)</f>
        <v>0</v>
      </c>
      <c r="D195" s="738">
        <f ca="1">Driver22!$R81*D141/$T141*INDEX($B$163:$S$167,$A141,D$4)</f>
        <v>0</v>
      </c>
      <c r="E195" s="738">
        <f ca="1">Driver22!$R81*E141/$T141*INDEX($B$163:$S$167,$A141,E$4)</f>
        <v>0</v>
      </c>
      <c r="F195" s="738">
        <f ca="1">Driver22!$R81*F141/$T141*INDEX($B$163:$S$167,$A141,F$4)</f>
        <v>0</v>
      </c>
      <c r="G195" s="738">
        <f ca="1">Driver22!$R81*G141/$T141*INDEX($B$163:$S$167,$A141,G$4)</f>
        <v>0</v>
      </c>
      <c r="H195" s="738">
        <f ca="1">Driver22!$R81*H141/$T141*INDEX($B$163:$S$167,$A141,H$4)</f>
        <v>0</v>
      </c>
      <c r="I195" s="738">
        <f ca="1">Driver22!$R81*I141/$T141*INDEX($B$163:$S$167,$A141,I$4)</f>
        <v>0</v>
      </c>
      <c r="J195" s="738">
        <f ca="1">Driver22!$R81*J141/$T141*INDEX($B$163:$S$167,$A141,J$4)</f>
        <v>0</v>
      </c>
      <c r="K195" s="738">
        <f ca="1">Driver22!$R81*K141/$T141*INDEX($B$163:$S$167,$A141,K$4)</f>
        <v>0</v>
      </c>
      <c r="L195" s="738">
        <f ca="1">Driver22!$R81*L141/$T141*INDEX($B$163:$S$167,$A141,L$4)</f>
        <v>0</v>
      </c>
      <c r="M195" s="738">
        <f ca="1">Driver22!$R81*M141/$T141*INDEX($B$163:$S$167,$A141,M$4)</f>
        <v>0</v>
      </c>
      <c r="N195" s="738">
        <f ca="1">Driver22!$R81*N141/$T141*INDEX($B$163:$S$167,$A141,N$4)</f>
        <v>0</v>
      </c>
      <c r="O195" s="738">
        <f ca="1">Driver22!$R81*O141/$T141*INDEX($B$163:$S$167,$A141,O$4)</f>
        <v>0</v>
      </c>
      <c r="P195" s="738">
        <f ca="1">Driver22!$R81*P141/$T141*INDEX($B$163:$S$167,$A141,P$4)</f>
        <v>0</v>
      </c>
      <c r="Q195" s="738">
        <f ca="1">Driver22!$R81*Q141/$T141*INDEX($B$163:$S$167,$A141,Q$4)</f>
        <v>0</v>
      </c>
      <c r="R195" s="738">
        <f ca="1">Driver22!$R81*R141/$T141*INDEX($B$163:$S$167,$A141,R$4)</f>
        <v>0</v>
      </c>
      <c r="S195" s="738">
        <f ca="1">Driver22!$R81*S141/$T141*INDEX($B$163:$S$167,$A141,S$4)</f>
        <v>0</v>
      </c>
      <c r="T195" s="738">
        <f t="shared" si="70"/>
        <v>0</v>
      </c>
      <c r="V195" s="613">
        <f ca="1">VLOOKUP($B195,Driver22!$E$58:$M$93,9,FALSE)</f>
        <v>0</v>
      </c>
      <c r="W195" s="613" t="s">
        <v>540</v>
      </c>
      <c r="X195" s="613" t="b">
        <f t="shared" si="71"/>
        <v>0</v>
      </c>
    </row>
    <row r="196" spans="1:24" hidden="1">
      <c r="A196" s="613" t="str">
        <f t="shared" si="69"/>
        <v>ICH</v>
      </c>
      <c r="B196" s="613" t="s">
        <v>356</v>
      </c>
      <c r="C196" s="738">
        <f ca="1">Driver22!$R82*C142/$T142*INDEX($B$163:$S$167,$A142,C$4)</f>
        <v>0</v>
      </c>
      <c r="D196" s="738">
        <f ca="1">Driver22!$R82*D142/$T142*INDEX($B$163:$S$167,$A142,D$4)</f>
        <v>0</v>
      </c>
      <c r="E196" s="738">
        <f ca="1">Driver22!$R82*E142/$T142*INDEX($B$163:$S$167,$A142,E$4)</f>
        <v>0</v>
      </c>
      <c r="F196" s="738">
        <f ca="1">Driver22!$R82*F142/$T142*INDEX($B$163:$S$167,$A142,F$4)</f>
        <v>0</v>
      </c>
      <c r="G196" s="738">
        <f ca="1">Driver22!$R82*G142/$T142*INDEX($B$163:$S$167,$A142,G$4)</f>
        <v>0</v>
      </c>
      <c r="H196" s="738">
        <f ca="1">Driver22!$R82*H142/$T142*INDEX($B$163:$S$167,$A142,H$4)</f>
        <v>0</v>
      </c>
      <c r="I196" s="738">
        <f ca="1">Driver22!$R82*I142/$T142*INDEX($B$163:$S$167,$A142,I$4)</f>
        <v>0</v>
      </c>
      <c r="J196" s="738">
        <f ca="1">Driver22!$R82*J142/$T142*INDEX($B$163:$S$167,$A142,J$4)</f>
        <v>0</v>
      </c>
      <c r="K196" s="738">
        <f ca="1">Driver22!$R82*K142/$T142*INDEX($B$163:$S$167,$A142,K$4)</f>
        <v>0</v>
      </c>
      <c r="L196" s="738">
        <f ca="1">Driver22!$R82*L142/$T142*INDEX($B$163:$S$167,$A142,L$4)</f>
        <v>0</v>
      </c>
      <c r="M196" s="738">
        <f ca="1">Driver22!$R82*M142/$T142*INDEX($B$163:$S$167,$A142,M$4)</f>
        <v>0</v>
      </c>
      <c r="N196" s="738">
        <f ca="1">Driver22!$R82*N142/$T142*INDEX($B$163:$S$167,$A142,N$4)</f>
        <v>0</v>
      </c>
      <c r="O196" s="738">
        <f ca="1">Driver22!$R82*O142/$T142*INDEX($B$163:$S$167,$A142,O$4)</f>
        <v>0</v>
      </c>
      <c r="P196" s="738">
        <f ca="1">Driver22!$R82*P142/$T142*INDEX($B$163:$S$167,$A142,P$4)</f>
        <v>0</v>
      </c>
      <c r="Q196" s="738">
        <f ca="1">Driver22!$R82*Q142/$T142*INDEX($B$163:$S$167,$A142,Q$4)</f>
        <v>0</v>
      </c>
      <c r="R196" s="738">
        <f ca="1">Driver22!$R82*R142/$T142*INDEX($B$163:$S$167,$A142,R$4)</f>
        <v>0</v>
      </c>
      <c r="S196" s="738">
        <f ca="1">Driver22!$R82*S142/$T142*INDEX($B$163:$S$167,$A142,S$4)</f>
        <v>0</v>
      </c>
      <c r="T196" s="738">
        <f t="shared" si="70"/>
        <v>0</v>
      </c>
      <c r="V196" s="613">
        <f ca="1">VLOOKUP($B196,Driver22!$E$58:$M$93,9,FALSE)</f>
        <v>0</v>
      </c>
      <c r="W196" s="613" t="s">
        <v>354</v>
      </c>
      <c r="X196" s="613" t="b">
        <f t="shared" si="71"/>
        <v>0</v>
      </c>
    </row>
    <row r="197" spans="1:24" hidden="1">
      <c r="A197" s="613" t="str">
        <f t="shared" si="69"/>
        <v>ICH</v>
      </c>
      <c r="B197" s="613" t="s">
        <v>536</v>
      </c>
      <c r="C197" s="738">
        <f ca="1">Driver22!$R83*C143/$T143*INDEX($B$163:$S$167,$A143,C$4)</f>
        <v>0.11192801058896283</v>
      </c>
      <c r="D197" s="738">
        <f ca="1">Driver22!$R83*D143/$T143*INDEX($B$163:$S$167,$A143,D$4)</f>
        <v>3.1135363922307445E-3</v>
      </c>
      <c r="E197" s="738">
        <f ca="1">Driver22!$R83*E143/$T143*INDEX($B$163:$S$167,$A143,E$4)</f>
        <v>0.40935678742080833</v>
      </c>
      <c r="F197" s="738">
        <f ca="1">Driver22!$R83*F143/$T143*INDEX($B$163:$S$167,$A143,F$4)</f>
        <v>0</v>
      </c>
      <c r="G197" s="738">
        <f ca="1">Driver22!$R83*G143/$T143*INDEX($B$163:$S$167,$A143,G$4)</f>
        <v>0</v>
      </c>
      <c r="H197" s="738">
        <f ca="1">Driver22!$R83*H143/$T143*INDEX($B$163:$S$167,$A143,H$4)</f>
        <v>0</v>
      </c>
      <c r="I197" s="738">
        <f ca="1">Driver22!$R83*I143/$T143*INDEX($B$163:$S$167,$A143,I$4)</f>
        <v>0</v>
      </c>
      <c r="J197" s="738">
        <f ca="1">Driver22!$R83*J143/$T143*INDEX($B$163:$S$167,$A143,J$4)</f>
        <v>0</v>
      </c>
      <c r="K197" s="738">
        <f ca="1">Driver22!$R83*K143/$T143*INDEX($B$163:$S$167,$A143,K$4)</f>
        <v>0</v>
      </c>
      <c r="L197" s="738">
        <f ca="1">Driver22!$R83*L143/$T143*INDEX($B$163:$S$167,$A143,L$4)</f>
        <v>3.4922250266503732E-3</v>
      </c>
      <c r="M197" s="738">
        <f ca="1">Driver22!$R83*M143/$T143*INDEX($B$163:$S$167,$A143,M$4)</f>
        <v>2.53754099930889E-4</v>
      </c>
      <c r="N197" s="738">
        <f ca="1">Driver22!$R83*N143/$T143*INDEX($B$163:$S$167,$A143,N$4)</f>
        <v>0</v>
      </c>
      <c r="O197" s="738">
        <f ca="1">Driver22!$R83*O143/$T143*INDEX($B$163:$S$167,$A143,O$4)</f>
        <v>0.13446064178583469</v>
      </c>
      <c r="P197" s="738">
        <f ca="1">Driver22!$R83*P143/$T143*INDEX($B$163:$S$167,$A143,P$4)</f>
        <v>0</v>
      </c>
      <c r="Q197" s="738">
        <f ca="1">Driver22!$R83*Q143/$T143*INDEX($B$163:$S$167,$A143,Q$4)</f>
        <v>0</v>
      </c>
      <c r="R197" s="738">
        <f ca="1">Driver22!$R83*R143/$T143*INDEX($B$163:$S$167,$A143,R$4)</f>
        <v>0</v>
      </c>
      <c r="S197" s="738">
        <f ca="1">Driver22!$R83*S143/$T143*INDEX($B$163:$S$167,$A143,S$4)</f>
        <v>0</v>
      </c>
      <c r="T197" s="738">
        <f t="shared" si="70"/>
        <v>0.66260495531441788</v>
      </c>
      <c r="V197" s="613">
        <f ca="1">VLOOKUP($B197,Driver22!$E$58:$M$93,9,FALSE)</f>
        <v>0.30796781232826742</v>
      </c>
      <c r="W197" s="613" t="s">
        <v>535</v>
      </c>
      <c r="X197" s="613">
        <f t="shared" si="71"/>
        <v>0.46478344277116251</v>
      </c>
    </row>
    <row r="198" spans="1:24" hidden="1">
      <c r="A198" s="613" t="str">
        <f t="shared" si="69"/>
        <v>ICH</v>
      </c>
      <c r="B198" s="613" t="s">
        <v>973</v>
      </c>
      <c r="C198" s="738">
        <f ca="1">Driver22!$R84*C144/$T144*INDEX($B$163:$S$167,$A144,C$4)</f>
        <v>0.15690695509570066</v>
      </c>
      <c r="D198" s="738">
        <f ca="1">Driver22!$R84*D144/$T144*INDEX($B$163:$S$167,$A144,D$4)</f>
        <v>0</v>
      </c>
      <c r="E198" s="738">
        <f ca="1">Driver22!$R84*E144/$T144*INDEX($B$163:$S$167,$A144,E$4)</f>
        <v>9.5643212579191589E-2</v>
      </c>
      <c r="F198" s="738">
        <f ca="1">Driver22!$R84*F144/$T144*INDEX($B$163:$S$167,$A144,F$4)</f>
        <v>0</v>
      </c>
      <c r="G198" s="738">
        <f ca="1">Driver22!$R84*G144/$T144*INDEX($B$163:$S$167,$A144,G$4)</f>
        <v>0</v>
      </c>
      <c r="H198" s="738">
        <f ca="1">Driver22!$R84*H144/$T144*INDEX($B$163:$S$167,$A144,H$4)</f>
        <v>0</v>
      </c>
      <c r="I198" s="738">
        <f ca="1">Driver22!$R84*I144/$T144*INDEX($B$163:$S$167,$A144,I$4)</f>
        <v>0</v>
      </c>
      <c r="J198" s="738">
        <f ca="1">Driver22!$R84*J144/$T144*INDEX($B$163:$S$167,$A144,J$4)</f>
        <v>0</v>
      </c>
      <c r="K198" s="738">
        <f ca="1">Driver22!$R84*K144/$T144*INDEX($B$163:$S$167,$A144,K$4)</f>
        <v>0</v>
      </c>
      <c r="L198" s="738">
        <f ca="1">Driver22!$R84*L144/$T144*INDEX($B$163:$S$167,$A144,L$4)</f>
        <v>0</v>
      </c>
      <c r="M198" s="738">
        <f ca="1">Driver22!$R84*M144/$T144*INDEX($B$163:$S$167,$A144,M$4)</f>
        <v>2.9643892648569476E-5</v>
      </c>
      <c r="N198" s="738">
        <f ca="1">Driver22!$R84*N144/$T144*INDEX($B$163:$S$167,$A144,N$4)</f>
        <v>0</v>
      </c>
      <c r="O198" s="738">
        <f ca="1">Driver22!$R84*O144/$T144*INDEX($B$163:$S$167,$A144,O$4)</f>
        <v>7.8539358214165314E-2</v>
      </c>
      <c r="P198" s="738">
        <f ca="1">Driver22!$R84*P144/$T144*INDEX($B$163:$S$167,$A144,P$4)</f>
        <v>0</v>
      </c>
      <c r="Q198" s="738">
        <f ca="1">Driver22!$R84*Q144/$T144*INDEX($B$163:$S$167,$A144,Q$4)</f>
        <v>0</v>
      </c>
      <c r="R198" s="738">
        <f ca="1">Driver22!$R84*R144/$T144*INDEX($B$163:$S$167,$A144,R$4)</f>
        <v>0</v>
      </c>
      <c r="S198" s="738">
        <f ca="1">Driver22!$R84*S144/$T144*INDEX($B$163:$S$167,$A144,S$4)</f>
        <v>0</v>
      </c>
      <c r="T198" s="738">
        <f t="shared" si="70"/>
        <v>0.33111916978170614</v>
      </c>
      <c r="V198" s="613">
        <f ca="1">VLOOKUP($B198,Driver22!$E$58:$M$93,9,FALSE)</f>
        <v>0.15171650078474641</v>
      </c>
      <c r="W198" s="613" t="s">
        <v>227</v>
      </c>
      <c r="X198" s="613">
        <f t="shared" si="71"/>
        <v>0.45819304537628291</v>
      </c>
    </row>
    <row r="199" spans="1:24" hidden="1">
      <c r="A199" s="613" t="str">
        <f t="shared" si="69"/>
        <v>ICH</v>
      </c>
      <c r="B199" s="613" t="s">
        <v>974</v>
      </c>
      <c r="C199" s="738">
        <f ca="1">Driver22!$R85*C145/$T145*INDEX($B$163:$S$167,$A145,C$4)</f>
        <v>0</v>
      </c>
      <c r="D199" s="738">
        <f ca="1">Driver22!$R85*D145/$T145*INDEX($B$163:$S$167,$A145,D$4)</f>
        <v>8.888646360776925E-2</v>
      </c>
      <c r="E199" s="738">
        <f ca="1">Driver22!$R85*E145/$T145*INDEX($B$163:$S$167,$A145,E$4)</f>
        <v>0</v>
      </c>
      <c r="F199" s="738">
        <f ca="1">Driver22!$R85*F145/$T145*INDEX($B$163:$S$167,$A145,F$4)</f>
        <v>0</v>
      </c>
      <c r="G199" s="738">
        <f ca="1">Driver22!$R85*G145/$T145*INDEX($B$163:$S$167,$A145,G$4)</f>
        <v>0</v>
      </c>
      <c r="H199" s="738">
        <f ca="1">Driver22!$R85*H145/$T145*INDEX($B$163:$S$167,$A145,H$4)</f>
        <v>0</v>
      </c>
      <c r="I199" s="738">
        <f ca="1">Driver22!$R85*I145/$T145*INDEX($B$163:$S$167,$A145,I$4)</f>
        <v>0</v>
      </c>
      <c r="J199" s="738">
        <f ca="1">Driver22!$R85*J145/$T145*INDEX($B$163:$S$167,$A145,J$4)</f>
        <v>0</v>
      </c>
      <c r="K199" s="738">
        <f ca="1">Driver22!$R85*K145/$T145*INDEX($B$163:$S$167,$A145,K$4)</f>
        <v>0</v>
      </c>
      <c r="L199" s="738">
        <f ca="1">Driver22!$R85*L145/$T145*INDEX($B$163:$S$167,$A145,L$4)</f>
        <v>4.4507774973349616E-2</v>
      </c>
      <c r="M199" s="738">
        <f ca="1">Driver22!$R85*M145/$T145*INDEX($B$163:$S$167,$A145,M$4)</f>
        <v>2.7166020074205419E-3</v>
      </c>
      <c r="N199" s="738">
        <f ca="1">Driver22!$R85*N145/$T145*INDEX($B$163:$S$167,$A145,N$4)</f>
        <v>0</v>
      </c>
      <c r="O199" s="738">
        <f ca="1">Driver22!$R85*O145/$T145*INDEX($B$163:$S$167,$A145,O$4)</f>
        <v>0</v>
      </c>
      <c r="P199" s="738">
        <f ca="1">Driver22!$R85*P145/$T145*INDEX($B$163:$S$167,$A145,P$4)</f>
        <v>0</v>
      </c>
      <c r="Q199" s="738">
        <f ca="1">Driver22!$R85*Q145/$T145*INDEX($B$163:$S$167,$A145,Q$4)</f>
        <v>1.3000000000000001E-2</v>
      </c>
      <c r="R199" s="738">
        <f ca="1">Driver22!$R85*R145/$T145*INDEX($B$163:$S$167,$A145,R$4)</f>
        <v>0</v>
      </c>
      <c r="S199" s="738">
        <f ca="1">Driver22!$R85*S145/$T145*INDEX($B$163:$S$167,$A145,S$4)</f>
        <v>0.23548893464461251</v>
      </c>
      <c r="T199" s="738">
        <f t="shared" si="70"/>
        <v>0.38459977523315192</v>
      </c>
      <c r="V199" s="613">
        <f ca="1">VLOOKUP($B199,Driver22!$E$58:$M$93,9,FALSE)</f>
        <v>0.91863958721626215</v>
      </c>
      <c r="W199" s="613" t="s">
        <v>228</v>
      </c>
      <c r="X199" s="613">
        <f t="shared" si="71"/>
        <v>2.3885598650164703</v>
      </c>
    </row>
    <row r="200" spans="1:24" hidden="1">
      <c r="A200" s="613" t="s">
        <v>978</v>
      </c>
      <c r="B200" s="613" t="s">
        <v>341</v>
      </c>
      <c r="C200" s="738">
        <f ca="1">Driver22!$R86*C146/$T146*INDEX($B$163:$S$167,$A146,C$4)</f>
        <v>0</v>
      </c>
      <c r="D200" s="738">
        <f ca="1">Driver22!$R86*D146/$T146*INDEX($B$163:$S$167,$A146,D$4)</f>
        <v>0</v>
      </c>
      <c r="E200" s="738">
        <f ca="1">Driver22!$R86*E146/$T146*INDEX($B$163:$S$167,$A146,E$4)</f>
        <v>0</v>
      </c>
      <c r="F200" s="738">
        <f ca="1">Driver22!$R86*F146/$T146*INDEX($B$163:$S$167,$A146,F$4)</f>
        <v>0</v>
      </c>
      <c r="G200" s="738">
        <f ca="1">Driver22!$R86*G146/$T146*INDEX($B$163:$S$167,$A146,G$4)</f>
        <v>0</v>
      </c>
      <c r="H200" s="738">
        <f ca="1">Driver22!$R86*H146/$T146*INDEX($B$163:$S$167,$A146,H$4)</f>
        <v>0</v>
      </c>
      <c r="I200" s="738">
        <f ca="1">Driver22!$R86*I146/$T146*INDEX($B$163:$S$167,$A146,I$4)</f>
        <v>0</v>
      </c>
      <c r="J200" s="738">
        <f ca="1">Driver22!$R86*J146/$T146*INDEX($B$163:$S$167,$A146,J$4)</f>
        <v>0</v>
      </c>
      <c r="K200" s="738">
        <f ca="1">Driver22!$R86*K146/$T146*INDEX($B$163:$S$167,$A146,K$4)</f>
        <v>0</v>
      </c>
      <c r="L200" s="738">
        <f ca="1">Driver22!$R86*L146/$T146*INDEX($B$163:$S$167,$A146,L$4)</f>
        <v>0</v>
      </c>
      <c r="M200" s="738">
        <f ca="1">Driver22!$R86*M146/$T146*INDEX($B$163:$S$167,$A146,M$4)</f>
        <v>0</v>
      </c>
      <c r="N200" s="738">
        <f ca="1">Driver22!$R86*N146/$T146*INDEX($B$163:$S$167,$A146,N$4)</f>
        <v>0</v>
      </c>
      <c r="O200" s="738">
        <f ca="1">Driver22!$R86*O146/$T146*INDEX($B$163:$S$167,$A146,O$4)</f>
        <v>0</v>
      </c>
      <c r="P200" s="738">
        <f ca="1">Driver22!$R86*P146/$T146*INDEX($B$163:$S$167,$A146,P$4)</f>
        <v>0</v>
      </c>
      <c r="Q200" s="738">
        <f ca="1">Driver22!$R86*Q146/$T146*INDEX($B$163:$S$167,$A146,Q$4)</f>
        <v>0</v>
      </c>
      <c r="R200" s="738">
        <f ca="1">Driver22!$R86*R146/$T146*INDEX($B$163:$S$167,$A146,R$4)</f>
        <v>0</v>
      </c>
      <c r="S200" s="738">
        <f ca="1">Driver22!$R86*S146/$T146*INDEX($B$163:$S$167,$A146,S$4)</f>
        <v>0</v>
      </c>
      <c r="T200" s="738">
        <f t="shared" si="70"/>
        <v>0</v>
      </c>
      <c r="V200" s="613">
        <f ca="1">VLOOKUP($B200,Driver22!$E$58:$M$93,9,FALSE)</f>
        <v>0</v>
      </c>
      <c r="W200" s="613" t="s">
        <v>454</v>
      </c>
      <c r="X200" s="613" t="b">
        <f t="shared" si="71"/>
        <v>0</v>
      </c>
    </row>
    <row r="201" spans="1:24" hidden="1">
      <c r="A201" s="613" t="s">
        <v>978</v>
      </c>
      <c r="B201" s="613" t="s">
        <v>342</v>
      </c>
      <c r="C201" s="738">
        <f ca="1">Driver22!$R87*C147/$T147*INDEX($B$163:$S$167,$A147,C$4)</f>
        <v>0</v>
      </c>
      <c r="D201" s="738">
        <f ca="1">Driver22!$R87*D147/$T147*INDEX($B$163:$S$167,$A147,D$4)</f>
        <v>0</v>
      </c>
      <c r="E201" s="738">
        <f ca="1">Driver22!$R87*E147/$T147*INDEX($B$163:$S$167,$A147,E$4)</f>
        <v>0</v>
      </c>
      <c r="F201" s="738">
        <f ca="1">Driver22!$R87*F147/$T147*INDEX($B$163:$S$167,$A147,F$4)</f>
        <v>0</v>
      </c>
      <c r="G201" s="738">
        <f ca="1">Driver22!$R87*G147/$T147*INDEX($B$163:$S$167,$A147,G$4)</f>
        <v>0</v>
      </c>
      <c r="H201" s="738">
        <f ca="1">Driver22!$R87*H147/$T147*INDEX($B$163:$S$167,$A147,H$4)</f>
        <v>0</v>
      </c>
      <c r="I201" s="738">
        <f ca="1">Driver22!$R87*I147/$T147*INDEX($B$163:$S$167,$A147,I$4)</f>
        <v>0</v>
      </c>
      <c r="J201" s="738">
        <f ca="1">Driver22!$R87*J147/$T147*INDEX($B$163:$S$167,$A147,J$4)</f>
        <v>0</v>
      </c>
      <c r="K201" s="738">
        <f ca="1">Driver22!$R87*K147/$T147*INDEX($B$163:$S$167,$A147,K$4)</f>
        <v>0</v>
      </c>
      <c r="L201" s="738">
        <f ca="1">Driver22!$R87*L147/$T147*INDEX($B$163:$S$167,$A147,L$4)</f>
        <v>0</v>
      </c>
      <c r="M201" s="738">
        <f ca="1">Driver22!$R87*M147/$T147*INDEX($B$163:$S$167,$A147,M$4)</f>
        <v>0</v>
      </c>
      <c r="N201" s="738">
        <f ca="1">Driver22!$R87*N147/$T147*INDEX($B$163:$S$167,$A147,N$4)</f>
        <v>0</v>
      </c>
      <c r="O201" s="738">
        <f ca="1">Driver22!$R87*O147/$T147*INDEX($B$163:$S$167,$A147,O$4)</f>
        <v>0</v>
      </c>
      <c r="P201" s="738">
        <f ca="1">Driver22!$R87*P147/$T147*INDEX($B$163:$S$167,$A147,P$4)</f>
        <v>0</v>
      </c>
      <c r="Q201" s="738">
        <f ca="1">Driver22!$R87*Q147/$T147*INDEX($B$163:$S$167,$A147,Q$4)</f>
        <v>0</v>
      </c>
      <c r="R201" s="738">
        <f ca="1">Driver22!$R87*R147/$T147*INDEX($B$163:$S$167,$A147,R$4)</f>
        <v>0</v>
      </c>
      <c r="S201" s="738">
        <f ca="1">Driver22!$R87*S147/$T147*INDEX($B$163:$S$167,$A147,S$4)</f>
        <v>0</v>
      </c>
      <c r="T201" s="738">
        <f t="shared" si="70"/>
        <v>0</v>
      </c>
      <c r="V201" s="613">
        <f ca="1">VLOOKUP($B201,Driver22!$E$58:$M$93,9,FALSE)</f>
        <v>0</v>
      </c>
      <c r="W201" s="613" t="s">
        <v>340</v>
      </c>
      <c r="X201" s="613" t="b">
        <f t="shared" si="71"/>
        <v>0</v>
      </c>
    </row>
    <row r="202" spans="1:24" hidden="1">
      <c r="A202" s="613" t="s">
        <v>978</v>
      </c>
      <c r="B202" s="613" t="s">
        <v>343</v>
      </c>
      <c r="C202" s="738">
        <f ca="1">Driver22!$R88*C148/$T148*INDEX($B$163:$S$167,$A148,C$4)</f>
        <v>0</v>
      </c>
      <c r="D202" s="738">
        <f ca="1">Driver22!$R88*D148/$T148*INDEX($B$163:$S$167,$A148,D$4)</f>
        <v>0</v>
      </c>
      <c r="E202" s="738">
        <f ca="1">Driver22!$R88*E148/$T148*INDEX($B$163:$S$167,$A148,E$4)</f>
        <v>0</v>
      </c>
      <c r="F202" s="738">
        <f ca="1">Driver22!$R88*F148/$T148*INDEX($B$163:$S$167,$A148,F$4)</f>
        <v>0</v>
      </c>
      <c r="G202" s="738">
        <f ca="1">Driver22!$R88*G148/$T148*INDEX($B$163:$S$167,$A148,G$4)</f>
        <v>0</v>
      </c>
      <c r="H202" s="738">
        <f ca="1">Driver22!$R88*H148/$T148*INDEX($B$163:$S$167,$A148,H$4)</f>
        <v>0</v>
      </c>
      <c r="I202" s="738">
        <f ca="1">Driver22!$R88*I148/$T148*INDEX($B$163:$S$167,$A148,I$4)</f>
        <v>0</v>
      </c>
      <c r="J202" s="738">
        <f ca="1">Driver22!$R88*J148/$T148*INDEX($B$163:$S$167,$A148,J$4)</f>
        <v>0</v>
      </c>
      <c r="K202" s="738">
        <f ca="1">Driver22!$R88*K148/$T148*INDEX($B$163:$S$167,$A148,K$4)</f>
        <v>0</v>
      </c>
      <c r="L202" s="738">
        <f ca="1">Driver22!$R88*L148/$T148*INDEX($B$163:$S$167,$A148,L$4)</f>
        <v>0</v>
      </c>
      <c r="M202" s="738">
        <f ca="1">Driver22!$R88*M148/$T148*INDEX($B$163:$S$167,$A148,M$4)</f>
        <v>0</v>
      </c>
      <c r="N202" s="738">
        <f ca="1">Driver22!$R88*N148/$T148*INDEX($B$163:$S$167,$A148,N$4)</f>
        <v>0</v>
      </c>
      <c r="O202" s="738">
        <f ca="1">Driver22!$R88*O148/$T148*INDEX($B$163:$S$167,$A148,O$4)</f>
        <v>0</v>
      </c>
      <c r="P202" s="738">
        <f ca="1">Driver22!$R88*P148/$T148*INDEX($B$163:$S$167,$A148,P$4)</f>
        <v>0</v>
      </c>
      <c r="Q202" s="738">
        <f ca="1">Driver22!$R88*Q148/$T148*INDEX($B$163:$S$167,$A148,Q$4)</f>
        <v>0</v>
      </c>
      <c r="R202" s="738">
        <f ca="1">Driver22!$R88*R148/$T148*INDEX($B$163:$S$167,$A148,R$4)</f>
        <v>0</v>
      </c>
      <c r="S202" s="738">
        <f ca="1">Driver22!$R88*S148/$T148*INDEX($B$163:$S$167,$A148,S$4)</f>
        <v>0</v>
      </c>
      <c r="T202" s="738">
        <f t="shared" si="70"/>
        <v>0</v>
      </c>
      <c r="V202" s="613">
        <f ca="1">VLOOKUP($B202,Driver22!$E$58:$M$93,9,FALSE)</f>
        <v>0</v>
      </c>
      <c r="W202" s="613" t="s">
        <v>248</v>
      </c>
      <c r="X202" s="613" t="b">
        <f t="shared" si="71"/>
        <v>0</v>
      </c>
    </row>
    <row r="203" spans="1:24" hidden="1">
      <c r="A203" s="613" t="s">
        <v>978</v>
      </c>
      <c r="B203" s="613" t="s">
        <v>344</v>
      </c>
      <c r="C203" s="738">
        <f ca="1">Driver22!$R89*C149/$T149*INDEX($B$163:$S$167,$A149,C$4)</f>
        <v>0</v>
      </c>
      <c r="D203" s="738">
        <f ca="1">Driver22!$R89*D149/$T149*INDEX($B$163:$S$167,$A149,D$4)</f>
        <v>0</v>
      </c>
      <c r="E203" s="738">
        <f ca="1">Driver22!$R89*E149/$T149*INDEX($B$163:$S$167,$A149,E$4)</f>
        <v>0</v>
      </c>
      <c r="F203" s="738">
        <f ca="1">Driver22!$R89*F149/$T149*INDEX($B$163:$S$167,$A149,F$4)</f>
        <v>0</v>
      </c>
      <c r="G203" s="738">
        <f ca="1">Driver22!$R89*G149/$T149*INDEX($B$163:$S$167,$A149,G$4)</f>
        <v>0</v>
      </c>
      <c r="H203" s="738">
        <f ca="1">Driver22!$R89*H149/$T149*INDEX($B$163:$S$167,$A149,H$4)</f>
        <v>0</v>
      </c>
      <c r="I203" s="738">
        <f ca="1">Driver22!$R89*I149/$T149*INDEX($B$163:$S$167,$A149,I$4)</f>
        <v>0</v>
      </c>
      <c r="J203" s="738">
        <f ca="1">Driver22!$R89*J149/$T149*INDEX($B$163:$S$167,$A149,J$4)</f>
        <v>0</v>
      </c>
      <c r="K203" s="738">
        <f ca="1">Driver22!$R89*K149/$T149*INDEX($B$163:$S$167,$A149,K$4)</f>
        <v>0</v>
      </c>
      <c r="L203" s="738">
        <f ca="1">Driver22!$R89*L149/$T149*INDEX($B$163:$S$167,$A149,L$4)</f>
        <v>0</v>
      </c>
      <c r="M203" s="738">
        <f ca="1">Driver22!$R89*M149/$T149*INDEX($B$163:$S$167,$A149,M$4)</f>
        <v>0</v>
      </c>
      <c r="N203" s="738">
        <f ca="1">Driver22!$R89*N149/$T149*INDEX($B$163:$S$167,$A149,N$4)</f>
        <v>0</v>
      </c>
      <c r="O203" s="738">
        <f ca="1">Driver22!$R89*O149/$T149*INDEX($B$163:$S$167,$A149,O$4)</f>
        <v>0</v>
      </c>
      <c r="P203" s="738">
        <f ca="1">Driver22!$R89*P149/$T149*INDEX($B$163:$S$167,$A149,P$4)</f>
        <v>0</v>
      </c>
      <c r="Q203" s="738">
        <f ca="1">Driver22!$R89*Q149/$T149*INDEX($B$163:$S$167,$A149,Q$4)</f>
        <v>0</v>
      </c>
      <c r="R203" s="738">
        <f ca="1">Driver22!$R89*R149/$T149*INDEX($B$163:$S$167,$A149,R$4)</f>
        <v>0</v>
      </c>
      <c r="S203" s="738">
        <f ca="1">Driver22!$R89*S149/$T149*INDEX($B$163:$S$167,$A149,S$4)</f>
        <v>0</v>
      </c>
      <c r="T203" s="738">
        <f t="shared" si="70"/>
        <v>0</v>
      </c>
      <c r="V203" s="613">
        <f ca="1">VLOOKUP($B203,Driver22!$E$58:$M$93,9,FALSE)</f>
        <v>0</v>
      </c>
      <c r="W203" s="613" t="s">
        <v>339</v>
      </c>
      <c r="X203" s="613" t="b">
        <f t="shared" si="71"/>
        <v>0</v>
      </c>
    </row>
    <row r="204" spans="1:24" hidden="1">
      <c r="A204" s="613" t="s">
        <v>978</v>
      </c>
      <c r="B204" s="613" t="s">
        <v>345</v>
      </c>
      <c r="C204" s="738">
        <f ca="1">Driver22!$R90*C150/$T150*INDEX($B$163:$S$167,$A150,C$4)</f>
        <v>1.0480455667983573E-2</v>
      </c>
      <c r="D204" s="738">
        <f ca="1">Driver22!$R90*D150/$T150*INDEX($B$163:$S$167,$A150,D$4)</f>
        <v>5.7018913590961267E-3</v>
      </c>
      <c r="E204" s="738">
        <f ca="1">Driver22!$R90*E150/$T150*INDEX($B$163:$S$167,$A150,E$4)</f>
        <v>9.8163209238377042E-4</v>
      </c>
      <c r="F204" s="738">
        <f ca="1">Driver22!$R90*F150/$T150*INDEX($B$163:$S$167,$A150,F$4)</f>
        <v>0</v>
      </c>
      <c r="G204" s="738">
        <f ca="1">Driver22!$R90*G150/$T150*INDEX($B$163:$S$167,$A150,G$4)</f>
        <v>8.4682695240209562E-4</v>
      </c>
      <c r="H204" s="738">
        <f ca="1">Driver22!$R90*H150/$T150*INDEX($B$163:$S$167,$A150,H$4)</f>
        <v>0</v>
      </c>
      <c r="I204" s="738">
        <f ca="1">Driver22!$R90*I150/$T150*INDEX($B$163:$S$167,$A150,I$4)</f>
        <v>0</v>
      </c>
      <c r="J204" s="738">
        <f ca="1">Driver22!$R90*J150/$T150*INDEX($B$163:$S$167,$A150,J$4)</f>
        <v>0</v>
      </c>
      <c r="K204" s="738">
        <f ca="1">Driver22!$R90*K150/$T150*INDEX($B$163:$S$167,$A150,K$4)</f>
        <v>0</v>
      </c>
      <c r="L204" s="738">
        <f ca="1">Driver22!$R90*L150/$T150*INDEX($B$163:$S$167,$A150,L$4)</f>
        <v>9.6709826114300533E-4</v>
      </c>
      <c r="M204" s="738">
        <f ca="1">Driver22!$R90*M150/$T150*INDEX($B$163:$S$167,$A150,M$4)</f>
        <v>0</v>
      </c>
      <c r="N204" s="738">
        <f ca="1">Driver22!$R90*N150/$T150*INDEX($B$163:$S$167,$A150,N$4)</f>
        <v>0</v>
      </c>
      <c r="O204" s="738">
        <f ca="1">Driver22!$R90*O150/$T150*INDEX($B$163:$S$167,$A150,O$4)</f>
        <v>0</v>
      </c>
      <c r="P204" s="738">
        <f ca="1">Driver22!$R90*P150/$T150*INDEX($B$163:$S$167,$A150,P$4)</f>
        <v>0</v>
      </c>
      <c r="Q204" s="738">
        <f ca="1">Driver22!$R90*Q150/$T150*INDEX($B$163:$S$167,$A150,Q$4)</f>
        <v>9.2388887833096678E-3</v>
      </c>
      <c r="R204" s="738">
        <f ca="1">Driver22!$R90*R150/$T150*INDEX($B$163:$S$167,$A150,R$4)</f>
        <v>0</v>
      </c>
      <c r="S204" s="738">
        <f ca="1">Driver22!$R90*S150/$T150*INDEX($B$163:$S$167,$A150,S$4)</f>
        <v>0</v>
      </c>
      <c r="T204" s="738">
        <f t="shared" si="70"/>
        <v>2.821679311631824E-2</v>
      </c>
      <c r="V204" s="613">
        <f ca="1">VLOOKUP($B204,Driver22!$E$58:$M$93,9,FALSE)</f>
        <v>4.2189395866367815E-2</v>
      </c>
      <c r="W204" s="613" t="s">
        <v>346</v>
      </c>
      <c r="X204" s="613">
        <f t="shared" si="71"/>
        <v>1.4951874825906062</v>
      </c>
    </row>
    <row r="205" spans="1:24" hidden="1">
      <c r="A205" s="613" t="s">
        <v>978</v>
      </c>
      <c r="B205" s="613" t="s">
        <v>970</v>
      </c>
      <c r="C205" s="738">
        <f ca="1">Driver22!$R91*C151/$T151*INDEX($B$163:$S$167,$A151,C$4)</f>
        <v>1.0242424629259511E-2</v>
      </c>
      <c r="D205" s="738">
        <f ca="1">Driver22!$R91*D151/$T151*INDEX($B$163:$S$167,$A151,D$4)</f>
        <v>0</v>
      </c>
      <c r="E205" s="738">
        <f ca="1">Driver22!$R91*E151/$T151*INDEX($B$163:$S$167,$A151,E$4)</f>
        <v>0</v>
      </c>
      <c r="F205" s="738">
        <f ca="1">Driver22!$R91*F151/$T151*INDEX($B$163:$S$167,$A151,F$4)</f>
        <v>0</v>
      </c>
      <c r="G205" s="738">
        <f ca="1">Driver22!$R91*G151/$T151*INDEX($B$163:$S$167,$A151,G$4)</f>
        <v>0</v>
      </c>
      <c r="H205" s="738">
        <f ca="1">Driver22!$R91*H151/$T151*INDEX($B$163:$S$167,$A151,H$4)</f>
        <v>0</v>
      </c>
      <c r="I205" s="738">
        <f ca="1">Driver22!$R91*I151/$T151*INDEX($B$163:$S$167,$A151,I$4)</f>
        <v>0</v>
      </c>
      <c r="J205" s="738">
        <f ca="1">Driver22!$R91*J151/$T151*INDEX($B$163:$S$167,$A151,J$4)</f>
        <v>0</v>
      </c>
      <c r="K205" s="738">
        <f ca="1">Driver22!$R91*K151/$T151*INDEX($B$163:$S$167,$A151,K$4)</f>
        <v>0</v>
      </c>
      <c r="L205" s="738">
        <f ca="1">Driver22!$R91*L151/$T151*INDEX($B$163:$S$167,$A151,L$4)</f>
        <v>0</v>
      </c>
      <c r="M205" s="738">
        <f ca="1">Driver22!$R91*M151/$T151*INDEX($B$163:$S$167,$A151,M$4)</f>
        <v>0</v>
      </c>
      <c r="N205" s="738">
        <f ca="1">Driver22!$R91*N151/$T151*INDEX($B$163:$S$167,$A151,N$4)</f>
        <v>0</v>
      </c>
      <c r="O205" s="738">
        <f ca="1">Driver22!$R91*O151/$T151*INDEX($B$163:$S$167,$A151,O$4)</f>
        <v>0</v>
      </c>
      <c r="P205" s="738">
        <f ca="1">Driver22!$R91*P151/$T151*INDEX($B$163:$S$167,$A151,P$4)</f>
        <v>0</v>
      </c>
      <c r="Q205" s="738">
        <f ca="1">Driver22!$R91*Q151/$T151*INDEX($B$163:$S$167,$A151,Q$4)</f>
        <v>0</v>
      </c>
      <c r="R205" s="738">
        <f ca="1">Driver22!$R91*R151/$T151*INDEX($B$163:$S$167,$A151,R$4)</f>
        <v>0</v>
      </c>
      <c r="S205" s="738">
        <f ca="1">Driver22!$R91*S151/$T151*INDEX($B$163:$S$167,$A151,S$4)</f>
        <v>0</v>
      </c>
      <c r="T205" s="738">
        <f t="shared" si="70"/>
        <v>1.0242424629259511E-2</v>
      </c>
      <c r="V205" s="613">
        <f ca="1">VLOOKUP($B205,Driver22!$E$58:$M$93,9,FALSE)</f>
        <v>1.5660152793278946E-2</v>
      </c>
      <c r="W205" s="613" t="s">
        <v>231</v>
      </c>
      <c r="X205" s="613">
        <f t="shared" si="71"/>
        <v>1.5289497711843174</v>
      </c>
    </row>
    <row r="206" spans="1:24" hidden="1">
      <c r="A206" s="613" t="s">
        <v>978</v>
      </c>
      <c r="B206" s="613" t="s">
        <v>971</v>
      </c>
      <c r="C206" s="738">
        <f ca="1">Driver22!$R92*C152/$T152*INDEX($B$163:$S$167,$A152,C$4)</f>
        <v>0</v>
      </c>
      <c r="D206" s="738">
        <f ca="1">Driver22!$R92*D152/$T152*INDEX($B$163:$S$167,$A152,D$4)</f>
        <v>2.9810864090387413E-4</v>
      </c>
      <c r="E206" s="738">
        <f ca="1">Driver22!$R92*E152/$T152*INDEX($B$163:$S$167,$A152,E$4)</f>
        <v>1.8367907616229415E-5</v>
      </c>
      <c r="F206" s="738">
        <f ca="1">Driver22!$R92*F152/$T152*INDEX($B$163:$S$167,$A152,F$4)</f>
        <v>0</v>
      </c>
      <c r="G206" s="738">
        <f ca="1">Driver22!$R92*G152/$T152*INDEX($B$163:$S$167,$A152,G$4)</f>
        <v>1.5317304759790434E-4</v>
      </c>
      <c r="H206" s="738">
        <f ca="1">Driver22!$R92*H152/$T152*INDEX($B$163:$S$167,$A152,H$4)</f>
        <v>0</v>
      </c>
      <c r="I206" s="738">
        <f ca="1">Driver22!$R92*I152/$T152*INDEX($B$163:$S$167,$A152,I$4)</f>
        <v>0</v>
      </c>
      <c r="J206" s="738">
        <f ca="1">Driver22!$R92*J152/$T152*INDEX($B$163:$S$167,$A152,J$4)</f>
        <v>0</v>
      </c>
      <c r="K206" s="738">
        <f ca="1">Driver22!$R92*K152/$T152*INDEX($B$163:$S$167,$A152,K$4)</f>
        <v>2E-3</v>
      </c>
      <c r="L206" s="738">
        <f ca="1">Driver22!$R92*L152/$T152*INDEX($B$163:$S$167,$A152,L$4)</f>
        <v>3.2901738856994645E-5</v>
      </c>
      <c r="M206" s="738">
        <f ca="1">Driver22!$R92*M152/$T152*INDEX($B$163:$S$167,$A152,M$4)</f>
        <v>0</v>
      </c>
      <c r="N206" s="738">
        <f ca="1">Driver22!$R92*N152/$T152*INDEX($B$163:$S$167,$A152,N$4)</f>
        <v>0</v>
      </c>
      <c r="O206" s="738">
        <f ca="1">Driver22!$R92*O152/$T152*INDEX($B$163:$S$167,$A152,O$4)</f>
        <v>0</v>
      </c>
      <c r="P206" s="738">
        <f ca="1">Driver22!$R92*P152/$T152*INDEX($B$163:$S$167,$A152,P$4)</f>
        <v>0</v>
      </c>
      <c r="Q206" s="738">
        <f ca="1">Driver22!$R92*Q152/$T152*INDEX($B$163:$S$167,$A152,Q$4)</f>
        <v>3.9761111216690327E-2</v>
      </c>
      <c r="R206" s="738">
        <f ca="1">Driver22!$R92*R152/$T152*INDEX($B$163:$S$167,$A152,R$4)</f>
        <v>0</v>
      </c>
      <c r="S206" s="738">
        <f ca="1">Driver22!$R92*S152/$T152*INDEX($B$163:$S$167,$A152,S$4)</f>
        <v>3.3625468697448683E-3</v>
      </c>
      <c r="T206" s="738">
        <f t="shared" si="70"/>
        <v>4.5626209421410199E-2</v>
      </c>
      <c r="V206" s="613">
        <f ca="1">VLOOKUP($B206,Driver22!$E$58:$M$93,9,FALSE)</f>
        <v>2.6235878507341184E-2</v>
      </c>
      <c r="W206" s="613" t="s">
        <v>232</v>
      </c>
      <c r="X206" s="613">
        <f t="shared" si="71"/>
        <v>0.57501771109282507</v>
      </c>
    </row>
    <row r="207" spans="1:24" hidden="1">
      <c r="K207" s="738">
        <f>SUM(T200,T202:T203)</f>
        <v>0</v>
      </c>
    </row>
    <row r="208" spans="1:24" hidden="1">
      <c r="B208" s="612" t="s">
        <v>676</v>
      </c>
    </row>
    <row r="209" spans="1:21" hidden="1">
      <c r="C209" s="613" t="s">
        <v>905</v>
      </c>
      <c r="D209" s="613" t="s">
        <v>906</v>
      </c>
      <c r="E209" s="613" t="s">
        <v>907</v>
      </c>
      <c r="F209" s="613" t="s">
        <v>908</v>
      </c>
      <c r="G209" s="613" t="s">
        <v>909</v>
      </c>
      <c r="H209" s="613" t="s">
        <v>910</v>
      </c>
      <c r="I209" s="613" t="s">
        <v>911</v>
      </c>
      <c r="J209" s="613" t="s">
        <v>912</v>
      </c>
      <c r="K209" s="613" t="s">
        <v>1150</v>
      </c>
      <c r="L209" s="613" t="s">
        <v>913</v>
      </c>
      <c r="M209" s="613" t="s">
        <v>826</v>
      </c>
      <c r="N209" s="613" t="s">
        <v>914</v>
      </c>
      <c r="O209" s="613" t="s">
        <v>915</v>
      </c>
      <c r="P209" s="613" t="s">
        <v>916</v>
      </c>
      <c r="Q209" s="613" t="s">
        <v>917</v>
      </c>
      <c r="R209" s="613" t="s">
        <v>950</v>
      </c>
      <c r="S209" s="613" t="s">
        <v>946</v>
      </c>
      <c r="T209" s="613" t="s">
        <v>888</v>
      </c>
      <c r="U209" s="613" t="s">
        <v>382</v>
      </c>
    </row>
    <row r="210" spans="1:21" hidden="1">
      <c r="B210" s="655" t="s">
        <v>50</v>
      </c>
      <c r="C210" s="751">
        <f ca="1">Driver22!$X$29</f>
        <v>0.86</v>
      </c>
      <c r="D210" s="751">
        <v>0.35</v>
      </c>
      <c r="E210" s="751">
        <v>0.35</v>
      </c>
      <c r="F210" s="751"/>
      <c r="G210" s="751"/>
      <c r="H210" s="751"/>
      <c r="I210" s="751"/>
      <c r="J210" s="751"/>
      <c r="K210" s="751"/>
      <c r="L210" s="751"/>
      <c r="M210" s="751">
        <v>0.35</v>
      </c>
      <c r="N210" s="751"/>
      <c r="O210" s="751">
        <v>0.35</v>
      </c>
      <c r="P210" s="751"/>
      <c r="Q210" s="751"/>
      <c r="R210" s="751"/>
      <c r="S210" s="751"/>
      <c r="T210" s="751"/>
      <c r="U210" s="751"/>
    </row>
    <row r="211" spans="1:21" hidden="1">
      <c r="A211" s="613" t="s">
        <v>579</v>
      </c>
      <c r="B211" s="613" t="s">
        <v>962</v>
      </c>
      <c r="C211" s="738">
        <f t="shared" ref="C211:L215" si="72">VLOOKUP($B211,$B$172:$T$206,C$4,FALSE)</f>
        <v>1.5369070379608057E-2</v>
      </c>
      <c r="D211" s="738">
        <f t="shared" si="72"/>
        <v>0</v>
      </c>
      <c r="E211" s="738">
        <f t="shared" si="72"/>
        <v>1.3416963626725919E-3</v>
      </c>
      <c r="F211" s="738">
        <f t="shared" si="72"/>
        <v>0</v>
      </c>
      <c r="G211" s="738">
        <f t="shared" si="72"/>
        <v>0</v>
      </c>
      <c r="H211" s="738">
        <f t="shared" si="72"/>
        <v>0</v>
      </c>
      <c r="I211" s="738">
        <f t="shared" si="72"/>
        <v>0</v>
      </c>
      <c r="J211" s="738">
        <f t="shared" si="72"/>
        <v>0</v>
      </c>
      <c r="K211" s="738">
        <f t="shared" si="72"/>
        <v>0</v>
      </c>
      <c r="L211" s="738">
        <f t="shared" si="72"/>
        <v>0</v>
      </c>
      <c r="M211" s="738">
        <f t="shared" ref="M211:T215" si="73">VLOOKUP($B211,$B$172:$T$206,M$4,FALSE)</f>
        <v>0</v>
      </c>
      <c r="N211" s="738">
        <f t="shared" si="73"/>
        <v>0</v>
      </c>
      <c r="O211" s="738">
        <f t="shared" si="73"/>
        <v>0</v>
      </c>
      <c r="P211" s="738">
        <f t="shared" si="73"/>
        <v>0</v>
      </c>
      <c r="Q211" s="738">
        <f t="shared" si="73"/>
        <v>0</v>
      </c>
      <c r="R211" s="738">
        <f t="shared" si="73"/>
        <v>0</v>
      </c>
      <c r="S211" s="738">
        <f t="shared" si="73"/>
        <v>0</v>
      </c>
      <c r="T211" s="738">
        <f t="shared" si="73"/>
        <v>1.6710766742280649E-2</v>
      </c>
      <c r="U211" s="738">
        <f>SUMPRODUCT($C$210:$S$210,$C211:$S211)</f>
        <v>1.3686994253398336E-2</v>
      </c>
    </row>
    <row r="212" spans="1:21" hidden="1">
      <c r="A212" s="613" t="s">
        <v>653</v>
      </c>
      <c r="B212" s="613" t="s">
        <v>966</v>
      </c>
      <c r="C212" s="738">
        <f t="shared" si="72"/>
        <v>2.7240648634223635E-2</v>
      </c>
      <c r="D212" s="738">
        <f t="shared" si="72"/>
        <v>0</v>
      </c>
      <c r="E212" s="738">
        <f t="shared" si="72"/>
        <v>4.031704261939586E-3</v>
      </c>
      <c r="F212" s="738">
        <f t="shared" si="72"/>
        <v>0</v>
      </c>
      <c r="G212" s="738">
        <f t="shared" si="72"/>
        <v>0</v>
      </c>
      <c r="H212" s="738">
        <f t="shared" si="72"/>
        <v>0</v>
      </c>
      <c r="I212" s="738">
        <f t="shared" si="72"/>
        <v>0</v>
      </c>
      <c r="J212" s="738">
        <f t="shared" si="72"/>
        <v>0</v>
      </c>
      <c r="K212" s="738">
        <f t="shared" si="72"/>
        <v>0</v>
      </c>
      <c r="L212" s="738">
        <f t="shared" si="72"/>
        <v>0</v>
      </c>
      <c r="M212" s="738">
        <f t="shared" si="73"/>
        <v>1.0087255879915676E-3</v>
      </c>
      <c r="N212" s="738">
        <f t="shared" si="73"/>
        <v>0</v>
      </c>
      <c r="O212" s="738">
        <f t="shared" si="73"/>
        <v>0</v>
      </c>
      <c r="P212" s="738">
        <f t="shared" si="73"/>
        <v>0</v>
      </c>
      <c r="Q212" s="738">
        <f t="shared" si="73"/>
        <v>0</v>
      </c>
      <c r="R212" s="738">
        <f t="shared" si="73"/>
        <v>0</v>
      </c>
      <c r="S212" s="738">
        <f t="shared" si="73"/>
        <v>0</v>
      </c>
      <c r="T212" s="738">
        <f t="shared" si="73"/>
        <v>3.228107848415479E-2</v>
      </c>
      <c r="U212" s="738">
        <f>SUMPRODUCT($C$210:$S$210,$C212:$S212)</f>
        <v>2.5191108272908228E-2</v>
      </c>
    </row>
    <row r="213" spans="1:21" hidden="1">
      <c r="A213" s="613" t="s">
        <v>862</v>
      </c>
      <c r="B213" s="613" t="s">
        <v>968</v>
      </c>
      <c r="C213" s="738">
        <f t="shared" si="72"/>
        <v>1.9862413858238413E-2</v>
      </c>
      <c r="D213" s="738">
        <f t="shared" si="72"/>
        <v>0</v>
      </c>
      <c r="E213" s="738">
        <f t="shared" si="72"/>
        <v>1.1662143060392255E-3</v>
      </c>
      <c r="F213" s="738">
        <f t="shared" si="72"/>
        <v>0</v>
      </c>
      <c r="G213" s="738">
        <f t="shared" si="72"/>
        <v>0</v>
      </c>
      <c r="H213" s="738">
        <f t="shared" si="72"/>
        <v>0</v>
      </c>
      <c r="I213" s="738">
        <f t="shared" si="72"/>
        <v>0</v>
      </c>
      <c r="J213" s="738">
        <f t="shared" si="72"/>
        <v>0</v>
      </c>
      <c r="K213" s="738">
        <f t="shared" si="72"/>
        <v>0</v>
      </c>
      <c r="L213" s="738">
        <f t="shared" si="72"/>
        <v>0</v>
      </c>
      <c r="M213" s="738">
        <f t="shared" si="73"/>
        <v>0</v>
      </c>
      <c r="N213" s="738">
        <f t="shared" si="73"/>
        <v>0</v>
      </c>
      <c r="O213" s="738">
        <f t="shared" si="73"/>
        <v>0</v>
      </c>
      <c r="P213" s="738">
        <f t="shared" si="73"/>
        <v>0</v>
      </c>
      <c r="Q213" s="738">
        <f t="shared" si="73"/>
        <v>0</v>
      </c>
      <c r="R213" s="738">
        <f t="shared" si="73"/>
        <v>0</v>
      </c>
      <c r="S213" s="738">
        <f t="shared" si="73"/>
        <v>0</v>
      </c>
      <c r="T213" s="738">
        <f t="shared" si="73"/>
        <v>2.1028628164277637E-2</v>
      </c>
      <c r="U213" s="738">
        <f>SUMPRODUCT($C$210:$S$210,$C213:$S213)</f>
        <v>1.7489850925198766E-2</v>
      </c>
    </row>
    <row r="214" spans="1:21" hidden="1">
      <c r="A214" s="613" t="s">
        <v>572</v>
      </c>
      <c r="B214" s="613" t="s">
        <v>973</v>
      </c>
      <c r="C214" s="738">
        <f t="shared" si="72"/>
        <v>0.15690695509570066</v>
      </c>
      <c r="D214" s="738">
        <f t="shared" si="72"/>
        <v>0</v>
      </c>
      <c r="E214" s="738">
        <f t="shared" si="72"/>
        <v>9.5643212579191589E-2</v>
      </c>
      <c r="F214" s="738">
        <f t="shared" si="72"/>
        <v>0</v>
      </c>
      <c r="G214" s="738">
        <f t="shared" si="72"/>
        <v>0</v>
      </c>
      <c r="H214" s="738">
        <f t="shared" si="72"/>
        <v>0</v>
      </c>
      <c r="I214" s="738">
        <f t="shared" si="72"/>
        <v>0</v>
      </c>
      <c r="J214" s="738">
        <f t="shared" si="72"/>
        <v>0</v>
      </c>
      <c r="K214" s="738">
        <f t="shared" si="72"/>
        <v>0</v>
      </c>
      <c r="L214" s="738">
        <f t="shared" si="72"/>
        <v>0</v>
      </c>
      <c r="M214" s="738">
        <f t="shared" si="73"/>
        <v>2.9643892648569476E-5</v>
      </c>
      <c r="N214" s="738">
        <f t="shared" si="73"/>
        <v>0</v>
      </c>
      <c r="O214" s="738">
        <f t="shared" si="73"/>
        <v>7.8539358214165314E-2</v>
      </c>
      <c r="P214" s="738">
        <f t="shared" si="73"/>
        <v>0</v>
      </c>
      <c r="Q214" s="738">
        <f t="shared" si="73"/>
        <v>0</v>
      </c>
      <c r="R214" s="738">
        <f t="shared" si="73"/>
        <v>0</v>
      </c>
      <c r="S214" s="738">
        <f t="shared" si="73"/>
        <v>0</v>
      </c>
      <c r="T214" s="738">
        <f t="shared" si="73"/>
        <v>0.33111916978170614</v>
      </c>
      <c r="U214" s="738">
        <f>SUMPRODUCT($C$210:$S$210,$C214:$S214)</f>
        <v>0.19591425652240449</v>
      </c>
    </row>
    <row r="215" spans="1:21" hidden="1">
      <c r="A215" s="613" t="s">
        <v>981</v>
      </c>
      <c r="B215" s="613" t="s">
        <v>970</v>
      </c>
      <c r="C215" s="738">
        <f t="shared" si="72"/>
        <v>1.0242424629259511E-2</v>
      </c>
      <c r="D215" s="738">
        <f t="shared" si="72"/>
        <v>0</v>
      </c>
      <c r="E215" s="738">
        <f t="shared" si="72"/>
        <v>0</v>
      </c>
      <c r="F215" s="738">
        <f t="shared" si="72"/>
        <v>0</v>
      </c>
      <c r="G215" s="738">
        <f t="shared" si="72"/>
        <v>0</v>
      </c>
      <c r="H215" s="738">
        <f t="shared" si="72"/>
        <v>0</v>
      </c>
      <c r="I215" s="738">
        <f t="shared" si="72"/>
        <v>0</v>
      </c>
      <c r="J215" s="738">
        <f t="shared" si="72"/>
        <v>0</v>
      </c>
      <c r="K215" s="738">
        <f t="shared" si="72"/>
        <v>0</v>
      </c>
      <c r="L215" s="738">
        <f t="shared" si="72"/>
        <v>0</v>
      </c>
      <c r="M215" s="738">
        <f t="shared" si="73"/>
        <v>0</v>
      </c>
      <c r="N215" s="738">
        <f t="shared" si="73"/>
        <v>0</v>
      </c>
      <c r="O215" s="738">
        <f t="shared" si="73"/>
        <v>0</v>
      </c>
      <c r="P215" s="738">
        <f t="shared" si="73"/>
        <v>0</v>
      </c>
      <c r="Q215" s="738">
        <f t="shared" si="73"/>
        <v>0</v>
      </c>
      <c r="R215" s="738">
        <f t="shared" si="73"/>
        <v>0</v>
      </c>
      <c r="S215" s="738">
        <f t="shared" si="73"/>
        <v>0</v>
      </c>
      <c r="T215" s="738">
        <f t="shared" si="73"/>
        <v>1.0242424629259511E-2</v>
      </c>
      <c r="U215" s="752">
        <f>SUMPRODUCT($C$210:$S$210,$C215:$S215)</f>
        <v>8.8084851811631795E-3</v>
      </c>
    </row>
    <row r="216" spans="1:21" hidden="1">
      <c r="B216" s="655" t="s">
        <v>674</v>
      </c>
      <c r="C216" s="753">
        <f t="shared" ref="C216:U216" si="74">SUM(C211:C215)</f>
        <v>0.22962151259703026</v>
      </c>
      <c r="D216" s="753">
        <f t="shared" si="74"/>
        <v>0</v>
      </c>
      <c r="E216" s="753">
        <f t="shared" si="74"/>
        <v>0.10218282750984299</v>
      </c>
      <c r="F216" s="753">
        <f t="shared" si="74"/>
        <v>0</v>
      </c>
      <c r="G216" s="753">
        <f t="shared" si="74"/>
        <v>0</v>
      </c>
      <c r="H216" s="753">
        <f t="shared" si="74"/>
        <v>0</v>
      </c>
      <c r="I216" s="753">
        <f t="shared" si="74"/>
        <v>0</v>
      </c>
      <c r="J216" s="753">
        <f t="shared" si="74"/>
        <v>0</v>
      </c>
      <c r="K216" s="753">
        <f t="shared" si="74"/>
        <v>0</v>
      </c>
      <c r="L216" s="753">
        <f t="shared" si="74"/>
        <v>0</v>
      </c>
      <c r="M216" s="753">
        <f t="shared" si="74"/>
        <v>1.038369480640137E-3</v>
      </c>
      <c r="N216" s="753">
        <f t="shared" si="74"/>
        <v>0</v>
      </c>
      <c r="O216" s="753">
        <f t="shared" si="74"/>
        <v>7.8539358214165314E-2</v>
      </c>
      <c r="P216" s="753">
        <f t="shared" si="74"/>
        <v>0</v>
      </c>
      <c r="Q216" s="753">
        <f t="shared" si="74"/>
        <v>0</v>
      </c>
      <c r="R216" s="753">
        <f t="shared" si="74"/>
        <v>0</v>
      </c>
      <c r="S216" s="753">
        <f t="shared" si="74"/>
        <v>0</v>
      </c>
      <c r="T216" s="753">
        <f t="shared" si="74"/>
        <v>0.41138206780167874</v>
      </c>
      <c r="U216" s="753">
        <f t="shared" si="74"/>
        <v>0.26109069515507299</v>
      </c>
    </row>
    <row r="217" spans="1:21" hidden="1"/>
    <row r="218" spans="1:21" hidden="1">
      <c r="C218" s="613" t="s">
        <v>905</v>
      </c>
      <c r="D218" s="613" t="s">
        <v>906</v>
      </c>
      <c r="E218" s="613" t="s">
        <v>907</v>
      </c>
      <c r="F218" s="613" t="s">
        <v>908</v>
      </c>
      <c r="G218" s="613" t="s">
        <v>909</v>
      </c>
      <c r="H218" s="613" t="s">
        <v>910</v>
      </c>
      <c r="I218" s="613" t="s">
        <v>911</v>
      </c>
      <c r="J218" s="613" t="s">
        <v>912</v>
      </c>
      <c r="K218" s="613" t="s">
        <v>1150</v>
      </c>
      <c r="L218" s="613" t="s">
        <v>913</v>
      </c>
      <c r="M218" s="613" t="s">
        <v>826</v>
      </c>
      <c r="N218" s="613" t="s">
        <v>914</v>
      </c>
      <c r="O218" s="613" t="s">
        <v>915</v>
      </c>
      <c r="P218" s="613" t="s">
        <v>916</v>
      </c>
      <c r="Q218" s="613" t="s">
        <v>917</v>
      </c>
      <c r="R218" s="613" t="s">
        <v>950</v>
      </c>
      <c r="S218" s="613" t="s">
        <v>946</v>
      </c>
      <c r="T218" s="613" t="s">
        <v>888</v>
      </c>
      <c r="U218" s="613" t="s">
        <v>382</v>
      </c>
    </row>
    <row r="219" spans="1:21" hidden="1">
      <c r="B219" s="655" t="s">
        <v>50</v>
      </c>
      <c r="C219" s="751">
        <v>0.95</v>
      </c>
      <c r="D219" s="751">
        <f t="array" aca="1" ref="D219:Q219" ca="1">Driver22!$X$27</f>
        <v>0.82</v>
      </c>
      <c r="E219" s="751">
        <f ca="1"/>
        <v>0.82</v>
      </c>
      <c r="F219" s="751">
        <f ca="1"/>
        <v>0.82</v>
      </c>
      <c r="G219" s="751">
        <f ca="1"/>
        <v>0.82</v>
      </c>
      <c r="H219" s="751">
        <f ca="1"/>
        <v>0.82</v>
      </c>
      <c r="I219" s="751">
        <f ca="1"/>
        <v>0.82</v>
      </c>
      <c r="J219" s="751">
        <f ca="1"/>
        <v>0.82</v>
      </c>
      <c r="K219" s="751">
        <f ca="1"/>
        <v>0.82</v>
      </c>
      <c r="L219" s="751">
        <f ca="1"/>
        <v>0.82</v>
      </c>
      <c r="M219" s="751">
        <f ca="1"/>
        <v>0.82</v>
      </c>
      <c r="N219" s="751">
        <f ca="1"/>
        <v>0.82</v>
      </c>
      <c r="O219" s="751">
        <f ca="1"/>
        <v>0.82</v>
      </c>
      <c r="P219" s="751">
        <f ca="1"/>
        <v>0.82</v>
      </c>
      <c r="Q219" s="751">
        <f ca="1"/>
        <v>0.82</v>
      </c>
      <c r="R219" s="754">
        <f>SQRT(Q219)</f>
        <v>0.90553851381374162</v>
      </c>
      <c r="S219" s="751">
        <f>U$47</f>
        <v>0.82</v>
      </c>
      <c r="T219" s="751"/>
      <c r="U219" s="751"/>
    </row>
    <row r="220" spans="1:21" hidden="1">
      <c r="A220" s="613" t="s">
        <v>577</v>
      </c>
      <c r="B220" s="613" t="s">
        <v>963</v>
      </c>
      <c r="C220" s="738">
        <f t="shared" ref="C220:L224" si="75">VLOOKUP($B220,$B$172:$T$206,C$4,FALSE)</f>
        <v>0</v>
      </c>
      <c r="D220" s="738">
        <f t="shared" si="75"/>
        <v>4.000000000000001E-3</v>
      </c>
      <c r="E220" s="738">
        <f t="shared" si="75"/>
        <v>6.6500355992334939E-4</v>
      </c>
      <c r="F220" s="738">
        <f t="shared" si="75"/>
        <v>0</v>
      </c>
      <c r="G220" s="738">
        <f t="shared" si="75"/>
        <v>2.0000000000000005E-3</v>
      </c>
      <c r="H220" s="738">
        <f t="shared" si="75"/>
        <v>0</v>
      </c>
      <c r="I220" s="738">
        <f t="shared" si="75"/>
        <v>0</v>
      </c>
      <c r="J220" s="738">
        <f t="shared" si="75"/>
        <v>0</v>
      </c>
      <c r="K220" s="738">
        <f t="shared" si="75"/>
        <v>0</v>
      </c>
      <c r="L220" s="738">
        <f t="shared" si="75"/>
        <v>0</v>
      </c>
      <c r="M220" s="738">
        <f t="shared" ref="M220:T224" si="76">VLOOKUP($B220,$B$172:$T$206,M$4,FALSE)</f>
        <v>0</v>
      </c>
      <c r="N220" s="738">
        <f t="shared" si="76"/>
        <v>0</v>
      </c>
      <c r="O220" s="738">
        <f t="shared" si="76"/>
        <v>0</v>
      </c>
      <c r="P220" s="738">
        <f t="shared" si="76"/>
        <v>0</v>
      </c>
      <c r="Q220" s="738">
        <f t="shared" si="76"/>
        <v>0</v>
      </c>
      <c r="R220" s="738">
        <f t="shared" si="76"/>
        <v>0</v>
      </c>
      <c r="S220" s="738">
        <f t="shared" si="76"/>
        <v>2.4325301011247922E-3</v>
      </c>
      <c r="T220" s="738">
        <f t="shared" si="76"/>
        <v>9.0975336610481412E-3</v>
      </c>
      <c r="U220" s="738">
        <f>SUMPRODUCT($C$219:$S$219,$C220:$S220)</f>
        <v>7.4599776020594782E-3</v>
      </c>
    </row>
    <row r="221" spans="1:21" hidden="1">
      <c r="A221" s="613" t="s">
        <v>92</v>
      </c>
      <c r="B221" s="613" t="s">
        <v>967</v>
      </c>
      <c r="C221" s="738">
        <f t="shared" si="75"/>
        <v>0</v>
      </c>
      <c r="D221" s="738">
        <f t="shared" si="75"/>
        <v>2.3307542460887102E-3</v>
      </c>
      <c r="E221" s="738">
        <f t="shared" si="75"/>
        <v>1.7968295738060414E-2</v>
      </c>
      <c r="F221" s="738">
        <f t="shared" si="75"/>
        <v>0</v>
      </c>
      <c r="G221" s="738">
        <f t="shared" si="75"/>
        <v>1.2853332859529285E-2</v>
      </c>
      <c r="H221" s="738">
        <f t="shared" si="75"/>
        <v>0</v>
      </c>
      <c r="I221" s="738">
        <f t="shared" si="75"/>
        <v>0</v>
      </c>
      <c r="J221" s="738">
        <f t="shared" si="75"/>
        <v>0</v>
      </c>
      <c r="K221" s="738">
        <f t="shared" si="75"/>
        <v>0</v>
      </c>
      <c r="L221" s="738">
        <f t="shared" si="75"/>
        <v>3.5631120241503737E-4</v>
      </c>
      <c r="M221" s="738">
        <f t="shared" si="76"/>
        <v>8.9912744120084331E-3</v>
      </c>
      <c r="N221" s="738">
        <f t="shared" si="76"/>
        <v>0</v>
      </c>
      <c r="O221" s="738">
        <f t="shared" si="76"/>
        <v>0</v>
      </c>
      <c r="P221" s="738">
        <f t="shared" si="76"/>
        <v>0.05</v>
      </c>
      <c r="Q221" s="738">
        <f t="shared" si="76"/>
        <v>5.4999999999999986E-2</v>
      </c>
      <c r="R221" s="738">
        <f t="shared" si="76"/>
        <v>0</v>
      </c>
      <c r="S221" s="738">
        <f t="shared" si="76"/>
        <v>2.9253755466514056E-2</v>
      </c>
      <c r="T221" s="738">
        <f t="shared" si="76"/>
        <v>0.17675372392461591</v>
      </c>
      <c r="U221" s="738">
        <f>SUMPRODUCT($C$219:$S$219,$C221:$S221)</f>
        <v>0.14493805361818504</v>
      </c>
    </row>
    <row r="222" spans="1:21" hidden="1">
      <c r="A222" s="613" t="s">
        <v>859</v>
      </c>
      <c r="B222" s="613" t="s">
        <v>969</v>
      </c>
      <c r="C222" s="738">
        <f t="shared" si="75"/>
        <v>0</v>
      </c>
      <c r="D222" s="738">
        <f t="shared" si="75"/>
        <v>0</v>
      </c>
      <c r="E222" s="738">
        <f t="shared" si="75"/>
        <v>7.4192133819446135E-4</v>
      </c>
      <c r="F222" s="738">
        <f t="shared" si="75"/>
        <v>0</v>
      </c>
      <c r="G222" s="738">
        <f t="shared" si="75"/>
        <v>0</v>
      </c>
      <c r="H222" s="738">
        <f t="shared" si="75"/>
        <v>0</v>
      </c>
      <c r="I222" s="738">
        <f t="shared" si="75"/>
        <v>0</v>
      </c>
      <c r="J222" s="738">
        <f t="shared" si="75"/>
        <v>0</v>
      </c>
      <c r="K222" s="738">
        <f t="shared" si="75"/>
        <v>0</v>
      </c>
      <c r="L222" s="738">
        <f t="shared" si="75"/>
        <v>2.459430514071872E-4</v>
      </c>
      <c r="M222" s="738">
        <f t="shared" si="76"/>
        <v>0</v>
      </c>
      <c r="N222" s="738">
        <f t="shared" si="76"/>
        <v>0</v>
      </c>
      <c r="O222" s="738">
        <f t="shared" si="76"/>
        <v>0</v>
      </c>
      <c r="P222" s="738">
        <f t="shared" si="76"/>
        <v>0</v>
      </c>
      <c r="Q222" s="738">
        <f t="shared" si="76"/>
        <v>0</v>
      </c>
      <c r="R222" s="738">
        <f t="shared" si="76"/>
        <v>0</v>
      </c>
      <c r="S222" s="738">
        <f t="shared" si="76"/>
        <v>1.0952505073654572E-2</v>
      </c>
      <c r="T222" s="738">
        <f t="shared" si="76"/>
        <v>1.1940369463256221E-2</v>
      </c>
      <c r="U222" s="738">
        <f>SUMPRODUCT($C$219:$S$219,$C222:$S222)</f>
        <v>9.7911029598700995E-3</v>
      </c>
    </row>
    <row r="223" spans="1:21" hidden="1">
      <c r="A223" s="613" t="s">
        <v>570</v>
      </c>
      <c r="B223" s="613" t="s">
        <v>974</v>
      </c>
      <c r="C223" s="738">
        <f t="shared" si="75"/>
        <v>0</v>
      </c>
      <c r="D223" s="738">
        <f t="shared" si="75"/>
        <v>8.888646360776925E-2</v>
      </c>
      <c r="E223" s="738">
        <f t="shared" si="75"/>
        <v>0</v>
      </c>
      <c r="F223" s="738">
        <f t="shared" si="75"/>
        <v>0</v>
      </c>
      <c r="G223" s="738">
        <f t="shared" si="75"/>
        <v>0</v>
      </c>
      <c r="H223" s="738">
        <f t="shared" si="75"/>
        <v>0</v>
      </c>
      <c r="I223" s="738">
        <f t="shared" si="75"/>
        <v>0</v>
      </c>
      <c r="J223" s="738">
        <f t="shared" si="75"/>
        <v>0</v>
      </c>
      <c r="K223" s="738">
        <f t="shared" si="75"/>
        <v>0</v>
      </c>
      <c r="L223" s="738">
        <f t="shared" si="75"/>
        <v>4.4507774973349616E-2</v>
      </c>
      <c r="M223" s="738">
        <f t="shared" si="76"/>
        <v>2.7166020074205419E-3</v>
      </c>
      <c r="N223" s="738">
        <f t="shared" si="76"/>
        <v>0</v>
      </c>
      <c r="O223" s="738">
        <f t="shared" si="76"/>
        <v>0</v>
      </c>
      <c r="P223" s="738">
        <f t="shared" si="76"/>
        <v>0</v>
      </c>
      <c r="Q223" s="738">
        <f t="shared" si="76"/>
        <v>1.3000000000000001E-2</v>
      </c>
      <c r="R223" s="738">
        <f t="shared" si="76"/>
        <v>0</v>
      </c>
      <c r="S223" s="738">
        <f t="shared" si="76"/>
        <v>0.23548893464461251</v>
      </c>
      <c r="T223" s="738">
        <f t="shared" si="76"/>
        <v>0.38459977523315192</v>
      </c>
      <c r="U223" s="738">
        <f>SUMPRODUCT($C$219:$S$219,$C223:$S223)</f>
        <v>0.31537181569118455</v>
      </c>
    </row>
    <row r="224" spans="1:21" hidden="1">
      <c r="A224" s="613" t="s">
        <v>979</v>
      </c>
      <c r="B224" s="613" t="s">
        <v>971</v>
      </c>
      <c r="C224" s="738">
        <f t="shared" si="75"/>
        <v>0</v>
      </c>
      <c r="D224" s="738">
        <f t="shared" si="75"/>
        <v>2.9810864090387413E-4</v>
      </c>
      <c r="E224" s="738">
        <f t="shared" si="75"/>
        <v>1.8367907616229415E-5</v>
      </c>
      <c r="F224" s="738">
        <f t="shared" si="75"/>
        <v>0</v>
      </c>
      <c r="G224" s="738">
        <f t="shared" si="75"/>
        <v>1.5317304759790434E-4</v>
      </c>
      <c r="H224" s="738">
        <f t="shared" si="75"/>
        <v>0</v>
      </c>
      <c r="I224" s="738">
        <f t="shared" si="75"/>
        <v>0</v>
      </c>
      <c r="J224" s="738">
        <f t="shared" si="75"/>
        <v>0</v>
      </c>
      <c r="K224" s="738">
        <f t="shared" si="75"/>
        <v>2E-3</v>
      </c>
      <c r="L224" s="738">
        <f t="shared" si="75"/>
        <v>3.2901738856994645E-5</v>
      </c>
      <c r="M224" s="738">
        <f t="shared" si="76"/>
        <v>0</v>
      </c>
      <c r="N224" s="738">
        <f t="shared" si="76"/>
        <v>0</v>
      </c>
      <c r="O224" s="738">
        <f t="shared" si="76"/>
        <v>0</v>
      </c>
      <c r="P224" s="738">
        <f t="shared" si="76"/>
        <v>0</v>
      </c>
      <c r="Q224" s="738">
        <f t="shared" si="76"/>
        <v>3.9761111216690327E-2</v>
      </c>
      <c r="R224" s="738">
        <f t="shared" si="76"/>
        <v>0</v>
      </c>
      <c r="S224" s="738">
        <f t="shared" si="76"/>
        <v>3.3625468697448683E-3</v>
      </c>
      <c r="T224" s="738">
        <f t="shared" si="76"/>
        <v>4.5626209421410199E-2</v>
      </c>
      <c r="U224" s="738">
        <f>SUMPRODUCT($C$219:$S$219,$C224:$S224)</f>
        <v>3.7413491725556365E-2</v>
      </c>
    </row>
    <row r="225" spans="1:38" hidden="1">
      <c r="B225" s="655" t="s">
        <v>675</v>
      </c>
      <c r="C225" s="753">
        <f t="shared" ref="C225:R225" si="77">SUM(C220:C224)</f>
        <v>0</v>
      </c>
      <c r="D225" s="753">
        <f t="shared" si="77"/>
        <v>9.551532649476184E-2</v>
      </c>
      <c r="E225" s="753">
        <f t="shared" si="77"/>
        <v>1.9393588543794454E-2</v>
      </c>
      <c r="F225" s="753">
        <f t="shared" si="77"/>
        <v>0</v>
      </c>
      <c r="G225" s="753">
        <f t="shared" si="77"/>
        <v>1.5006505907127189E-2</v>
      </c>
      <c r="H225" s="753">
        <f t="shared" si="77"/>
        <v>0</v>
      </c>
      <c r="I225" s="753">
        <f t="shared" si="77"/>
        <v>0</v>
      </c>
      <c r="J225" s="753">
        <f t="shared" si="77"/>
        <v>0</v>
      </c>
      <c r="K225" s="753">
        <f t="shared" si="77"/>
        <v>2E-3</v>
      </c>
      <c r="L225" s="753">
        <f t="shared" si="77"/>
        <v>4.5142930966028831E-2</v>
      </c>
      <c r="M225" s="753">
        <f t="shared" si="77"/>
        <v>1.1707876419428975E-2</v>
      </c>
      <c r="N225" s="753">
        <f t="shared" si="77"/>
        <v>0</v>
      </c>
      <c r="O225" s="753">
        <f t="shared" si="77"/>
        <v>0</v>
      </c>
      <c r="P225" s="753">
        <f t="shared" si="77"/>
        <v>0.05</v>
      </c>
      <c r="Q225" s="753">
        <f t="shared" si="77"/>
        <v>0.10776111121669033</v>
      </c>
      <c r="R225" s="753">
        <f t="shared" si="77"/>
        <v>0</v>
      </c>
      <c r="S225" s="753">
        <f>SUM(S220:S224)*S$219</f>
        <v>0.23082202316763362</v>
      </c>
      <c r="T225" s="753">
        <f>SUM(T220:T224)</f>
        <v>0.62801761170348236</v>
      </c>
      <c r="U225" s="753">
        <f>SUM(U220:U224)</f>
        <v>0.51497444159685557</v>
      </c>
    </row>
    <row r="226" spans="1:38" hidden="1"/>
    <row r="227" spans="1:38" hidden="1"/>
    <row r="228" spans="1:38" ht="18" hidden="1">
      <c r="B228" s="728" t="s">
        <v>331</v>
      </c>
      <c r="C228" s="729"/>
      <c r="D228" s="708"/>
      <c r="E228" s="729"/>
      <c r="F228" s="708"/>
      <c r="G228" s="708"/>
    </row>
    <row r="229" spans="1:38" hidden="1"/>
    <row r="230" spans="1:38" hidden="1">
      <c r="C230" s="613" t="s">
        <v>557</v>
      </c>
      <c r="D230" s="613" t="s">
        <v>951</v>
      </c>
      <c r="E230" s="613" t="s">
        <v>1084</v>
      </c>
      <c r="F230" s="613" t="s">
        <v>756</v>
      </c>
      <c r="G230" s="613" t="s">
        <v>952</v>
      </c>
      <c r="H230" s="613" t="s">
        <v>953</v>
      </c>
      <c r="I230" s="613" t="s">
        <v>954</v>
      </c>
      <c r="J230" s="613" t="s">
        <v>955</v>
      </c>
      <c r="K230" s="613" t="s">
        <v>956</v>
      </c>
      <c r="L230" s="613" t="s">
        <v>830</v>
      </c>
      <c r="M230" s="613" t="s">
        <v>831</v>
      </c>
      <c r="N230" s="613" t="s">
        <v>832</v>
      </c>
      <c r="O230" s="613" t="s">
        <v>833</v>
      </c>
      <c r="P230" s="613" t="s">
        <v>834</v>
      </c>
      <c r="Q230" s="613" t="s">
        <v>835</v>
      </c>
      <c r="R230" s="613" t="s">
        <v>836</v>
      </c>
      <c r="S230" s="613" t="s">
        <v>837</v>
      </c>
      <c r="T230" s="613" t="s">
        <v>838</v>
      </c>
      <c r="U230" s="613" t="s">
        <v>839</v>
      </c>
      <c r="V230" s="613" t="s">
        <v>843</v>
      </c>
      <c r="W230" s="613" t="s">
        <v>841</v>
      </c>
      <c r="X230" s="613" t="s">
        <v>842</v>
      </c>
      <c r="Y230" s="613" t="s">
        <v>606</v>
      </c>
      <c r="Z230" s="613" t="s">
        <v>846</v>
      </c>
      <c r="AA230" s="613" t="s">
        <v>1289</v>
      </c>
      <c r="AB230" s="613" t="s">
        <v>847</v>
      </c>
      <c r="AC230" s="613" t="s">
        <v>608</v>
      </c>
      <c r="AD230" s="613" t="s">
        <v>609</v>
      </c>
      <c r="AE230" s="613" t="s">
        <v>844</v>
      </c>
      <c r="AF230" s="613" t="s">
        <v>845</v>
      </c>
      <c r="AG230" s="613" t="s">
        <v>757</v>
      </c>
      <c r="AH230" s="613" t="s">
        <v>310</v>
      </c>
      <c r="AI230" s="613" t="s">
        <v>311</v>
      </c>
      <c r="AJ230" s="613" t="s">
        <v>312</v>
      </c>
      <c r="AK230" s="613" t="s">
        <v>313</v>
      </c>
      <c r="AL230" s="613" t="s">
        <v>888</v>
      </c>
    </row>
    <row r="231" spans="1:38" hidden="1">
      <c r="B231" s="613" t="s">
        <v>291</v>
      </c>
      <c r="C231" s="613">
        <v>2</v>
      </c>
      <c r="D231" s="613">
        <f t="shared" ref="D231:AL231" si="78">C231+1</f>
        <v>3</v>
      </c>
      <c r="E231" s="613">
        <f t="shared" si="78"/>
        <v>4</v>
      </c>
      <c r="F231" s="613">
        <f t="shared" si="78"/>
        <v>5</v>
      </c>
      <c r="G231" s="613">
        <f t="shared" si="78"/>
        <v>6</v>
      </c>
      <c r="H231" s="613">
        <f t="shared" si="78"/>
        <v>7</v>
      </c>
      <c r="I231" s="613">
        <f t="shared" si="78"/>
        <v>8</v>
      </c>
      <c r="J231" s="613">
        <f t="shared" si="78"/>
        <v>9</v>
      </c>
      <c r="K231" s="613">
        <f t="shared" si="78"/>
        <v>10</v>
      </c>
      <c r="L231" s="613">
        <f t="shared" si="78"/>
        <v>11</v>
      </c>
      <c r="M231" s="613">
        <f t="shared" si="78"/>
        <v>12</v>
      </c>
      <c r="N231" s="613">
        <f t="shared" si="78"/>
        <v>13</v>
      </c>
      <c r="O231" s="613">
        <f t="shared" si="78"/>
        <v>14</v>
      </c>
      <c r="P231" s="613">
        <f t="shared" si="78"/>
        <v>15</v>
      </c>
      <c r="Q231" s="613">
        <f t="shared" si="78"/>
        <v>16</v>
      </c>
      <c r="R231" s="613">
        <f t="shared" si="78"/>
        <v>17</v>
      </c>
      <c r="S231" s="613">
        <f t="shared" si="78"/>
        <v>18</v>
      </c>
      <c r="T231" s="613">
        <f t="shared" si="78"/>
        <v>19</v>
      </c>
      <c r="U231" s="613">
        <f t="shared" si="78"/>
        <v>20</v>
      </c>
      <c r="V231" s="613">
        <f t="shared" si="78"/>
        <v>21</v>
      </c>
      <c r="W231" s="613">
        <f t="shared" si="78"/>
        <v>22</v>
      </c>
      <c r="X231" s="613">
        <f t="shared" si="78"/>
        <v>23</v>
      </c>
      <c r="Y231" s="613">
        <f t="shared" si="78"/>
        <v>24</v>
      </c>
      <c r="Z231" s="613">
        <f t="shared" si="78"/>
        <v>25</v>
      </c>
      <c r="AA231" s="613">
        <f t="shared" si="78"/>
        <v>26</v>
      </c>
      <c r="AB231" s="613">
        <f t="shared" si="78"/>
        <v>27</v>
      </c>
      <c r="AC231" s="613">
        <f t="shared" si="78"/>
        <v>28</v>
      </c>
      <c r="AD231" s="613">
        <f t="shared" si="78"/>
        <v>29</v>
      </c>
      <c r="AE231" s="613">
        <f t="shared" si="78"/>
        <v>30</v>
      </c>
      <c r="AF231" s="613">
        <f t="shared" si="78"/>
        <v>31</v>
      </c>
      <c r="AG231" s="613">
        <f t="shared" si="78"/>
        <v>32</v>
      </c>
      <c r="AH231" s="613">
        <f t="shared" si="78"/>
        <v>33</v>
      </c>
      <c r="AI231" s="613">
        <f t="shared" si="78"/>
        <v>34</v>
      </c>
      <c r="AJ231" s="613">
        <f t="shared" si="78"/>
        <v>35</v>
      </c>
      <c r="AK231" s="613">
        <f t="shared" si="78"/>
        <v>36</v>
      </c>
      <c r="AL231" s="613">
        <f t="shared" si="78"/>
        <v>37</v>
      </c>
    </row>
    <row r="232" spans="1:38" hidden="1">
      <c r="B232" s="613" t="s">
        <v>375</v>
      </c>
      <c r="C232" s="751">
        <f ca="1">IF(INDEX(AuxData2!$A$21:$AK$21,1,C$231) &gt; 10^-5, INDEX(AuxData2!$A$21:$AK$21,1,C$231),0)</f>
        <v>0</v>
      </c>
      <c r="D232" s="751">
        <f ca="1">IF(INDEX(AuxData2!$A$21:$AK$21,1,D$231) &gt; 10^-5, INDEX(AuxData2!$A$21:$AK$21,1,D$231),0)</f>
        <v>0</v>
      </c>
      <c r="E232" s="751">
        <f ca="1">IF(INDEX(AuxData2!$A$21:$AK$21,1,E$231) &gt; 10^-5, INDEX(AuxData2!$A$21:$AK$21,1,E$231),0)</f>
        <v>0</v>
      </c>
      <c r="F232" s="751">
        <f ca="1">IF(INDEX(AuxData2!$A$21:$AK$21,1,F$231) &gt; 10^-5, INDEX(AuxData2!$A$21:$AK$21,1,F$231),0)</f>
        <v>0</v>
      </c>
      <c r="G232" s="751">
        <f ca="1">IF(INDEX(AuxData2!$A$21:$AK$21,1,G$231) &gt; 10^-5, INDEX(AuxData2!$A$21:$AK$21,1,G$231),0)</f>
        <v>0</v>
      </c>
      <c r="H232" s="751">
        <f ca="1">IF(INDEX(AuxData2!$A$21:$AK$21,1,H$231) &gt; 10^-5, INDEX(AuxData2!$A$21:$AK$21,1,H$231),0)</f>
        <v>0</v>
      </c>
      <c r="I232" s="751">
        <f ca="1">IF(INDEX(AuxData2!$A$21:$AK$21,1,I$231) &gt; 10^-5, INDEX(AuxData2!$A$21:$AK$21,1,I$231),0)</f>
        <v>0</v>
      </c>
      <c r="J232" s="751">
        <f ca="1">IF(INDEX(AuxData2!$A$21:$AK$21,1,J$231) &gt; 10^-5, INDEX(AuxData2!$A$21:$AK$21,1,J$231),0)</f>
        <v>0</v>
      </c>
      <c r="K232" s="751">
        <f ca="1">IF(INDEX(AuxData2!$A$21:$AK$21,1,K$231) &gt; 10^-5, INDEX(AuxData2!$A$21:$AK$21,1,K$231),0)</f>
        <v>0</v>
      </c>
      <c r="L232" s="751">
        <f ca="1">IF(INDEX(AuxData2!$A$21:$AK$21,1,L$231) &gt; 10^-5, INDEX(AuxData2!$A$21:$AK$21,1,L$231),0)</f>
        <v>0</v>
      </c>
      <c r="M232" s="751">
        <f ca="1">IF(INDEX(AuxData2!$A$21:$AK$21,1,M$231) &gt; 10^-5, INDEX(AuxData2!$A$21:$AK$21,1,M$231),0)</f>
        <v>0</v>
      </c>
      <c r="N232" s="751">
        <f ca="1">IF(INDEX(AuxData2!$A$21:$AK$21,1,N$231) &gt; 10^-5, INDEX(AuxData2!$A$21:$AK$21,1,N$231),0)</f>
        <v>0</v>
      </c>
      <c r="O232" s="751">
        <f ca="1">IF(INDEX(AuxData2!$A$21:$AK$21,1,O$231) &gt; 10^-5, INDEX(AuxData2!$A$21:$AK$21,1,O$231),0)</f>
        <v>0</v>
      </c>
      <c r="P232" s="751">
        <f ca="1">IF(INDEX(AuxData2!$A$21:$AK$21,1,P$231) &gt; 10^-5, INDEX(AuxData2!$A$21:$AK$21,1,P$231),0)</f>
        <v>0</v>
      </c>
      <c r="Q232" s="751">
        <f ca="1">IF(INDEX(AuxData2!$A$21:$AK$21,1,Q$231) &gt; 10^-5, INDEX(AuxData2!$A$21:$AK$21,1,Q$231),0)</f>
        <v>0</v>
      </c>
      <c r="R232" s="751">
        <f ca="1">IF(INDEX(AuxData2!$A$21:$AK$21,1,R$231) &gt; 10^-5, INDEX(AuxData2!$A$21:$AK$21,1,R$231),0)</f>
        <v>0</v>
      </c>
      <c r="S232" s="751">
        <f ca="1">IF(INDEX(AuxData2!$A$21:$AK$21,1,S$231) &gt; 10^-5, INDEX(AuxData2!$A$21:$AK$21,1,S$231),0)</f>
        <v>0</v>
      </c>
      <c r="T232" s="751">
        <f ca="1">IF(INDEX(AuxData2!$A$21:$AK$21,1,T$231) &gt; 10^-5, INDEX(AuxData2!$A$21:$AK$21,1,T$231),0)</f>
        <v>0</v>
      </c>
      <c r="U232" s="751">
        <f ca="1">IF(INDEX(AuxData2!$A$21:$AK$21,1,U$231) &gt; 10^-5, INDEX(AuxData2!$A$21:$AK$21,1,U$231),0)</f>
        <v>0</v>
      </c>
      <c r="V232" s="751">
        <f ca="1">IF(INDEX(AuxData2!$A$21:$AK$21,1,V$231) &gt; 10^-5, INDEX(AuxData2!$A$21:$AK$21,1,V$231),0)</f>
        <v>0</v>
      </c>
      <c r="W232" s="751">
        <f ca="1">IF(INDEX(AuxData2!$A$21:$AK$21,1,W$231) &gt; 10^-5, INDEX(AuxData2!$A$21:$AK$21,1,W$231),0)</f>
        <v>0</v>
      </c>
      <c r="X232" s="751">
        <f ca="1">IF(INDEX(AuxData2!$A$21:$AK$21,1,X$231) &gt; 10^-5, INDEX(AuxData2!$A$21:$AK$21,1,X$231),0)</f>
        <v>0</v>
      </c>
      <c r="Y232" s="751">
        <f ca="1">IF(INDEX(AuxData2!$A$21:$AK$21,1,Y$231) &gt; 10^-5, INDEX(AuxData2!$A$21:$AK$21,1,Y$231),0)</f>
        <v>0</v>
      </c>
      <c r="Z232" s="751">
        <f ca="1">IF(INDEX(AuxData2!$A$21:$AK$21,1,Z$231) &gt; 10^-5, INDEX(AuxData2!$A$21:$AK$21,1,Z$231),0)</f>
        <v>0</v>
      </c>
      <c r="AA232" s="751">
        <f ca="1">IF(INDEX(AuxData2!$A$21:$AK$21,1,AA$231) &gt; 10^-5, INDEX(AuxData2!$A$21:$AK$21,1,AA$231),0)</f>
        <v>0</v>
      </c>
      <c r="AB232" s="751">
        <f ca="1">IF(INDEX(AuxData2!$A$21:$AK$21,1,AB$231) &gt; 10^-5, INDEX(AuxData2!$A$21:$AK$21,1,AB$231),0)</f>
        <v>0</v>
      </c>
      <c r="AC232" s="751">
        <f ca="1">IF(INDEX(AuxData2!$A$21:$AK$21,1,AC$231) &gt; 10^-5, INDEX(AuxData2!$A$21:$AK$21,1,AC$231),0)</f>
        <v>0</v>
      </c>
      <c r="AD232" s="751">
        <f ca="1">IF(INDEX(AuxData2!$A$21:$AK$21,1,AD$231) &gt; 10^-5, INDEX(AuxData2!$A$21:$AK$21,1,AD$231),0)</f>
        <v>0</v>
      </c>
      <c r="AE232" s="751">
        <f ca="1">IF(INDEX(AuxData2!$A$21:$AK$21,1,AE$231) &gt; 10^-5, INDEX(AuxData2!$A$21:$AK$21,1,AE$231),0)</f>
        <v>0</v>
      </c>
      <c r="AF232" s="751">
        <f ca="1">IF(INDEX(AuxData2!$A$21:$AK$21,1,AF$231) &gt; 10^-5, INDEX(AuxData2!$A$21:$AK$21,1,AF$231),0)</f>
        <v>0</v>
      </c>
      <c r="AG232" s="751">
        <f ca="1">IF(INDEX(AuxData2!$A$21:$AK$21,1,AG$231) &gt; 10^-5, INDEX(AuxData2!$A$21:$AK$21,1,AG$231),0)</f>
        <v>0</v>
      </c>
      <c r="AH232" s="751">
        <f ca="1">IF(INDEX(AuxData2!$A$21:$AK$21,1,AH$231) &gt; 10^-5, INDEX(AuxData2!$A$21:$AK$21,1,AH$231),0)</f>
        <v>0</v>
      </c>
      <c r="AI232" s="751">
        <f ca="1">IF(INDEX(AuxData2!$A$21:$AK$21,1,AI$231) &gt; 10^-5, INDEX(AuxData2!$A$21:$AK$21,1,AI$231),0)</f>
        <v>0</v>
      </c>
      <c r="AJ232" s="751">
        <f ca="1">IF(INDEX(AuxData2!$A$21:$AK$21,1,AJ$231) &gt; 10^-5, INDEX(AuxData2!$A$21:$AK$21,1,AJ$231),0)</f>
        <v>0</v>
      </c>
      <c r="AK232" s="751">
        <f ca="1">IF(INDEX(AuxData2!$A$21:$AK$21,1,AK$231) &gt; 10^-5, INDEX(AuxData2!$A$21:$AK$21,1,AK$231),0)</f>
        <v>0</v>
      </c>
      <c r="AL232" s="751">
        <f>MAX(0.001,SUM(C232:AK232))</f>
        <v>1E-3</v>
      </c>
    </row>
    <row r="233" spans="1:38" hidden="1">
      <c r="B233" s="613" t="s">
        <v>504</v>
      </c>
      <c r="D233" s="755">
        <f ca="1">VLOOKUP(D$230,IND_Emi2!$A$5:$B$47,2,0)</f>
        <v>56.1</v>
      </c>
      <c r="E233" s="755">
        <f ca="1">VLOOKUP(E$230,IND_Emi2!$A$5:$B$47,2,0)</f>
        <v>63.1</v>
      </c>
      <c r="F233" s="755">
        <f ca="1">VLOOKUP(F$230,IND_Emi2!$A$5:$B$47,2,0)</f>
        <v>64.2</v>
      </c>
      <c r="G233" s="755">
        <f ca="1">VLOOKUP(G$230,IND_Emi2!$A$5:$B$47,2,0)</f>
        <v>94.6</v>
      </c>
      <c r="H233" s="755">
        <f ca="1">VLOOKUP(H$230,IND_Emi2!$A$5:$B$47,2,0)</f>
        <v>104.5</v>
      </c>
      <c r="I233" s="755">
        <f ca="1">VLOOKUP(I$230,IND_Emi2!$A$5:$B$47,2,0)</f>
        <v>104.86</v>
      </c>
      <c r="J233" s="755">
        <f ca="1">VLOOKUP(J$230,IND_Emi2!$A$5:$B$47,2,0)</f>
        <v>104.86</v>
      </c>
      <c r="K233" s="755">
        <f ca="1">VLOOKUP(K$230,IND_Emi2!$A$5:$B$47,2,0)</f>
        <v>44.4</v>
      </c>
      <c r="L233" s="755">
        <f ca="1">VLOOKUP(L$230,IND_Emi2!$A$5:$B$47,2,0)</f>
        <v>0</v>
      </c>
      <c r="M233" s="755">
        <f ca="1">VLOOKUP(M$230,IND_Emi2!$A$5:$B$47,2,0)</f>
        <v>0</v>
      </c>
      <c r="N233" s="755">
        <f ca="1">VLOOKUP(N$230,IND_Emi2!$A$5:$B$47,2,0)</f>
        <v>44.4</v>
      </c>
      <c r="O233" s="755">
        <f ca="1">VLOOKUP(O$230,IND_Emi2!$A$5:$B$47,2,0)</f>
        <v>57.6</v>
      </c>
      <c r="P233" s="755">
        <f ca="1">VLOOKUP(P$230,IND_Emi2!$A$5:$B$47,2,0)</f>
        <v>73.3</v>
      </c>
      <c r="Q233" s="755">
        <f ca="1">VLOOKUP(Q$230,IND_Emi2!$A$5:$B$47,2,0)</f>
        <v>77.400000000000006</v>
      </c>
      <c r="R233" s="755">
        <f ca="1">VLOOKUP(R$230,IND_Emi2!$A$5:$B$47,2,0)</f>
        <v>74.099999999999994</v>
      </c>
      <c r="S233" s="755">
        <f ca="1">VLOOKUP(S$230,IND_Emi2!$A$5:$B$47,2,0)</f>
        <v>71.900000000000006</v>
      </c>
      <c r="T233" s="755">
        <f ca="1">VLOOKUP(T$230,IND_Emi2!$A$5:$B$47,2,0)</f>
        <v>69.3</v>
      </c>
      <c r="U233" s="755">
        <f ca="1">VLOOKUP(U$230,IND_Emi2!$A$5:$B$47,2,0)</f>
        <v>73.3</v>
      </c>
      <c r="V233" s="755">
        <f ca="1">VLOOKUP(V$230,IND_Emi2!$A$5:$B$47,2,0)</f>
        <v>61.6</v>
      </c>
      <c r="W233" s="755">
        <f ca="1">VLOOKUP(W$230,IND_Emi2!$A$5:$B$47,2,0)</f>
        <v>73.3</v>
      </c>
      <c r="X233" s="755">
        <f ca="1">VLOOKUP(X$230,IND_Emi2!$A$5:$B$47,2,0)</f>
        <v>97.5</v>
      </c>
      <c r="Y233" s="755">
        <f ca="1">VLOOKUP(Y$230,IND_Emi2!$A$5:$B$47,2,0)</f>
        <v>0</v>
      </c>
      <c r="Z233" s="755">
        <f ca="1">VLOOKUP(Z$230,IND_Emi2!$A$5:$B$47,2,0)</f>
        <v>0</v>
      </c>
      <c r="AA233" s="755">
        <f ca="1">VLOOKUP(AA$230,IND_Emi2!$A$5:$B$47,2,0)</f>
        <v>0</v>
      </c>
      <c r="AB233" s="755">
        <f ca="1">VLOOKUP(AB$230,IND_Emi2!$A$5:$B$47,2,0)</f>
        <v>0</v>
      </c>
      <c r="AC233" s="755">
        <f ca="1">VLOOKUP(AC$230,IND_Emi2!$A$5:$B$47,2,0)</f>
        <v>27.51</v>
      </c>
      <c r="AD233" s="755">
        <f ca="1">VLOOKUP(AD$230,IND_Emi2!$A$5:$B$47,2,0)</f>
        <v>85.85</v>
      </c>
      <c r="AE233" s="755">
        <v>0</v>
      </c>
      <c r="AF233" s="755">
        <v>0</v>
      </c>
      <c r="AG233" s="755">
        <f ca="1">VLOOKUP(AG$230,IND_Emi2!$A$5:$B$47,2,0)</f>
        <v>71.5</v>
      </c>
      <c r="AH233" s="755">
        <f ca="1">VLOOKUP(AH$230,IND_Emi2!$A$5:$B$47,2,0)</f>
        <v>73.3</v>
      </c>
      <c r="AI233" s="755">
        <f ca="1">VLOOKUP(AI$230,IND_Emi2!$A$5:$B$47,2,0)</f>
        <v>37.049999999999997</v>
      </c>
      <c r="AJ233" s="755">
        <f ca="1">VLOOKUP(AJ$230,IND_Emi2!$A$5:$B$47,2,0)</f>
        <v>0</v>
      </c>
      <c r="AK233" s="755">
        <f ca="1">VLOOKUP(AK$230,IND_Emi2!$A$5:$B$47,2,0)</f>
        <v>80.7</v>
      </c>
    </row>
    <row r="234" spans="1:38" hidden="1">
      <c r="K234" s="756"/>
      <c r="S234" s="756"/>
      <c r="T234" s="756"/>
      <c r="X234" s="756"/>
      <c r="AB234" s="756"/>
    </row>
    <row r="235" spans="1:38" hidden="1">
      <c r="B235" s="613" t="s">
        <v>332</v>
      </c>
    </row>
    <row r="236" spans="1:38" hidden="1">
      <c r="C236" s="613" t="s">
        <v>557</v>
      </c>
      <c r="D236" s="613" t="s">
        <v>951</v>
      </c>
      <c r="E236" s="613" t="s">
        <v>1084</v>
      </c>
      <c r="F236" s="613" t="s">
        <v>756</v>
      </c>
      <c r="G236" s="613" t="s">
        <v>952</v>
      </c>
      <c r="H236" s="613" t="s">
        <v>953</v>
      </c>
      <c r="I236" s="613" t="s">
        <v>954</v>
      </c>
      <c r="J236" s="613" t="s">
        <v>955</v>
      </c>
      <c r="K236" s="613" t="s">
        <v>956</v>
      </c>
      <c r="L236" s="613" t="s">
        <v>830</v>
      </c>
      <c r="M236" s="613" t="s">
        <v>831</v>
      </c>
      <c r="N236" s="613" t="s">
        <v>832</v>
      </c>
      <c r="O236" s="613" t="s">
        <v>833</v>
      </c>
      <c r="P236" s="613" t="s">
        <v>834</v>
      </c>
      <c r="Q236" s="613" t="s">
        <v>835</v>
      </c>
      <c r="R236" s="613" t="s">
        <v>836</v>
      </c>
      <c r="S236" s="613" t="s">
        <v>837</v>
      </c>
      <c r="T236" s="613" t="s">
        <v>838</v>
      </c>
      <c r="U236" s="613" t="s">
        <v>839</v>
      </c>
      <c r="V236" s="613" t="s">
        <v>843</v>
      </c>
      <c r="W236" s="613" t="s">
        <v>841</v>
      </c>
      <c r="X236" s="613" t="s">
        <v>842</v>
      </c>
      <c r="Y236" s="613" t="s">
        <v>606</v>
      </c>
      <c r="Z236" s="613" t="s">
        <v>846</v>
      </c>
      <c r="AA236" s="613" t="s">
        <v>846</v>
      </c>
      <c r="AB236" s="613" t="s">
        <v>847</v>
      </c>
      <c r="AC236" s="613" t="s">
        <v>608</v>
      </c>
      <c r="AD236" s="613" t="s">
        <v>609</v>
      </c>
      <c r="AE236" s="613" t="s">
        <v>844</v>
      </c>
      <c r="AF236" s="613" t="s">
        <v>845</v>
      </c>
      <c r="AG236" s="613" t="s">
        <v>757</v>
      </c>
      <c r="AH236" s="613" t="s">
        <v>310</v>
      </c>
      <c r="AI236" s="613" t="s">
        <v>311</v>
      </c>
      <c r="AJ236" s="613" t="s">
        <v>312</v>
      </c>
      <c r="AK236" s="613" t="s">
        <v>313</v>
      </c>
      <c r="AL236" s="613" t="s">
        <v>888</v>
      </c>
    </row>
    <row r="237" spans="1:38" hidden="1">
      <c r="B237" s="613" t="s">
        <v>359</v>
      </c>
      <c r="D237" s="731">
        <v>0.15</v>
      </c>
      <c r="E237" s="731">
        <v>0.1</v>
      </c>
      <c r="O237" s="731">
        <v>0.02</v>
      </c>
      <c r="R237" s="731">
        <v>0.03</v>
      </c>
      <c r="S237" s="704">
        <v>0.02</v>
      </c>
      <c r="T237" s="704">
        <v>0.01</v>
      </c>
      <c r="V237" s="731">
        <v>0.05</v>
      </c>
      <c r="W237" s="731">
        <v>0.62</v>
      </c>
      <c r="AL237" s="704">
        <f>SUM(C237:AK237)</f>
        <v>1</v>
      </c>
    </row>
    <row r="238" spans="1:38" hidden="1">
      <c r="B238" s="613" t="s">
        <v>253</v>
      </c>
      <c r="E238" s="731">
        <v>0.05</v>
      </c>
      <c r="F238" s="731">
        <v>0.01</v>
      </c>
      <c r="Q238" s="731">
        <v>0.2</v>
      </c>
      <c r="R238" s="731">
        <v>0.03</v>
      </c>
      <c r="U238" s="731">
        <v>0.05</v>
      </c>
      <c r="V238" s="731">
        <v>0.05</v>
      </c>
      <c r="W238" s="731">
        <v>0.6</v>
      </c>
      <c r="X238" s="704"/>
      <c r="AL238" s="704">
        <f>SUM(C238:AK238)</f>
        <v>0.99</v>
      </c>
    </row>
    <row r="239" spans="1:38" hidden="1">
      <c r="B239" s="613" t="s">
        <v>357</v>
      </c>
      <c r="D239" s="731">
        <v>0.65</v>
      </c>
      <c r="G239" s="731">
        <v>0.02</v>
      </c>
      <c r="P239" s="731">
        <v>0.03</v>
      </c>
      <c r="Q239" s="731">
        <v>0.2</v>
      </c>
      <c r="R239" s="731">
        <v>0.05</v>
      </c>
      <c r="U239" s="731">
        <v>0.05</v>
      </c>
      <c r="AL239" s="704">
        <f>SUM(C239:AK239)</f>
        <v>1.0000000000000002</v>
      </c>
    </row>
    <row r="240" spans="1:38" s="736" customFormat="1" hidden="1">
      <c r="A240" s="613"/>
      <c r="B240" s="613" t="s">
        <v>354</v>
      </c>
      <c r="C240" s="613"/>
      <c r="D240" s="731">
        <v>0.9</v>
      </c>
      <c r="E240" s="613"/>
      <c r="F240" s="613"/>
      <c r="G240" s="731">
        <v>0.1</v>
      </c>
      <c r="P240" s="735"/>
      <c r="Q240" s="735"/>
      <c r="R240" s="735"/>
      <c r="U240" s="735"/>
      <c r="AL240" s="757"/>
    </row>
    <row r="241" spans="1:39" s="736" customFormat="1" hidden="1">
      <c r="A241" s="613"/>
      <c r="B241" s="613" t="s">
        <v>201</v>
      </c>
      <c r="C241" s="613"/>
      <c r="D241" s="731">
        <f t="shared" ref="D241:AK241" si="79">IF($AL232&gt;0,D232/$AL232)</f>
        <v>0</v>
      </c>
      <c r="E241" s="731">
        <f t="shared" si="79"/>
        <v>0</v>
      </c>
      <c r="F241" s="731">
        <f t="shared" si="79"/>
        <v>0</v>
      </c>
      <c r="G241" s="731">
        <f t="shared" si="79"/>
        <v>0</v>
      </c>
      <c r="H241" s="731">
        <f t="shared" si="79"/>
        <v>0</v>
      </c>
      <c r="I241" s="731">
        <f t="shared" si="79"/>
        <v>0</v>
      </c>
      <c r="J241" s="731">
        <f t="shared" si="79"/>
        <v>0</v>
      </c>
      <c r="K241" s="731">
        <f t="shared" si="79"/>
        <v>0</v>
      </c>
      <c r="L241" s="731">
        <f t="shared" si="79"/>
        <v>0</v>
      </c>
      <c r="M241" s="731">
        <f t="shared" si="79"/>
        <v>0</v>
      </c>
      <c r="N241" s="731">
        <f t="shared" si="79"/>
        <v>0</v>
      </c>
      <c r="O241" s="731">
        <f t="shared" si="79"/>
        <v>0</v>
      </c>
      <c r="P241" s="731">
        <f t="shared" si="79"/>
        <v>0</v>
      </c>
      <c r="Q241" s="731">
        <f t="shared" si="79"/>
        <v>0</v>
      </c>
      <c r="R241" s="731">
        <f t="shared" si="79"/>
        <v>0</v>
      </c>
      <c r="S241" s="731">
        <f t="shared" si="79"/>
        <v>0</v>
      </c>
      <c r="T241" s="731">
        <f t="shared" si="79"/>
        <v>0</v>
      </c>
      <c r="U241" s="731">
        <f t="shared" si="79"/>
        <v>0</v>
      </c>
      <c r="V241" s="731">
        <f t="shared" ref="V241:AA241" si="80">IF($AL232&gt;0,V232/$AL232)</f>
        <v>0</v>
      </c>
      <c r="W241" s="731">
        <f t="shared" si="80"/>
        <v>0</v>
      </c>
      <c r="X241" s="731">
        <f t="shared" si="80"/>
        <v>0</v>
      </c>
      <c r="Y241" s="731">
        <f t="shared" si="80"/>
        <v>0</v>
      </c>
      <c r="Z241" s="731">
        <f t="shared" si="80"/>
        <v>0</v>
      </c>
      <c r="AA241" s="731">
        <f t="shared" si="80"/>
        <v>0</v>
      </c>
      <c r="AB241" s="731">
        <f t="shared" si="79"/>
        <v>0</v>
      </c>
      <c r="AC241" s="731">
        <f t="shared" si="79"/>
        <v>0</v>
      </c>
      <c r="AD241" s="731">
        <f t="shared" si="79"/>
        <v>0</v>
      </c>
      <c r="AE241" s="731">
        <f t="shared" si="79"/>
        <v>0</v>
      </c>
      <c r="AF241" s="731">
        <f t="shared" si="79"/>
        <v>0</v>
      </c>
      <c r="AG241" s="731">
        <f t="shared" si="79"/>
        <v>0</v>
      </c>
      <c r="AH241" s="731">
        <f t="shared" si="79"/>
        <v>0</v>
      </c>
      <c r="AI241" s="731">
        <f t="shared" si="79"/>
        <v>0</v>
      </c>
      <c r="AJ241" s="731">
        <f t="shared" si="79"/>
        <v>0</v>
      </c>
      <c r="AK241" s="731">
        <f t="shared" si="79"/>
        <v>0</v>
      </c>
      <c r="AL241" s="757"/>
    </row>
    <row r="242" spans="1:39" hidden="1">
      <c r="C242" s="681">
        <f ca="1">SUMPRODUCT(Driver22!$W$89:$W$93,C237:C241)</f>
        <v>0</v>
      </c>
      <c r="D242" s="681">
        <f ca="1">SUMPRODUCT(Driver22!$W$89:$W$93,D237:D241)</f>
        <v>0</v>
      </c>
      <c r="E242" s="681">
        <f ca="1">SUMPRODUCT(Driver22!$W$89:$W$93,E237:E241)</f>
        <v>0</v>
      </c>
      <c r="F242" s="681">
        <f ca="1">SUMPRODUCT(Driver22!$W$89:$W$93,F237:F241)</f>
        <v>0</v>
      </c>
      <c r="G242" s="681">
        <f ca="1">SUMPRODUCT(Driver22!$W$89:$W$93,G237:G241)</f>
        <v>0</v>
      </c>
      <c r="H242" s="681">
        <f ca="1">SUMPRODUCT(Driver22!$W$89:$W$93,H237:H241)</f>
        <v>0</v>
      </c>
      <c r="I242" s="681">
        <f ca="1">SUMPRODUCT(Driver22!$W$89:$W$93,I237:I241)</f>
        <v>0</v>
      </c>
      <c r="J242" s="681">
        <f ca="1">SUMPRODUCT(Driver22!$W$89:$W$93,J237:J241)</f>
        <v>0</v>
      </c>
      <c r="K242" s="681">
        <f ca="1">SUMPRODUCT(Driver22!$W$89:$W$93,K237:K241)</f>
        <v>0</v>
      </c>
      <c r="L242" s="681">
        <f ca="1">SUMPRODUCT(Driver22!$W$89:$W$93,L237:L241)</f>
        <v>0</v>
      </c>
      <c r="M242" s="681">
        <f ca="1">SUMPRODUCT(Driver22!$W$89:$W$93,M237:M241)</f>
        <v>0</v>
      </c>
      <c r="N242" s="681">
        <f ca="1">SUMPRODUCT(Driver22!$W$89:$W$93,N237:N241)</f>
        <v>0</v>
      </c>
      <c r="O242" s="681">
        <f ca="1">SUMPRODUCT(Driver22!$W$89:$W$93,O237:O241)</f>
        <v>0</v>
      </c>
      <c r="P242" s="681">
        <f ca="1">SUMPRODUCT(Driver22!$W$89:$W$93,P237:P241)</f>
        <v>0</v>
      </c>
      <c r="Q242" s="681">
        <f ca="1">SUMPRODUCT(Driver22!$W$89:$W$93,Q237:Q241)</f>
        <v>0</v>
      </c>
      <c r="R242" s="681">
        <f ca="1">SUMPRODUCT(Driver22!$W$89:$W$93,R237:R241)</f>
        <v>0</v>
      </c>
      <c r="S242" s="681">
        <f ca="1">SUMPRODUCT(Driver22!$W$89:$W$93,S237:S241)</f>
        <v>0</v>
      </c>
      <c r="T242" s="681">
        <f ca="1">SUMPRODUCT(Driver22!$W$89:$W$93,T237:T241)</f>
        <v>0</v>
      </c>
      <c r="U242" s="681">
        <f ca="1">SUMPRODUCT(Driver22!$W$89:$W$93,U237:U241)</f>
        <v>0</v>
      </c>
      <c r="V242" s="681">
        <f ca="1">SUMPRODUCT(Driver22!$W$89:$W$93,V237:V241)</f>
        <v>0</v>
      </c>
      <c r="W242" s="681">
        <f ca="1">SUMPRODUCT(Driver22!$W$89:$W$93,W237:W241)</f>
        <v>0</v>
      </c>
      <c r="X242" s="681">
        <f ca="1">SUMPRODUCT(Driver22!$W$89:$W$93,X237:X241)</f>
        <v>0</v>
      </c>
      <c r="Y242" s="681">
        <f ca="1">SUMPRODUCT(Driver22!$W$89:$W$93,Y237:Y241)</f>
        <v>0</v>
      </c>
      <c r="Z242" s="681">
        <f ca="1">SUMPRODUCT(Driver22!$W$89:$W$93,Z237:Z241)</f>
        <v>0</v>
      </c>
      <c r="AA242" s="681">
        <f ca="1">SUMPRODUCT(Driver22!$W$89:$W$93,AA237:AA241)</f>
        <v>0</v>
      </c>
      <c r="AB242" s="681">
        <f ca="1">SUMPRODUCT(Driver22!$W$89:$W$93,AB237:AB241)</f>
        <v>0</v>
      </c>
      <c r="AC242" s="681">
        <f ca="1">SUMPRODUCT(Driver22!$W$89:$W$93,AC237:AC241)</f>
        <v>0</v>
      </c>
      <c r="AD242" s="681">
        <f ca="1">SUMPRODUCT(Driver22!$W$89:$W$93,AD237:AD241)</f>
        <v>0</v>
      </c>
      <c r="AE242" s="681">
        <f ca="1">SUMPRODUCT(Driver22!$W$89:$W$93,AE237:AE241)</f>
        <v>0</v>
      </c>
      <c r="AF242" s="681">
        <f ca="1">SUMPRODUCT(Driver22!$W$89:$W$93,AF237:AF241)</f>
        <v>0</v>
      </c>
      <c r="AG242" s="681">
        <f ca="1">SUMPRODUCT(Driver22!$W$89:$W$93,AG237:AG241)</f>
        <v>0</v>
      </c>
      <c r="AH242" s="681">
        <f ca="1">SUMPRODUCT(Driver22!$W$89:$W$93,AH237:AH241)</f>
        <v>0</v>
      </c>
      <c r="AI242" s="681">
        <f ca="1">SUMPRODUCT(Driver22!$W$89:$W$93,AI237:AI241)</f>
        <v>0</v>
      </c>
      <c r="AJ242" s="681">
        <f ca="1">SUMPRODUCT(Driver22!$W$89:$W$93,AJ237:AJ241)</f>
        <v>0</v>
      </c>
      <c r="AK242" s="681">
        <f ca="1">SUMPRODUCT(Driver22!$W$89:$W$93,AK237:AK241)</f>
        <v>0</v>
      </c>
    </row>
    <row r="243" spans="1:39" hidden="1">
      <c r="B243" s="613" t="s">
        <v>255</v>
      </c>
      <c r="AM243" s="709" t="s">
        <v>503</v>
      </c>
    </row>
    <row r="244" spans="1:39" hidden="1">
      <c r="B244" s="613" t="s">
        <v>359</v>
      </c>
      <c r="C244" s="734">
        <f t="shared" ref="C244:AK244" si="81">IF(C$242&gt;0,C237*C$232/C$242,0)</f>
        <v>0</v>
      </c>
      <c r="D244" s="734">
        <f t="shared" si="81"/>
        <v>0</v>
      </c>
      <c r="E244" s="734">
        <f t="shared" si="81"/>
        <v>0</v>
      </c>
      <c r="F244" s="734">
        <f t="shared" si="81"/>
        <v>0</v>
      </c>
      <c r="G244" s="734">
        <f t="shared" si="81"/>
        <v>0</v>
      </c>
      <c r="H244" s="734">
        <f t="shared" si="81"/>
        <v>0</v>
      </c>
      <c r="I244" s="734">
        <f t="shared" si="81"/>
        <v>0</v>
      </c>
      <c r="J244" s="734">
        <f t="shared" si="81"/>
        <v>0</v>
      </c>
      <c r="K244" s="734">
        <f t="shared" si="81"/>
        <v>0</v>
      </c>
      <c r="L244" s="734">
        <f t="shared" si="81"/>
        <v>0</v>
      </c>
      <c r="M244" s="734">
        <f t="shared" si="81"/>
        <v>0</v>
      </c>
      <c r="N244" s="734">
        <f t="shared" si="81"/>
        <v>0</v>
      </c>
      <c r="O244" s="734">
        <f t="shared" si="81"/>
        <v>0</v>
      </c>
      <c r="P244" s="734">
        <f t="shared" si="81"/>
        <v>0</v>
      </c>
      <c r="Q244" s="734">
        <f t="shared" si="81"/>
        <v>0</v>
      </c>
      <c r="R244" s="734">
        <f t="shared" si="81"/>
        <v>0</v>
      </c>
      <c r="S244" s="734">
        <f t="shared" si="81"/>
        <v>0</v>
      </c>
      <c r="T244" s="734">
        <f t="shared" si="81"/>
        <v>0</v>
      </c>
      <c r="U244" s="734">
        <f t="shared" si="81"/>
        <v>0</v>
      </c>
      <c r="V244" s="734">
        <f t="shared" ref="V244:AA248" si="82">IF(V$242&gt;0,V237*V$232/V$242,0)</f>
        <v>0</v>
      </c>
      <c r="W244" s="734">
        <f t="shared" si="82"/>
        <v>0</v>
      </c>
      <c r="X244" s="734">
        <f t="shared" si="82"/>
        <v>0</v>
      </c>
      <c r="Y244" s="734">
        <f t="shared" si="82"/>
        <v>0</v>
      </c>
      <c r="Z244" s="734">
        <f t="shared" si="82"/>
        <v>0</v>
      </c>
      <c r="AA244" s="734">
        <f t="shared" si="82"/>
        <v>0</v>
      </c>
      <c r="AB244" s="734">
        <f t="shared" si="81"/>
        <v>0</v>
      </c>
      <c r="AC244" s="734">
        <f t="shared" si="81"/>
        <v>0</v>
      </c>
      <c r="AD244" s="734">
        <f t="shared" si="81"/>
        <v>0</v>
      </c>
      <c r="AE244" s="734">
        <f t="shared" si="81"/>
        <v>0</v>
      </c>
      <c r="AF244" s="734">
        <f t="shared" si="81"/>
        <v>0</v>
      </c>
      <c r="AG244" s="734">
        <f t="shared" si="81"/>
        <v>0</v>
      </c>
      <c r="AH244" s="734">
        <f t="shared" si="81"/>
        <v>0</v>
      </c>
      <c r="AI244" s="734">
        <f t="shared" si="81"/>
        <v>0</v>
      </c>
      <c r="AJ244" s="734">
        <f t="shared" si="81"/>
        <v>0</v>
      </c>
      <c r="AK244" s="734">
        <f t="shared" si="81"/>
        <v>0</v>
      </c>
      <c r="AL244" s="734">
        <f ca="1">MAX(Tiny,SUM(C244:AK244))</f>
        <v>1.0000000000000001E-9</v>
      </c>
      <c r="AM244" s="758">
        <v>0.24</v>
      </c>
    </row>
    <row r="245" spans="1:39" hidden="1">
      <c r="B245" s="613" t="s">
        <v>253</v>
      </c>
      <c r="C245" s="734">
        <f t="shared" ref="C245:AK245" si="83">IF(C$242&gt;0,C238*C$232/C$242,0)</f>
        <v>0</v>
      </c>
      <c r="D245" s="734">
        <f t="shared" si="83"/>
        <v>0</v>
      </c>
      <c r="E245" s="734">
        <f t="shared" si="83"/>
        <v>0</v>
      </c>
      <c r="F245" s="734">
        <f t="shared" si="83"/>
        <v>0</v>
      </c>
      <c r="G245" s="734">
        <f t="shared" si="83"/>
        <v>0</v>
      </c>
      <c r="H245" s="734">
        <f t="shared" si="83"/>
        <v>0</v>
      </c>
      <c r="I245" s="734">
        <f t="shared" si="83"/>
        <v>0</v>
      </c>
      <c r="J245" s="734">
        <f t="shared" si="83"/>
        <v>0</v>
      </c>
      <c r="K245" s="734">
        <f t="shared" si="83"/>
        <v>0</v>
      </c>
      <c r="L245" s="734">
        <f t="shared" si="83"/>
        <v>0</v>
      </c>
      <c r="M245" s="734">
        <f t="shared" si="83"/>
        <v>0</v>
      </c>
      <c r="N245" s="734">
        <f t="shared" si="83"/>
        <v>0</v>
      </c>
      <c r="O245" s="734">
        <f t="shared" si="83"/>
        <v>0</v>
      </c>
      <c r="P245" s="734">
        <f t="shared" si="83"/>
        <v>0</v>
      </c>
      <c r="Q245" s="734">
        <f t="shared" si="83"/>
        <v>0</v>
      </c>
      <c r="R245" s="734">
        <f t="shared" si="83"/>
        <v>0</v>
      </c>
      <c r="S245" s="734">
        <f t="shared" si="83"/>
        <v>0</v>
      </c>
      <c r="T245" s="734">
        <f t="shared" si="83"/>
        <v>0</v>
      </c>
      <c r="U245" s="734">
        <f t="shared" si="83"/>
        <v>0</v>
      </c>
      <c r="V245" s="734">
        <f t="shared" si="82"/>
        <v>0</v>
      </c>
      <c r="W245" s="734">
        <f t="shared" si="82"/>
        <v>0</v>
      </c>
      <c r="X245" s="734">
        <f t="shared" si="82"/>
        <v>0</v>
      </c>
      <c r="Y245" s="734">
        <f t="shared" si="82"/>
        <v>0</v>
      </c>
      <c r="Z245" s="734">
        <f t="shared" si="82"/>
        <v>0</v>
      </c>
      <c r="AA245" s="734">
        <f t="shared" si="82"/>
        <v>0</v>
      </c>
      <c r="AB245" s="734">
        <f t="shared" si="83"/>
        <v>0</v>
      </c>
      <c r="AC245" s="734">
        <f t="shared" si="83"/>
        <v>0</v>
      </c>
      <c r="AD245" s="734">
        <f t="shared" si="83"/>
        <v>0</v>
      </c>
      <c r="AE245" s="734">
        <f t="shared" si="83"/>
        <v>0</v>
      </c>
      <c r="AF245" s="734">
        <f t="shared" si="83"/>
        <v>0</v>
      </c>
      <c r="AG245" s="734">
        <f t="shared" si="83"/>
        <v>0</v>
      </c>
      <c r="AH245" s="734">
        <f t="shared" si="83"/>
        <v>0</v>
      </c>
      <c r="AI245" s="734">
        <f t="shared" si="83"/>
        <v>0</v>
      </c>
      <c r="AJ245" s="734">
        <f t="shared" si="83"/>
        <v>0</v>
      </c>
      <c r="AK245" s="734">
        <f t="shared" si="83"/>
        <v>0</v>
      </c>
      <c r="AL245" s="734">
        <f ca="1">MAX(Tiny,SUM(C245:AK245))</f>
        <v>1.0000000000000001E-9</v>
      </c>
      <c r="AM245" s="759">
        <v>0.25</v>
      </c>
    </row>
    <row r="246" spans="1:39" hidden="1">
      <c r="B246" s="613" t="s">
        <v>357</v>
      </c>
      <c r="C246" s="734">
        <f t="shared" ref="C246:AK246" si="84">IF(C$242&gt;0,C239*C$232/C$242,0)</f>
        <v>0</v>
      </c>
      <c r="D246" s="734">
        <f t="shared" si="84"/>
        <v>0</v>
      </c>
      <c r="E246" s="734">
        <f t="shared" si="84"/>
        <v>0</v>
      </c>
      <c r="F246" s="734">
        <f t="shared" si="84"/>
        <v>0</v>
      </c>
      <c r="G246" s="734">
        <f t="shared" si="84"/>
        <v>0</v>
      </c>
      <c r="H246" s="734">
        <f t="shared" si="84"/>
        <v>0</v>
      </c>
      <c r="I246" s="734">
        <f t="shared" si="84"/>
        <v>0</v>
      </c>
      <c r="J246" s="734">
        <f t="shared" si="84"/>
        <v>0</v>
      </c>
      <c r="K246" s="734">
        <f t="shared" si="84"/>
        <v>0</v>
      </c>
      <c r="L246" s="734">
        <f t="shared" si="84"/>
        <v>0</v>
      </c>
      <c r="M246" s="734">
        <f t="shared" si="84"/>
        <v>0</v>
      </c>
      <c r="N246" s="734">
        <f t="shared" si="84"/>
        <v>0</v>
      </c>
      <c r="O246" s="734">
        <f t="shared" si="84"/>
        <v>0</v>
      </c>
      <c r="P246" s="734">
        <f t="shared" si="84"/>
        <v>0</v>
      </c>
      <c r="Q246" s="734">
        <f t="shared" si="84"/>
        <v>0</v>
      </c>
      <c r="R246" s="734">
        <f t="shared" si="84"/>
        <v>0</v>
      </c>
      <c r="S246" s="734">
        <f t="shared" si="84"/>
        <v>0</v>
      </c>
      <c r="T246" s="734">
        <f t="shared" si="84"/>
        <v>0</v>
      </c>
      <c r="U246" s="734">
        <f t="shared" si="84"/>
        <v>0</v>
      </c>
      <c r="V246" s="734">
        <f t="shared" si="82"/>
        <v>0</v>
      </c>
      <c r="W246" s="734">
        <f t="shared" si="82"/>
        <v>0</v>
      </c>
      <c r="X246" s="734">
        <f t="shared" si="82"/>
        <v>0</v>
      </c>
      <c r="Y246" s="734">
        <f t="shared" si="82"/>
        <v>0</v>
      </c>
      <c r="Z246" s="734">
        <f t="shared" si="82"/>
        <v>0</v>
      </c>
      <c r="AA246" s="734">
        <f t="shared" si="82"/>
        <v>0</v>
      </c>
      <c r="AB246" s="734">
        <f t="shared" si="84"/>
        <v>0</v>
      </c>
      <c r="AC246" s="734">
        <f t="shared" si="84"/>
        <v>0</v>
      </c>
      <c r="AD246" s="734">
        <f t="shared" si="84"/>
        <v>0</v>
      </c>
      <c r="AE246" s="734">
        <f t="shared" si="84"/>
        <v>0</v>
      </c>
      <c r="AF246" s="734">
        <f t="shared" si="84"/>
        <v>0</v>
      </c>
      <c r="AG246" s="734">
        <f t="shared" si="84"/>
        <v>0</v>
      </c>
      <c r="AH246" s="734">
        <f t="shared" si="84"/>
        <v>0</v>
      </c>
      <c r="AI246" s="734">
        <f t="shared" si="84"/>
        <v>0</v>
      </c>
      <c r="AJ246" s="734">
        <f t="shared" si="84"/>
        <v>0</v>
      </c>
      <c r="AK246" s="734">
        <f t="shared" si="84"/>
        <v>0</v>
      </c>
      <c r="AL246" s="734">
        <f ca="1">MAX(Tiny,SUM(C246:AK246))</f>
        <v>1.0000000000000001E-9</v>
      </c>
      <c r="AM246" s="760">
        <v>0.85</v>
      </c>
    </row>
    <row r="247" spans="1:39" hidden="1">
      <c r="B247" s="613" t="s">
        <v>354</v>
      </c>
      <c r="C247" s="734">
        <f t="shared" ref="C247:AK247" si="85">IF(C$242&gt;0,C240*C$232/C$242,0)</f>
        <v>0</v>
      </c>
      <c r="D247" s="734">
        <f t="shared" si="85"/>
        <v>0</v>
      </c>
      <c r="E247" s="734">
        <f t="shared" si="85"/>
        <v>0</v>
      </c>
      <c r="F247" s="734">
        <f t="shared" si="85"/>
        <v>0</v>
      </c>
      <c r="G247" s="734">
        <f t="shared" si="85"/>
        <v>0</v>
      </c>
      <c r="H247" s="734">
        <f t="shared" si="85"/>
        <v>0</v>
      </c>
      <c r="I247" s="734">
        <f t="shared" si="85"/>
        <v>0</v>
      </c>
      <c r="J247" s="734">
        <f t="shared" si="85"/>
        <v>0</v>
      </c>
      <c r="K247" s="734">
        <f t="shared" si="85"/>
        <v>0</v>
      </c>
      <c r="L247" s="734">
        <f t="shared" si="85"/>
        <v>0</v>
      </c>
      <c r="M247" s="734">
        <f t="shared" si="85"/>
        <v>0</v>
      </c>
      <c r="N247" s="734">
        <f t="shared" si="85"/>
        <v>0</v>
      </c>
      <c r="O247" s="734">
        <f t="shared" si="85"/>
        <v>0</v>
      </c>
      <c r="P247" s="734">
        <f t="shared" si="85"/>
        <v>0</v>
      </c>
      <c r="Q247" s="734">
        <f t="shared" si="85"/>
        <v>0</v>
      </c>
      <c r="R247" s="734">
        <f t="shared" si="85"/>
        <v>0</v>
      </c>
      <c r="S247" s="734">
        <f t="shared" si="85"/>
        <v>0</v>
      </c>
      <c r="T247" s="734">
        <f t="shared" si="85"/>
        <v>0</v>
      </c>
      <c r="U247" s="734">
        <f t="shared" si="85"/>
        <v>0</v>
      </c>
      <c r="V247" s="734">
        <f t="shared" si="82"/>
        <v>0</v>
      </c>
      <c r="W247" s="734">
        <f t="shared" si="82"/>
        <v>0</v>
      </c>
      <c r="X247" s="734">
        <f t="shared" si="82"/>
        <v>0</v>
      </c>
      <c r="Y247" s="734">
        <f t="shared" si="82"/>
        <v>0</v>
      </c>
      <c r="Z247" s="734">
        <f t="shared" si="82"/>
        <v>0</v>
      </c>
      <c r="AA247" s="734">
        <f t="shared" si="82"/>
        <v>0</v>
      </c>
      <c r="AB247" s="734">
        <f t="shared" si="85"/>
        <v>0</v>
      </c>
      <c r="AC247" s="734">
        <f t="shared" si="85"/>
        <v>0</v>
      </c>
      <c r="AD247" s="734">
        <f t="shared" si="85"/>
        <v>0</v>
      </c>
      <c r="AE247" s="734">
        <f t="shared" si="85"/>
        <v>0</v>
      </c>
      <c r="AF247" s="734">
        <f t="shared" si="85"/>
        <v>0</v>
      </c>
      <c r="AG247" s="734">
        <f t="shared" si="85"/>
        <v>0</v>
      </c>
      <c r="AH247" s="734">
        <f t="shared" si="85"/>
        <v>0</v>
      </c>
      <c r="AI247" s="734">
        <f t="shared" si="85"/>
        <v>0</v>
      </c>
      <c r="AJ247" s="734">
        <f t="shared" si="85"/>
        <v>0</v>
      </c>
      <c r="AK247" s="734">
        <f t="shared" si="85"/>
        <v>0</v>
      </c>
      <c r="AL247" s="734">
        <f ca="1">MAX(Tiny,SUM(C247:AK247))</f>
        <v>1.0000000000000001E-9</v>
      </c>
      <c r="AM247" s="761">
        <v>0.05</v>
      </c>
    </row>
    <row r="248" spans="1:39" hidden="1">
      <c r="B248" s="613" t="s">
        <v>535</v>
      </c>
      <c r="C248" s="734">
        <f t="shared" ref="C248:AK248" si="86">IF(C$242&gt;0,C241*C$232/C$242,0)</f>
        <v>0</v>
      </c>
      <c r="D248" s="734">
        <f t="shared" si="86"/>
        <v>0</v>
      </c>
      <c r="E248" s="734">
        <f t="shared" si="86"/>
        <v>0</v>
      </c>
      <c r="F248" s="734">
        <f t="shared" si="86"/>
        <v>0</v>
      </c>
      <c r="G248" s="734">
        <f t="shared" si="86"/>
        <v>0</v>
      </c>
      <c r="H248" s="734">
        <f t="shared" si="86"/>
        <v>0</v>
      </c>
      <c r="I248" s="734">
        <f t="shared" si="86"/>
        <v>0</v>
      </c>
      <c r="J248" s="734">
        <f t="shared" si="86"/>
        <v>0</v>
      </c>
      <c r="K248" s="734">
        <f t="shared" si="86"/>
        <v>0</v>
      </c>
      <c r="L248" s="734">
        <f t="shared" si="86"/>
        <v>0</v>
      </c>
      <c r="M248" s="734">
        <f t="shared" si="86"/>
        <v>0</v>
      </c>
      <c r="N248" s="734">
        <f t="shared" si="86"/>
        <v>0</v>
      </c>
      <c r="O248" s="734">
        <f t="shared" si="86"/>
        <v>0</v>
      </c>
      <c r="P248" s="734">
        <f t="shared" si="86"/>
        <v>0</v>
      </c>
      <c r="Q248" s="734">
        <f t="shared" si="86"/>
        <v>0</v>
      </c>
      <c r="R248" s="734">
        <f t="shared" si="86"/>
        <v>0</v>
      </c>
      <c r="S248" s="734">
        <f t="shared" si="86"/>
        <v>0</v>
      </c>
      <c r="T248" s="734">
        <f t="shared" si="86"/>
        <v>0</v>
      </c>
      <c r="U248" s="734">
        <f t="shared" si="86"/>
        <v>0</v>
      </c>
      <c r="V248" s="734">
        <f t="shared" si="82"/>
        <v>0</v>
      </c>
      <c r="W248" s="734">
        <f t="shared" si="82"/>
        <v>0</v>
      </c>
      <c r="X248" s="734">
        <f t="shared" si="82"/>
        <v>0</v>
      </c>
      <c r="Y248" s="734">
        <f t="shared" si="82"/>
        <v>0</v>
      </c>
      <c r="Z248" s="734">
        <f t="shared" si="82"/>
        <v>0</v>
      </c>
      <c r="AA248" s="734">
        <f t="shared" si="82"/>
        <v>0</v>
      </c>
      <c r="AB248" s="734">
        <f t="shared" si="86"/>
        <v>0</v>
      </c>
      <c r="AC248" s="734">
        <f t="shared" si="86"/>
        <v>0</v>
      </c>
      <c r="AD248" s="734">
        <f t="shared" si="86"/>
        <v>0</v>
      </c>
      <c r="AE248" s="734">
        <f t="shared" si="86"/>
        <v>0</v>
      </c>
      <c r="AF248" s="734">
        <f t="shared" si="86"/>
        <v>0</v>
      </c>
      <c r="AG248" s="734">
        <f t="shared" si="86"/>
        <v>0</v>
      </c>
      <c r="AH248" s="734">
        <f t="shared" si="86"/>
        <v>0</v>
      </c>
      <c r="AI248" s="734">
        <f t="shared" si="86"/>
        <v>0</v>
      </c>
      <c r="AJ248" s="734">
        <f t="shared" si="86"/>
        <v>0</v>
      </c>
      <c r="AK248" s="734">
        <f t="shared" si="86"/>
        <v>0</v>
      </c>
      <c r="AL248" s="734">
        <f ca="1">MAX(Tiny,SUM(C248:AK248))</f>
        <v>1.0000000000000001E-9</v>
      </c>
      <c r="AM248" s="762">
        <v>0.25</v>
      </c>
    </row>
    <row r="249" spans="1:39" hidden="1">
      <c r="C249" s="681">
        <f ca="1">SUMPRODUCT(Driver22!$W$89:$W$93,C244:C248/$AL244:$AL248)</f>
        <v>0</v>
      </c>
      <c r="D249" s="681">
        <f ca="1">SUMPRODUCT(Driver22!$W$89:$W$93,D244:D248/$AL244:$AL248)</f>
        <v>0</v>
      </c>
      <c r="E249" s="681">
        <f ca="1">SUMPRODUCT(Driver22!$W$89:$W$93,E244:E248/$AL244:$AL248)</f>
        <v>0</v>
      </c>
      <c r="F249" s="681">
        <f ca="1">SUMPRODUCT(Driver22!$W$89:$W$93,F244:F248/$AL244:$AL248)</f>
        <v>0</v>
      </c>
      <c r="G249" s="681">
        <f ca="1">SUMPRODUCT(Driver22!$W$89:$W$93,G244:G248/$AL244:$AL248)</f>
        <v>0</v>
      </c>
      <c r="H249" s="681">
        <f ca="1">SUMPRODUCT(Driver22!$W$89:$W$93,H244:H248/$AL244:$AL248)</f>
        <v>0</v>
      </c>
      <c r="I249" s="681">
        <f ca="1">SUMPRODUCT(Driver22!$W$89:$W$93,I244:I248/$AL244:$AL248)</f>
        <v>0</v>
      </c>
      <c r="J249" s="681">
        <f ca="1">SUMPRODUCT(Driver22!$W$89:$W$93,J244:J248/$AL244:$AL248)</f>
        <v>0</v>
      </c>
      <c r="K249" s="681">
        <f ca="1">SUMPRODUCT(Driver22!$W$89:$W$93,K244:K248/$AL244:$AL248)</f>
        <v>0</v>
      </c>
      <c r="L249" s="681">
        <f ca="1">SUMPRODUCT(Driver22!$W$89:$W$93,L244:L248/$AL244:$AL248)</f>
        <v>0</v>
      </c>
      <c r="M249" s="681">
        <f ca="1">SUMPRODUCT(Driver22!$W$89:$W$93,M244:M248/$AL244:$AL248)</f>
        <v>0</v>
      </c>
      <c r="N249" s="681">
        <f ca="1">SUMPRODUCT(Driver22!$W$89:$W$93,N244:N248/$AL244:$AL248)</f>
        <v>0</v>
      </c>
      <c r="O249" s="681">
        <f ca="1">SUMPRODUCT(Driver22!$W$89:$W$93,O244:O248/$AL244:$AL248)</f>
        <v>0</v>
      </c>
      <c r="P249" s="681">
        <f ca="1">SUMPRODUCT(Driver22!$W$89:$W$93,P244:P248/$AL244:$AL248)</f>
        <v>0</v>
      </c>
      <c r="Q249" s="681">
        <f ca="1">SUMPRODUCT(Driver22!$W$89:$W$93,Q244:Q248/$AL244:$AL248)</f>
        <v>0</v>
      </c>
      <c r="R249" s="681">
        <f ca="1">SUMPRODUCT(Driver22!$W$89:$W$93,R244:R248/$AL244:$AL248)</f>
        <v>0</v>
      </c>
      <c r="S249" s="681">
        <f ca="1">SUMPRODUCT(Driver22!$W$89:$W$93,S244:S248/$AL244:$AL248)</f>
        <v>0</v>
      </c>
      <c r="T249" s="681">
        <f ca="1">SUMPRODUCT(Driver22!$W$89:$W$93,T244:T248/$AL244:$AL248)</f>
        <v>0</v>
      </c>
      <c r="U249" s="681">
        <f ca="1">SUMPRODUCT(Driver22!$W$89:$W$93,U244:U248/$AL244:$AL248)</f>
        <v>0</v>
      </c>
      <c r="V249" s="681">
        <f ca="1">SUMPRODUCT(Driver22!$W$89:$W$93,V244:V248/$AL244:$AL248)</f>
        <v>0</v>
      </c>
      <c r="W249" s="681">
        <f ca="1">SUMPRODUCT(Driver22!$W$89:$W$93,W244:W248/$AL244:$AL248)</f>
        <v>0</v>
      </c>
      <c r="X249" s="681">
        <f ca="1">SUMPRODUCT(Driver22!$W$89:$W$93,X244:X248/$AL244:$AL248)</f>
        <v>0</v>
      </c>
      <c r="Y249" s="681">
        <f ca="1">SUMPRODUCT(Driver22!$W$89:$W$93,Y244:Y248/$AL244:$AL248)</f>
        <v>0</v>
      </c>
      <c r="Z249" s="681">
        <f ca="1">SUMPRODUCT(Driver22!$W$89:$W$93,Z244:Z248/$AL244:$AL248)</f>
        <v>0</v>
      </c>
      <c r="AA249" s="681">
        <f ca="1">SUMPRODUCT(Driver22!$W$89:$W$93,AA244:AA248/$AL244:$AL248)</f>
        <v>0</v>
      </c>
      <c r="AB249" s="681">
        <f ca="1">SUMPRODUCT(Driver22!$W$89:$W$93,AB244:AB248/$AL244:$AL248)</f>
        <v>0</v>
      </c>
      <c r="AC249" s="681">
        <f ca="1">SUMPRODUCT(Driver22!$W$89:$W$93,AC244:AC248/$AL244:$AL248)</f>
        <v>0</v>
      </c>
      <c r="AD249" s="681">
        <f ca="1">SUMPRODUCT(Driver22!$W$89:$W$93,AD244:AD248/$AL244:$AL248)</f>
        <v>0</v>
      </c>
      <c r="AE249" s="681">
        <f ca="1">SUMPRODUCT(Driver22!$W$89:$W$93,AE244:AE248/$AL244:$AL248)</f>
        <v>0</v>
      </c>
      <c r="AF249" s="681">
        <f ca="1">SUMPRODUCT(Driver22!$W$89:$W$93,AF244:AF248/$AL244:$AL248)</f>
        <v>0</v>
      </c>
      <c r="AG249" s="681">
        <f ca="1">SUMPRODUCT(Driver22!$W$89:$W$93,AG244:AG248/$AL244:$AL248)</f>
        <v>0</v>
      </c>
      <c r="AH249" s="681">
        <f ca="1">SUMPRODUCT(Driver22!$W$89:$W$93,AH244:AH248/$AL244:$AL248)</f>
        <v>0</v>
      </c>
      <c r="AI249" s="681">
        <f ca="1">SUMPRODUCT(Driver22!$W$89:$W$93,AI244:AI248/$AL244:$AL248)</f>
        <v>0</v>
      </c>
      <c r="AJ249" s="681">
        <f ca="1">SUMPRODUCT(Driver22!$W$89:$W$93,AJ244:AJ248/$AL244:$AL248)</f>
        <v>0</v>
      </c>
      <c r="AK249" s="681">
        <f ca="1">SUMPRODUCT(Driver22!$W$89:$W$93,AK244:AK248/$AL244:$AL248)</f>
        <v>0</v>
      </c>
      <c r="AL249" s="681">
        <f>SUM(C249:AK249)</f>
        <v>0</v>
      </c>
    </row>
    <row r="250" spans="1:39" hidden="1">
      <c r="B250" s="613" t="s">
        <v>333</v>
      </c>
      <c r="AM250" s="709" t="s">
        <v>503</v>
      </c>
    </row>
    <row r="251" spans="1:39" hidden="1">
      <c r="B251" s="613" t="s">
        <v>360</v>
      </c>
      <c r="C251" s="613">
        <f ca="1">IF(C$249&gt;0,Driver22!$W89*C244/$AL244*C$232/C$249,0)</f>
        <v>0</v>
      </c>
      <c r="D251" s="613">
        <f ca="1">IF(D$249&gt;0,Driver22!$W89*D244/$AL244*D$232/D$249,0)</f>
        <v>0</v>
      </c>
      <c r="E251" s="613">
        <f ca="1">IF(E$249&gt;0,Driver22!$W89*E244/$AL244*E$232/E$249,0)</f>
        <v>0</v>
      </c>
      <c r="F251" s="613">
        <f ca="1">IF(F$249&gt;0,Driver22!$W89*F244/$AL244*F$232/F$249,0)</f>
        <v>0</v>
      </c>
      <c r="G251" s="613">
        <f ca="1">IF(G$249&gt;0,Driver22!$W89*G244/$AL244*G$232/G$249,0)</f>
        <v>0</v>
      </c>
      <c r="H251" s="613">
        <f ca="1">IF(H$249&gt;0,Driver22!$W89*H244/$AL244*H$232/H$249,0)</f>
        <v>0</v>
      </c>
      <c r="I251" s="613">
        <f ca="1">IF(I$249&gt;0,Driver22!$W89*I244/$AL244*I$232/I$249,0)</f>
        <v>0</v>
      </c>
      <c r="J251" s="613">
        <f ca="1">IF(J$249&gt;0,Driver22!$W89*J244/$AL244*J$232/J$249,0)</f>
        <v>0</v>
      </c>
      <c r="K251" s="613">
        <f ca="1">IF(K$249&gt;0,Driver22!$W89*K244/$AL244*K$232/K$249,0)</f>
        <v>0</v>
      </c>
      <c r="L251" s="613">
        <f ca="1">IF(L$249&gt;0,Driver22!$W89*L244/$AL244*L$232/L$249,0)</f>
        <v>0</v>
      </c>
      <c r="M251" s="613">
        <f ca="1">IF(M$249&gt;0,Driver22!$W89*M244/$AL244*M$232/M$249,0)</f>
        <v>0</v>
      </c>
      <c r="N251" s="613">
        <f ca="1">IF(N$249&gt;0,Driver22!$W89*N244/$AL244*N$232/N$249,0)</f>
        <v>0</v>
      </c>
      <c r="O251" s="613">
        <f ca="1">IF(O$249&gt;0,Driver22!$W89*O244/$AL244*O$232/O$249,0)</f>
        <v>0</v>
      </c>
      <c r="P251" s="613">
        <f ca="1">IF(P$249&gt;0,Driver22!$W89*P244/$AL244*P$232/P$249,0)</f>
        <v>0</v>
      </c>
      <c r="Q251" s="613">
        <f ca="1">IF(Q$249&gt;0,Driver22!$W89*Q244/$AL244*Q$232/Q$249,0)</f>
        <v>0</v>
      </c>
      <c r="R251" s="613">
        <f ca="1">IF(R$249&gt;0,Driver22!$W89*R244/$AL244*R$232/R$249,0)</f>
        <v>0</v>
      </c>
      <c r="S251" s="613">
        <f ca="1">IF(S$249&gt;0,Driver22!$W89*S244/$AL244*S$232/S$249,0)</f>
        <v>0</v>
      </c>
      <c r="T251" s="613">
        <f ca="1">IF(T$249&gt;0,Driver22!$W89*T244/$AL244*T$232/T$249,0)</f>
        <v>0</v>
      </c>
      <c r="U251" s="613">
        <f ca="1">IF(U$249&gt;0,Driver22!$W89*U244/$AL244*U$232/U$249,0)</f>
        <v>0</v>
      </c>
      <c r="V251" s="613">
        <f ca="1">IF(V$249&gt;0,Driver22!$W89*V244/$AL244*V$232/V$249,0)</f>
        <v>0</v>
      </c>
      <c r="W251" s="613">
        <f ca="1">IF(W$249&gt;0,Driver22!$W89*W244/$AL244*W$232/W$249,0)</f>
        <v>0</v>
      </c>
      <c r="X251" s="613">
        <f ca="1">IF(X$249&gt;0,Driver22!$W89*X244/$AL244*X$232/X$249,0)</f>
        <v>0</v>
      </c>
      <c r="Y251" s="613">
        <f ca="1">IF(Y$249&gt;0,Driver22!$W89*Y244/$AL244*Y$232/Y$249,0)</f>
        <v>0</v>
      </c>
      <c r="Z251" s="613">
        <f ca="1">IF(Z$249&gt;0,Driver22!$W89*Z244/$AL244*Z$232/Z$249,0)</f>
        <v>0</v>
      </c>
      <c r="AA251" s="613">
        <f ca="1">IF(AA$249&gt;0,Driver22!$W89*AA244/$AL244*AA$232/AA$249,0)</f>
        <v>0</v>
      </c>
      <c r="AB251" s="613">
        <f ca="1">IF(AB$249&gt;0,Driver22!$W89*AB244/$AL244*AB$232/AB$249,0)</f>
        <v>0</v>
      </c>
      <c r="AC251" s="613">
        <f ca="1">IF(AC$249&gt;0,Driver22!$W89*AC244/$AL244*AC$232/AC$249,0)</f>
        <v>0</v>
      </c>
      <c r="AD251" s="613">
        <f ca="1">IF(AD$249&gt;0,Driver22!$W89*AD244/$AL244*AD$232/AD$249,0)</f>
        <v>0</v>
      </c>
      <c r="AE251" s="613">
        <f ca="1">IF(AE$249&gt;0,Driver22!$W89*AE244/$AL244*AE$232/AE$249,0)</f>
        <v>0</v>
      </c>
      <c r="AF251" s="613">
        <f ca="1">IF(AF$249&gt;0,Driver22!$W89*AF244/$AL244*AF$232/AF$249,0)</f>
        <v>0</v>
      </c>
      <c r="AG251" s="613">
        <f ca="1">IF(AG$249&gt;0,Driver22!$W89*AG244/$AL244*AG$232/AG$249,0)</f>
        <v>0</v>
      </c>
      <c r="AH251" s="613">
        <f ca="1">IF(AH$249&gt;0,Driver22!$W89*AH244/$AL244*AH$232/AH$249,0)</f>
        <v>0</v>
      </c>
      <c r="AI251" s="613">
        <f ca="1">IF(AI$249&gt;0,Driver22!$W89*AI244/$AL244*AI$232/AI$249,0)</f>
        <v>0</v>
      </c>
      <c r="AJ251" s="613">
        <f ca="1">IF(AJ$249&gt;0,Driver22!$W89*AJ244/$AL244*AJ$232/AJ$249,0)</f>
        <v>0</v>
      </c>
      <c r="AK251" s="613">
        <f ca="1">IF(AK$249&gt;0,Driver22!$W89*AK244/$AL244*AK$232/AK$249,0)</f>
        <v>0</v>
      </c>
      <c r="AL251" s="681">
        <f>SUM(C251:AK251)</f>
        <v>0</v>
      </c>
      <c r="AM251" s="681">
        <f ca="1">SUMPRODUCT($D$233:$AK$233,$D251:$AK251)*$AM244/MAX(Tiny,$AL251)</f>
        <v>0</v>
      </c>
    </row>
    <row r="252" spans="1:39" hidden="1">
      <c r="B252" s="613" t="s">
        <v>972</v>
      </c>
      <c r="C252" s="613">
        <f ca="1">IF(C$249&gt;0,Driver22!$W90*C245/$AL245*C$232/C$249,0)</f>
        <v>0</v>
      </c>
      <c r="D252" s="613">
        <f ca="1">IF(D$249&gt;0,Driver22!$W90*D245/$AL245*D$232/D$249,0)</f>
        <v>0</v>
      </c>
      <c r="E252" s="613">
        <f ca="1">IF(E$249&gt;0,Driver22!$W90*E245/$AL245*E$232/E$249,0)</f>
        <v>0</v>
      </c>
      <c r="F252" s="613">
        <f ca="1">IF(F$249&gt;0,Driver22!$W90*F245/$AL245*F$232/F$249,0)</f>
        <v>0</v>
      </c>
      <c r="G252" s="613">
        <f ca="1">IF(G$249&gt;0,Driver22!$W90*G245/$AL245*G$232/G$249,0)</f>
        <v>0</v>
      </c>
      <c r="H252" s="613">
        <f ca="1">IF(H$249&gt;0,Driver22!$W90*H245/$AL245*H$232/H$249,0)</f>
        <v>0</v>
      </c>
      <c r="I252" s="613">
        <f ca="1">IF(I$249&gt;0,Driver22!$W90*I245/$AL245*I$232/I$249,0)</f>
        <v>0</v>
      </c>
      <c r="J252" s="613">
        <f ca="1">IF(J$249&gt;0,Driver22!$W90*J245/$AL245*J$232/J$249,0)</f>
        <v>0</v>
      </c>
      <c r="K252" s="613">
        <f ca="1">IF(K$249&gt;0,Driver22!$W90*K245/$AL245*K$232/K$249,0)</f>
        <v>0</v>
      </c>
      <c r="L252" s="613">
        <f ca="1">IF(L$249&gt;0,Driver22!$W90*L245/$AL245*L$232/L$249,0)</f>
        <v>0</v>
      </c>
      <c r="M252" s="613">
        <f ca="1">IF(M$249&gt;0,Driver22!$W90*M245/$AL245*M$232/M$249,0)</f>
        <v>0</v>
      </c>
      <c r="N252" s="613">
        <f ca="1">IF(N$249&gt;0,Driver22!$W90*N245/$AL245*N$232/N$249,0)</f>
        <v>0</v>
      </c>
      <c r="O252" s="613">
        <f ca="1">IF(O$249&gt;0,Driver22!$W90*O245/$AL245*O$232/O$249,0)</f>
        <v>0</v>
      </c>
      <c r="P252" s="613">
        <f ca="1">IF(P$249&gt;0,Driver22!$W90*P245/$AL245*P$232/P$249,0)</f>
        <v>0</v>
      </c>
      <c r="Q252" s="613">
        <f ca="1">IF(Q$249&gt;0,Driver22!$W90*Q245/$AL245*Q$232/Q$249,0)</f>
        <v>0</v>
      </c>
      <c r="R252" s="613">
        <f ca="1">IF(R$249&gt;0,Driver22!$W90*R245/$AL245*R$232/R$249,0)</f>
        <v>0</v>
      </c>
      <c r="S252" s="613">
        <f ca="1">IF(S$249&gt;0,Driver22!$W90*S245/$AL245*S$232/S$249,0)</f>
        <v>0</v>
      </c>
      <c r="T252" s="613">
        <f ca="1">IF(T$249&gt;0,Driver22!$W90*T245/$AL245*T$232/T$249,0)</f>
        <v>0</v>
      </c>
      <c r="U252" s="613">
        <f ca="1">IF(U$249&gt;0,Driver22!$W90*U245/$AL245*U$232/U$249,0)</f>
        <v>0</v>
      </c>
      <c r="V252" s="613">
        <f ca="1">IF(V$249&gt;0,Driver22!$W90*V245/$AL245*V$232/V$249,0)</f>
        <v>0</v>
      </c>
      <c r="W252" s="613">
        <f ca="1">IF(W$249&gt;0,Driver22!$W90*W245/$AL245*W$232/W$249,0)</f>
        <v>0</v>
      </c>
      <c r="X252" s="613">
        <f ca="1">IF(X$249&gt;0,Driver22!$W90*X245/$AL245*X$232/X$249,0)</f>
        <v>0</v>
      </c>
      <c r="Y252" s="613">
        <f ca="1">IF(Y$249&gt;0,Driver22!$W90*Y245/$AL245*Y$232/Y$249,0)</f>
        <v>0</v>
      </c>
      <c r="Z252" s="613">
        <f ca="1">IF(Z$249&gt;0,Driver22!$W90*Z245/$AL245*Z$232/Z$249,0)</f>
        <v>0</v>
      </c>
      <c r="AA252" s="613">
        <f ca="1">IF(AA$249&gt;0,Driver22!$W90*AA245/$AL245*AA$232/AA$249,0)</f>
        <v>0</v>
      </c>
      <c r="AB252" s="613">
        <f ca="1">IF(AB$249&gt;0,Driver22!$W90*AB245/$AL245*AB$232/AB$249,0)</f>
        <v>0</v>
      </c>
      <c r="AC252" s="613">
        <f ca="1">IF(AC$249&gt;0,Driver22!$W90*AC245/$AL245*AC$232/AC$249,0)</f>
        <v>0</v>
      </c>
      <c r="AD252" s="613">
        <f ca="1">IF(AD$249&gt;0,Driver22!$W90*AD245/$AL245*AD$232/AD$249,0)</f>
        <v>0</v>
      </c>
      <c r="AE252" s="613">
        <f ca="1">IF(AE$249&gt;0,Driver22!$W90*AE245/$AL245*AE$232/AE$249,0)</f>
        <v>0</v>
      </c>
      <c r="AF252" s="613">
        <f ca="1">IF(AF$249&gt;0,Driver22!$W90*AF245/$AL245*AF$232/AF$249,0)</f>
        <v>0</v>
      </c>
      <c r="AG252" s="613">
        <f ca="1">IF(AG$249&gt;0,Driver22!$W90*AG245/$AL245*AG$232/AG$249,0)</f>
        <v>0</v>
      </c>
      <c r="AH252" s="613">
        <f ca="1">IF(AH$249&gt;0,Driver22!$W90*AH245/$AL245*AH$232/AH$249,0)</f>
        <v>0</v>
      </c>
      <c r="AI252" s="613">
        <f ca="1">IF(AI$249&gt;0,Driver22!$W90*AI245/$AL245*AI$232/AI$249,0)</f>
        <v>0</v>
      </c>
      <c r="AJ252" s="613">
        <f ca="1">IF(AJ$249&gt;0,Driver22!$W90*AJ245/$AL245*AJ$232/AJ$249,0)</f>
        <v>0</v>
      </c>
      <c r="AK252" s="613">
        <f ca="1">IF(AK$249&gt;0,Driver22!$W90*AK245/$AL245*AK$232/AK$249,0)</f>
        <v>0</v>
      </c>
      <c r="AL252" s="681">
        <f>SUM(C252:AK252)</f>
        <v>0</v>
      </c>
      <c r="AM252" s="681">
        <f ca="1">SUMPRODUCT($D$233:$AK$233,$D252:$AK252)*$AM245/MAX(Tiny,$AL252)</f>
        <v>0</v>
      </c>
    </row>
    <row r="253" spans="1:39" hidden="1">
      <c r="B253" s="613" t="s">
        <v>358</v>
      </c>
      <c r="C253" s="613">
        <f ca="1">IF(C$249&gt;0,Driver22!$W91*C246/$AL246*C$232/C$249,0)</f>
        <v>0</v>
      </c>
      <c r="D253" s="613">
        <f ca="1">IF(D$249&gt;0,Driver22!$W91*D246/$AL246*D$232/D$249,0)</f>
        <v>0</v>
      </c>
      <c r="E253" s="613">
        <f ca="1">IF(E$249&gt;0,Driver22!$W91*E246/$AL246*E$232/E$249,0)</f>
        <v>0</v>
      </c>
      <c r="F253" s="613">
        <f ca="1">IF(F$249&gt;0,Driver22!$W91*F246/$AL246*F$232/F$249,0)</f>
        <v>0</v>
      </c>
      <c r="G253" s="613">
        <f ca="1">IF(G$249&gt;0,Driver22!$W91*G246/$AL246*G$232/G$249,0)</f>
        <v>0</v>
      </c>
      <c r="H253" s="613">
        <f ca="1">IF(H$249&gt;0,Driver22!$W91*H246/$AL246*H$232/H$249,0)</f>
        <v>0</v>
      </c>
      <c r="I253" s="613">
        <f ca="1">IF(I$249&gt;0,Driver22!$W91*I246/$AL246*I$232/I$249,0)</f>
        <v>0</v>
      </c>
      <c r="J253" s="613">
        <f ca="1">IF(J$249&gt;0,Driver22!$W91*J246/$AL246*J$232/J$249,0)</f>
        <v>0</v>
      </c>
      <c r="K253" s="613">
        <f ca="1">IF(K$249&gt;0,Driver22!$W91*K246/$AL246*K$232/K$249,0)</f>
        <v>0</v>
      </c>
      <c r="L253" s="613">
        <f ca="1">IF(L$249&gt;0,Driver22!$W91*L246/$AL246*L$232/L$249,0)</f>
        <v>0</v>
      </c>
      <c r="M253" s="613">
        <f ca="1">IF(M$249&gt;0,Driver22!$W91*M246/$AL246*M$232/M$249,0)</f>
        <v>0</v>
      </c>
      <c r="N253" s="613">
        <f ca="1">IF(N$249&gt;0,Driver22!$W91*N246/$AL246*N$232/N$249,0)</f>
        <v>0</v>
      </c>
      <c r="O253" s="613">
        <f ca="1">IF(O$249&gt;0,Driver22!$W91*O246/$AL246*O$232/O$249,0)</f>
        <v>0</v>
      </c>
      <c r="P253" s="613">
        <f ca="1">IF(P$249&gt;0,Driver22!$W91*P246/$AL246*P$232/P$249,0)</f>
        <v>0</v>
      </c>
      <c r="Q253" s="613">
        <f ca="1">IF(Q$249&gt;0,Driver22!$W91*Q246/$AL246*Q$232/Q$249,0)</f>
        <v>0</v>
      </c>
      <c r="R253" s="613">
        <f ca="1">IF(R$249&gt;0,Driver22!$W91*R246/$AL246*R$232/R$249,0)</f>
        <v>0</v>
      </c>
      <c r="S253" s="613">
        <f ca="1">IF(S$249&gt;0,Driver22!$W91*S246/$AL246*S$232/S$249,0)</f>
        <v>0</v>
      </c>
      <c r="T253" s="613">
        <f ca="1">IF(T$249&gt;0,Driver22!$W91*T246/$AL246*T$232/T$249,0)</f>
        <v>0</v>
      </c>
      <c r="U253" s="613">
        <f ca="1">IF(U$249&gt;0,Driver22!$W91*U246/$AL246*U$232/U$249,0)</f>
        <v>0</v>
      </c>
      <c r="V253" s="613">
        <f ca="1">IF(V$249&gt;0,Driver22!$W91*V246/$AL246*V$232/V$249,0)</f>
        <v>0</v>
      </c>
      <c r="W253" s="613">
        <f ca="1">IF(W$249&gt;0,Driver22!$W91*W246/$AL246*W$232/W$249,0)</f>
        <v>0</v>
      </c>
      <c r="X253" s="613">
        <f ca="1">IF(X$249&gt;0,Driver22!$W91*X246/$AL246*X$232/X$249,0)</f>
        <v>0</v>
      </c>
      <c r="Y253" s="613">
        <f ca="1">IF(Y$249&gt;0,Driver22!$W91*Y246/$AL246*Y$232/Y$249,0)</f>
        <v>0</v>
      </c>
      <c r="Z253" s="613">
        <f ca="1">IF(Z$249&gt;0,Driver22!$W91*Z246/$AL246*Z$232/Z$249,0)</f>
        <v>0</v>
      </c>
      <c r="AA253" s="613">
        <f ca="1">IF(AA$249&gt;0,Driver22!$W91*AA246/$AL246*AA$232/AA$249,0)</f>
        <v>0</v>
      </c>
      <c r="AB253" s="613">
        <f ca="1">IF(AB$249&gt;0,Driver22!$W91*AB246/$AL246*AB$232/AB$249,0)</f>
        <v>0</v>
      </c>
      <c r="AC253" s="613">
        <f ca="1">IF(AC$249&gt;0,Driver22!$W91*AC246/$AL246*AC$232/AC$249,0)</f>
        <v>0</v>
      </c>
      <c r="AD253" s="613">
        <f ca="1">IF(AD$249&gt;0,Driver22!$W91*AD246/$AL246*AD$232/AD$249,0)</f>
        <v>0</v>
      </c>
      <c r="AE253" s="613">
        <f ca="1">IF(AE$249&gt;0,Driver22!$W91*AE246/$AL246*AE$232/AE$249,0)</f>
        <v>0</v>
      </c>
      <c r="AF253" s="613">
        <f ca="1">IF(AF$249&gt;0,Driver22!$W91*AF246/$AL246*AF$232/AF$249,0)</f>
        <v>0</v>
      </c>
      <c r="AG253" s="613">
        <f ca="1">IF(AG$249&gt;0,Driver22!$W91*AG246/$AL246*AG$232/AG$249,0)</f>
        <v>0</v>
      </c>
      <c r="AH253" s="613">
        <f ca="1">IF(AH$249&gt;0,Driver22!$W91*AH246/$AL246*AH$232/AH$249,0)</f>
        <v>0</v>
      </c>
      <c r="AI253" s="613">
        <f ca="1">IF(AI$249&gt;0,Driver22!$W91*AI246/$AL246*AI$232/AI$249,0)</f>
        <v>0</v>
      </c>
      <c r="AJ253" s="613">
        <f ca="1">IF(AJ$249&gt;0,Driver22!$W91*AJ246/$AL246*AJ$232/AJ$249,0)</f>
        <v>0</v>
      </c>
      <c r="AK253" s="613">
        <f ca="1">IF(AK$249&gt;0,Driver22!$W91*AK246/$AL246*AK$232/AK$249,0)</f>
        <v>0</v>
      </c>
      <c r="AL253" s="681">
        <f>SUM(C253:AK253)</f>
        <v>0</v>
      </c>
      <c r="AM253" s="681">
        <f ca="1">SUMPRODUCT($D$233:$AK$233,$D253:$AK253)*$AM246/MAX(Tiny,$AL253)</f>
        <v>0</v>
      </c>
    </row>
    <row r="254" spans="1:39" hidden="1">
      <c r="B254" s="613" t="s">
        <v>356</v>
      </c>
      <c r="C254" s="613">
        <f ca="1">IF(C$249&gt;0,Driver22!$W92*C247/$AL247*C$232/C$249,0)</f>
        <v>0</v>
      </c>
      <c r="D254" s="613">
        <f ca="1">IF(D$249&gt;0,Driver22!$W92*D247/$AL247*D$232/D$249,0)</f>
        <v>0</v>
      </c>
      <c r="E254" s="613">
        <f ca="1">IF(E$249&gt;0,Driver22!$W92*E247/$AL247*E$232/E$249,0)</f>
        <v>0</v>
      </c>
      <c r="F254" s="613">
        <f ca="1">IF(F$249&gt;0,Driver22!$W92*F247/$AL247*F$232/F$249,0)</f>
        <v>0</v>
      </c>
      <c r="G254" s="613">
        <f ca="1">IF(G$249&gt;0,Driver22!$W92*G247/$AL247*G$232/G$249,0)</f>
        <v>0</v>
      </c>
      <c r="H254" s="613">
        <f ca="1">IF(H$249&gt;0,Driver22!$W92*H247/$AL247*H$232/H$249,0)</f>
        <v>0</v>
      </c>
      <c r="I254" s="613">
        <f ca="1">IF(I$249&gt;0,Driver22!$W92*I247/$AL247*I$232/I$249,0)</f>
        <v>0</v>
      </c>
      <c r="J254" s="613">
        <f ca="1">IF(J$249&gt;0,Driver22!$W92*J247/$AL247*J$232/J$249,0)</f>
        <v>0</v>
      </c>
      <c r="K254" s="613">
        <f ca="1">IF(K$249&gt;0,Driver22!$W92*K247/$AL247*K$232/K$249,0)</f>
        <v>0</v>
      </c>
      <c r="L254" s="613">
        <f ca="1">IF(L$249&gt;0,Driver22!$W92*L247/$AL247*L$232/L$249,0)</f>
        <v>0</v>
      </c>
      <c r="M254" s="613">
        <f ca="1">IF(M$249&gt;0,Driver22!$W92*M247/$AL247*M$232/M$249,0)</f>
        <v>0</v>
      </c>
      <c r="N254" s="613">
        <f ca="1">IF(N$249&gt;0,Driver22!$W92*N247/$AL247*N$232/N$249,0)</f>
        <v>0</v>
      </c>
      <c r="O254" s="613">
        <f ca="1">IF(O$249&gt;0,Driver22!$W92*O247/$AL247*O$232/O$249,0)</f>
        <v>0</v>
      </c>
      <c r="P254" s="613">
        <f ca="1">IF(P$249&gt;0,Driver22!$W92*P247/$AL247*P$232/P$249,0)</f>
        <v>0</v>
      </c>
      <c r="Q254" s="613">
        <f ca="1">IF(Q$249&gt;0,Driver22!$W92*Q247/$AL247*Q$232/Q$249,0)</f>
        <v>0</v>
      </c>
      <c r="R254" s="613">
        <f ca="1">IF(R$249&gt;0,Driver22!$W92*R247/$AL247*R$232/R$249,0)</f>
        <v>0</v>
      </c>
      <c r="S254" s="613">
        <f ca="1">IF(S$249&gt;0,Driver22!$W92*S247/$AL247*S$232/S$249,0)</f>
        <v>0</v>
      </c>
      <c r="T254" s="613">
        <f ca="1">IF(T$249&gt;0,Driver22!$W92*T247/$AL247*T$232/T$249,0)</f>
        <v>0</v>
      </c>
      <c r="U254" s="613">
        <f ca="1">IF(U$249&gt;0,Driver22!$W92*U247/$AL247*U$232/U$249,0)</f>
        <v>0</v>
      </c>
      <c r="V254" s="613">
        <f ca="1">IF(V$249&gt;0,Driver22!$W92*V247/$AL247*V$232/V$249,0)</f>
        <v>0</v>
      </c>
      <c r="W254" s="613">
        <f ca="1">IF(W$249&gt;0,Driver22!$W92*W247/$AL247*W$232/W$249,0)</f>
        <v>0</v>
      </c>
      <c r="X254" s="613">
        <f ca="1">IF(X$249&gt;0,Driver22!$W92*X247/$AL247*X$232/X$249,0)</f>
        <v>0</v>
      </c>
      <c r="Y254" s="613">
        <f ca="1">IF(Y$249&gt;0,Driver22!$W92*Y247/$AL247*Y$232/Y$249,0)</f>
        <v>0</v>
      </c>
      <c r="Z254" s="613">
        <f ca="1">IF(Z$249&gt;0,Driver22!$W92*Z247/$AL247*Z$232/Z$249,0)</f>
        <v>0</v>
      </c>
      <c r="AA254" s="613">
        <f ca="1">IF(AA$249&gt;0,Driver22!$W92*AA247/$AL247*AA$232/AA$249,0)</f>
        <v>0</v>
      </c>
      <c r="AB254" s="613">
        <f ca="1">IF(AB$249&gt;0,Driver22!$W92*AB247/$AL247*AB$232/AB$249,0)</f>
        <v>0</v>
      </c>
      <c r="AC254" s="613">
        <f ca="1">IF(AC$249&gt;0,Driver22!$W92*AC247/$AL247*AC$232/AC$249,0)</f>
        <v>0</v>
      </c>
      <c r="AD254" s="613">
        <f ca="1">IF(AD$249&gt;0,Driver22!$W92*AD247/$AL247*AD$232/AD$249,0)</f>
        <v>0</v>
      </c>
      <c r="AE254" s="613">
        <f ca="1">IF(AE$249&gt;0,Driver22!$W92*AE247/$AL247*AE$232/AE$249,0)</f>
        <v>0</v>
      </c>
      <c r="AF254" s="613">
        <f ca="1">IF(AF$249&gt;0,Driver22!$W92*AF247/$AL247*AF$232/AF$249,0)</f>
        <v>0</v>
      </c>
      <c r="AG254" s="613">
        <f ca="1">IF(AG$249&gt;0,Driver22!$W92*AG247/$AL247*AG$232/AG$249,0)</f>
        <v>0</v>
      </c>
      <c r="AH254" s="613">
        <f ca="1">IF(AH$249&gt;0,Driver22!$W92*AH247/$AL247*AH$232/AH$249,0)</f>
        <v>0</v>
      </c>
      <c r="AI254" s="613">
        <f ca="1">IF(AI$249&gt;0,Driver22!$W92*AI247/$AL247*AI$232/AI$249,0)</f>
        <v>0</v>
      </c>
      <c r="AJ254" s="613">
        <f ca="1">IF(AJ$249&gt;0,Driver22!$W92*AJ247/$AL247*AJ$232/AJ$249,0)</f>
        <v>0</v>
      </c>
      <c r="AK254" s="613">
        <f ca="1">IF(AK$249&gt;0,Driver22!$W92*AK247/$AL247*AK$232/AK$249,0)</f>
        <v>0</v>
      </c>
      <c r="AL254" s="681">
        <f>SUM(C254:AK254)</f>
        <v>0</v>
      </c>
      <c r="AM254" s="681">
        <f ca="1">SUMPRODUCT($D$233:$AK$233,$D254:$AK254)*$AM247/MAX(Tiny,$AL254)</f>
        <v>0</v>
      </c>
    </row>
    <row r="255" spans="1:39" hidden="1">
      <c r="B255" s="613" t="s">
        <v>536</v>
      </c>
      <c r="C255" s="613">
        <f ca="1">IF(C$249&gt;0,Driver22!$W93*C248/$AL248*C$232/C$249,0)</f>
        <v>0</v>
      </c>
      <c r="D255" s="613">
        <f ca="1">IF(D$249&gt;0,Driver22!$W93*D248/$AL248*D$232/D$249,0)</f>
        <v>0</v>
      </c>
      <c r="E255" s="613">
        <f ca="1">IF(E$249&gt;0,Driver22!$W93*E248/$AL248*E$232/E$249,0)</f>
        <v>0</v>
      </c>
      <c r="F255" s="613">
        <f ca="1">IF(F$249&gt;0,Driver22!$W93*F248/$AL248*F$232/F$249,0)</f>
        <v>0</v>
      </c>
      <c r="G255" s="613">
        <f ca="1">IF(G$249&gt;0,Driver22!$W93*G248/$AL248*G$232/G$249,0)</f>
        <v>0</v>
      </c>
      <c r="H255" s="613">
        <f ca="1">IF(H$249&gt;0,Driver22!$W93*H248/$AL248*H$232/H$249,0)</f>
        <v>0</v>
      </c>
      <c r="I255" s="613">
        <f ca="1">IF(I$249&gt;0,Driver22!$W93*I248/$AL248*I$232/I$249,0)</f>
        <v>0</v>
      </c>
      <c r="J255" s="613">
        <f ca="1">IF(J$249&gt;0,Driver22!$W93*J248/$AL248*J$232/J$249,0)</f>
        <v>0</v>
      </c>
      <c r="K255" s="613">
        <f ca="1">IF(K$249&gt;0,Driver22!$W93*K248/$AL248*K$232/K$249,0)</f>
        <v>0</v>
      </c>
      <c r="L255" s="613">
        <f ca="1">IF(L$249&gt;0,Driver22!$W93*L248/$AL248*L$232/L$249,0)</f>
        <v>0</v>
      </c>
      <c r="M255" s="613">
        <f ca="1">IF(M$249&gt;0,Driver22!$W93*M248/$AL248*M$232/M$249,0)</f>
        <v>0</v>
      </c>
      <c r="N255" s="613">
        <f ca="1">IF(N$249&gt;0,Driver22!$W93*N248/$AL248*N$232/N$249,0)</f>
        <v>0</v>
      </c>
      <c r="O255" s="613">
        <f ca="1">IF(O$249&gt;0,Driver22!$W93*O248/$AL248*O$232/O$249,0)</f>
        <v>0</v>
      </c>
      <c r="P255" s="613">
        <f ca="1">IF(P$249&gt;0,Driver22!$W93*P248/$AL248*P$232/P$249,0)</f>
        <v>0</v>
      </c>
      <c r="Q255" s="613">
        <f ca="1">IF(Q$249&gt;0,Driver22!$W93*Q248/$AL248*Q$232/Q$249,0)</f>
        <v>0</v>
      </c>
      <c r="R255" s="613">
        <f ca="1">IF(R$249&gt;0,Driver22!$W93*R248/$AL248*R$232/R$249,0)</f>
        <v>0</v>
      </c>
      <c r="S255" s="613">
        <f ca="1">IF(S$249&gt;0,Driver22!$W93*S248/$AL248*S$232/S$249,0)</f>
        <v>0</v>
      </c>
      <c r="T255" s="613">
        <f ca="1">IF(T$249&gt;0,Driver22!$W93*T248/$AL248*T$232/T$249,0)</f>
        <v>0</v>
      </c>
      <c r="U255" s="613">
        <f ca="1">IF(U$249&gt;0,Driver22!$W93*U248/$AL248*U$232/U$249,0)</f>
        <v>0</v>
      </c>
      <c r="V255" s="613">
        <f ca="1">IF(V$249&gt;0,Driver22!$W93*V248/$AL248*V$232/V$249,0)</f>
        <v>0</v>
      </c>
      <c r="W255" s="613">
        <f ca="1">IF(W$249&gt;0,Driver22!$W93*W248/$AL248*W$232/W$249,0)</f>
        <v>0</v>
      </c>
      <c r="X255" s="613">
        <f ca="1">IF(X$249&gt;0,Driver22!$W93*X248/$AL248*X$232/X$249,0)</f>
        <v>0</v>
      </c>
      <c r="Y255" s="613">
        <f ca="1">IF(Y$249&gt;0,Driver22!$W93*Y248/$AL248*Y$232/Y$249,0)</f>
        <v>0</v>
      </c>
      <c r="Z255" s="613">
        <f ca="1">IF(Z$249&gt;0,Driver22!$W93*Z248/$AL248*Z$232/Z$249,0)</f>
        <v>0</v>
      </c>
      <c r="AA255" s="613">
        <f ca="1">IF(AA$249&gt;0,Driver22!$W93*AA248/$AL248*AA$232/AA$249,0)</f>
        <v>0</v>
      </c>
      <c r="AB255" s="613">
        <f ca="1">IF(AB$249&gt;0,Driver22!$W93*AB248/$AL248*AB$232/AB$249,0)</f>
        <v>0</v>
      </c>
      <c r="AC255" s="613">
        <f ca="1">IF(AC$249&gt;0,Driver22!$W93*AC248/$AL248*AC$232/AC$249,0)</f>
        <v>0</v>
      </c>
      <c r="AD255" s="613">
        <f ca="1">IF(AD$249&gt;0,Driver22!$W93*AD248/$AL248*AD$232/AD$249,0)</f>
        <v>0</v>
      </c>
      <c r="AE255" s="613">
        <f ca="1">IF(AE$249&gt;0,Driver22!$W93*AE248/$AL248*AE$232/AE$249,0)</f>
        <v>0</v>
      </c>
      <c r="AF255" s="613">
        <f ca="1">IF(AF$249&gt;0,Driver22!$W93*AF248/$AL248*AF$232/AF$249,0)</f>
        <v>0</v>
      </c>
      <c r="AG255" s="613">
        <f ca="1">IF(AG$249&gt;0,Driver22!$W93*AG248/$AL248*AG$232/AG$249,0)</f>
        <v>0</v>
      </c>
      <c r="AH255" s="613">
        <f ca="1">IF(AH$249&gt;0,Driver22!$W93*AH248/$AL248*AH$232/AH$249,0)</f>
        <v>0</v>
      </c>
      <c r="AI255" s="613">
        <f ca="1">IF(AI$249&gt;0,Driver22!$W93*AI248/$AL248*AI$232/AI$249,0)</f>
        <v>0</v>
      </c>
      <c r="AJ255" s="613">
        <f ca="1">IF(AJ$249&gt;0,Driver22!$W93*AJ248/$AL248*AJ$232/AJ$249,0)</f>
        <v>0</v>
      </c>
      <c r="AK255" s="613">
        <f ca="1">IF(AK$249&gt;0,Driver22!$W93*AK248/$AL248*AK$232/AK$249,0)</f>
        <v>0</v>
      </c>
      <c r="AL255" s="681">
        <f>SUM(C255:AK255)</f>
        <v>0</v>
      </c>
      <c r="AM255" s="681">
        <f ca="1">SUMPRODUCT($D$233:$AK$233,$D255:$AK255)*$AM248/MAX(Tiny,$AL255)</f>
        <v>0</v>
      </c>
    </row>
    <row r="256" spans="1:39" hidden="1">
      <c r="C256" s="613">
        <f t="shared" ref="C256:AL256" si="87">SUM(C251:C255)</f>
        <v>0</v>
      </c>
      <c r="D256" s="613">
        <f t="shared" si="87"/>
        <v>0</v>
      </c>
      <c r="E256" s="613">
        <f t="shared" si="87"/>
        <v>0</v>
      </c>
      <c r="F256" s="613">
        <f t="shared" si="87"/>
        <v>0</v>
      </c>
      <c r="G256" s="613">
        <f t="shared" si="87"/>
        <v>0</v>
      </c>
      <c r="H256" s="613">
        <f t="shared" si="87"/>
        <v>0</v>
      </c>
      <c r="I256" s="613">
        <f t="shared" si="87"/>
        <v>0</v>
      </c>
      <c r="J256" s="613">
        <f t="shared" si="87"/>
        <v>0</v>
      </c>
      <c r="K256" s="613">
        <f t="shared" si="87"/>
        <v>0</v>
      </c>
      <c r="L256" s="613">
        <f t="shared" si="87"/>
        <v>0</v>
      </c>
      <c r="M256" s="613">
        <f t="shared" si="87"/>
        <v>0</v>
      </c>
      <c r="N256" s="613">
        <f t="shared" si="87"/>
        <v>0</v>
      </c>
      <c r="O256" s="613">
        <f t="shared" si="87"/>
        <v>0</v>
      </c>
      <c r="P256" s="613">
        <f t="shared" si="87"/>
        <v>0</v>
      </c>
      <c r="Q256" s="613">
        <f t="shared" si="87"/>
        <v>0</v>
      </c>
      <c r="R256" s="613">
        <f t="shared" si="87"/>
        <v>0</v>
      </c>
      <c r="S256" s="613">
        <f t="shared" si="87"/>
        <v>0</v>
      </c>
      <c r="T256" s="613">
        <f t="shared" si="87"/>
        <v>0</v>
      </c>
      <c r="U256" s="613">
        <f t="shared" si="87"/>
        <v>0</v>
      </c>
      <c r="V256" s="613">
        <f t="shared" ref="V256:AA256" si="88">SUM(V251:V255)</f>
        <v>0</v>
      </c>
      <c r="W256" s="613">
        <f t="shared" si="88"/>
        <v>0</v>
      </c>
      <c r="X256" s="613">
        <f t="shared" si="88"/>
        <v>0</v>
      </c>
      <c r="Y256" s="613">
        <f t="shared" si="88"/>
        <v>0</v>
      </c>
      <c r="Z256" s="613">
        <f t="shared" si="88"/>
        <v>0</v>
      </c>
      <c r="AA256" s="613">
        <f t="shared" si="88"/>
        <v>0</v>
      </c>
      <c r="AB256" s="613">
        <f t="shared" si="87"/>
        <v>0</v>
      </c>
      <c r="AC256" s="613">
        <f t="shared" si="87"/>
        <v>0</v>
      </c>
      <c r="AD256" s="613">
        <f t="shared" si="87"/>
        <v>0</v>
      </c>
      <c r="AE256" s="613">
        <f t="shared" si="87"/>
        <v>0</v>
      </c>
      <c r="AF256" s="613">
        <f t="shared" si="87"/>
        <v>0</v>
      </c>
      <c r="AG256" s="613">
        <f t="shared" si="87"/>
        <v>0</v>
      </c>
      <c r="AH256" s="613">
        <f t="shared" si="87"/>
        <v>0</v>
      </c>
      <c r="AI256" s="613">
        <f t="shared" si="87"/>
        <v>0</v>
      </c>
      <c r="AJ256" s="613">
        <f t="shared" si="87"/>
        <v>0</v>
      </c>
      <c r="AK256" s="613">
        <f t="shared" si="87"/>
        <v>0</v>
      </c>
      <c r="AL256" s="681">
        <f t="shared" si="87"/>
        <v>0</v>
      </c>
    </row>
    <row r="257" spans="2:37" hidden="1">
      <c r="B257" s="613" t="s">
        <v>184</v>
      </c>
      <c r="D257" s="657">
        <f t="shared" ref="D257:AK257" ca="1" si="89">(SUMPRODUCT(D251:D255,$AM$244:$AM$248)+Tiny)*D$233/(D$256+Tiny)</f>
        <v>56.1</v>
      </c>
      <c r="E257" s="655">
        <f t="shared" ca="1" si="89"/>
        <v>63.1</v>
      </c>
      <c r="F257" s="655">
        <f t="shared" ca="1" si="89"/>
        <v>64.2</v>
      </c>
      <c r="G257" s="655">
        <f t="shared" ca="1" si="89"/>
        <v>94.6</v>
      </c>
      <c r="H257" s="655">
        <f t="shared" ca="1" si="89"/>
        <v>104.5</v>
      </c>
      <c r="I257" s="655">
        <f t="shared" ca="1" si="89"/>
        <v>104.86</v>
      </c>
      <c r="J257" s="655">
        <f t="shared" ca="1" si="89"/>
        <v>104.86</v>
      </c>
      <c r="K257" s="655">
        <f t="shared" ca="1" si="89"/>
        <v>44.4</v>
      </c>
      <c r="L257" s="655">
        <f t="shared" ca="1" si="89"/>
        <v>0</v>
      </c>
      <c r="M257" s="655">
        <f t="shared" ca="1" si="89"/>
        <v>0</v>
      </c>
      <c r="N257" s="655">
        <f t="shared" ca="1" si="89"/>
        <v>44.4</v>
      </c>
      <c r="O257" s="655">
        <f t="shared" ca="1" si="89"/>
        <v>57.6</v>
      </c>
      <c r="P257" s="655">
        <f t="shared" ca="1" si="89"/>
        <v>73.3</v>
      </c>
      <c r="Q257" s="655">
        <f t="shared" ca="1" si="89"/>
        <v>77.400000000000006</v>
      </c>
      <c r="R257" s="655">
        <f t="shared" ca="1" si="89"/>
        <v>74.099999999999994</v>
      </c>
      <c r="S257" s="655">
        <f t="shared" ca="1" si="89"/>
        <v>71.900000000000006</v>
      </c>
      <c r="T257" s="655">
        <f t="shared" ca="1" si="89"/>
        <v>69.3</v>
      </c>
      <c r="U257" s="655">
        <f t="shared" ca="1" si="89"/>
        <v>73.3</v>
      </c>
      <c r="V257" s="655">
        <f t="shared" ref="V257:AA257" ca="1" si="90">(SUMPRODUCT(V251:V255,$AM$244:$AM$248)+Tiny)*V$233/(V$256+Tiny)</f>
        <v>61.600000000000009</v>
      </c>
      <c r="W257" s="655">
        <f t="shared" ca="1" si="90"/>
        <v>73.3</v>
      </c>
      <c r="X257" s="655">
        <f t="shared" ca="1" si="90"/>
        <v>97.5</v>
      </c>
      <c r="Y257" s="655">
        <f t="shared" ca="1" si="90"/>
        <v>0</v>
      </c>
      <c r="Z257" s="655">
        <f t="shared" ca="1" si="90"/>
        <v>0</v>
      </c>
      <c r="AA257" s="655">
        <f t="shared" ca="1" si="90"/>
        <v>0</v>
      </c>
      <c r="AB257" s="655">
        <f t="shared" ca="1" si="89"/>
        <v>0</v>
      </c>
      <c r="AC257" s="655">
        <f t="shared" ca="1" si="89"/>
        <v>27.51</v>
      </c>
      <c r="AD257" s="655">
        <f t="shared" ca="1" si="89"/>
        <v>85.85</v>
      </c>
      <c r="AE257" s="655">
        <f t="shared" ca="1" si="89"/>
        <v>0</v>
      </c>
      <c r="AF257" s="655">
        <f t="shared" ca="1" si="89"/>
        <v>0</v>
      </c>
      <c r="AG257" s="655">
        <f t="shared" ca="1" si="89"/>
        <v>71.5</v>
      </c>
      <c r="AH257" s="655">
        <f t="shared" ca="1" si="89"/>
        <v>73.3</v>
      </c>
      <c r="AI257" s="655">
        <f t="shared" ca="1" si="89"/>
        <v>37.049999999999997</v>
      </c>
      <c r="AJ257" s="655">
        <f t="shared" ca="1" si="89"/>
        <v>0</v>
      </c>
      <c r="AK257" s="658">
        <f t="shared" ca="1" si="89"/>
        <v>80.7</v>
      </c>
    </row>
    <row r="258" spans="2:37" hidden="1"/>
    <row r="259" spans="2:37" ht="18" hidden="1">
      <c r="B259" s="728" t="s">
        <v>381</v>
      </c>
      <c r="C259" s="729"/>
      <c r="D259" s="708"/>
      <c r="E259" s="729"/>
      <c r="F259" s="708"/>
      <c r="G259" s="708"/>
      <c r="V259" s="728" t="s">
        <v>1088</v>
      </c>
      <c r="W259" s="728"/>
      <c r="X259" s="728"/>
      <c r="Y259" s="728"/>
    </row>
    <row r="260" spans="2:37" hidden="1">
      <c r="C260" s="613" t="s">
        <v>905</v>
      </c>
      <c r="D260" s="613" t="s">
        <v>906</v>
      </c>
      <c r="E260" s="613" t="s">
        <v>907</v>
      </c>
      <c r="F260" s="613" t="s">
        <v>908</v>
      </c>
      <c r="G260" s="613" t="s">
        <v>909</v>
      </c>
      <c r="H260" s="613" t="s">
        <v>910</v>
      </c>
      <c r="I260" s="613" t="s">
        <v>911</v>
      </c>
      <c r="J260" s="613" t="s">
        <v>912</v>
      </c>
      <c r="K260" s="613" t="s">
        <v>1150</v>
      </c>
      <c r="L260" s="613" t="s">
        <v>913</v>
      </c>
      <c r="M260" s="613" t="s">
        <v>826</v>
      </c>
      <c r="N260" s="613" t="s">
        <v>914</v>
      </c>
      <c r="O260" s="613" t="s">
        <v>915</v>
      </c>
      <c r="P260" s="613" t="s">
        <v>916</v>
      </c>
      <c r="Q260" s="613" t="s">
        <v>917</v>
      </c>
      <c r="R260" s="613" t="s">
        <v>950</v>
      </c>
      <c r="S260" s="613" t="s">
        <v>946</v>
      </c>
      <c r="T260" s="613" t="s">
        <v>888</v>
      </c>
      <c r="W260" s="613" t="s">
        <v>749</v>
      </c>
      <c r="X260" s="613" t="s">
        <v>1089</v>
      </c>
      <c r="Y260" s="613" t="s">
        <v>1090</v>
      </c>
    </row>
    <row r="261" spans="2:37" hidden="1">
      <c r="B261" s="613" t="s">
        <v>568</v>
      </c>
      <c r="C261" s="738">
        <f t="shared" ref="C261:L265" si="91">SUMIF($A$172:$A$206,$B261,C$172:C$206)</f>
        <v>2.331324033439847E-2</v>
      </c>
      <c r="D261" s="738">
        <f t="shared" si="91"/>
        <v>4.000000000000001E-3</v>
      </c>
      <c r="E261" s="738">
        <f t="shared" si="91"/>
        <v>7.000000000000001E-3</v>
      </c>
      <c r="F261" s="738">
        <f t="shared" si="91"/>
        <v>0</v>
      </c>
      <c r="G261" s="738">
        <f t="shared" si="91"/>
        <v>2.0000000000000005E-3</v>
      </c>
      <c r="H261" s="738">
        <f t="shared" si="91"/>
        <v>0</v>
      </c>
      <c r="I261" s="738">
        <f t="shared" si="91"/>
        <v>0</v>
      </c>
      <c r="J261" s="738">
        <f t="shared" si="91"/>
        <v>0</v>
      </c>
      <c r="K261" s="738">
        <f t="shared" si="91"/>
        <v>0</v>
      </c>
      <c r="L261" s="738">
        <f t="shared" si="91"/>
        <v>0</v>
      </c>
      <c r="M261" s="738">
        <f t="shared" ref="M261:T265" si="92">SUMIF($A$172:$A$206,$B261,M$172:M$206)</f>
        <v>0</v>
      </c>
      <c r="N261" s="738">
        <f t="shared" si="92"/>
        <v>0</v>
      </c>
      <c r="O261" s="738">
        <f t="shared" si="92"/>
        <v>0</v>
      </c>
      <c r="P261" s="738">
        <f t="shared" si="92"/>
        <v>0</v>
      </c>
      <c r="Q261" s="738">
        <f t="shared" si="92"/>
        <v>0</v>
      </c>
      <c r="R261" s="738">
        <f t="shared" si="92"/>
        <v>0</v>
      </c>
      <c r="S261" s="738">
        <f t="shared" si="92"/>
        <v>2.4325301011247922E-3</v>
      </c>
      <c r="T261" s="738">
        <f t="shared" si="92"/>
        <v>3.8745770435523262E-2</v>
      </c>
      <c r="V261" s="613" t="s">
        <v>568</v>
      </c>
      <c r="W261" s="651">
        <f ca="1">AuxData2!AD12</f>
        <v>2E-3</v>
      </c>
      <c r="X261" s="651">
        <f ca="1">AuxData2!BJ34</f>
        <v>1.9946746829223295E-3</v>
      </c>
      <c r="Y261" s="651">
        <f>S261*U$47</f>
        <v>1.9946746829223295E-3</v>
      </c>
    </row>
    <row r="262" spans="2:37" hidden="1">
      <c r="B262" s="613" t="s">
        <v>879</v>
      </c>
      <c r="C262" s="738">
        <f t="shared" si="91"/>
        <v>8.3539111198261198E-2</v>
      </c>
      <c r="D262" s="738">
        <f t="shared" si="91"/>
        <v>0.03</v>
      </c>
      <c r="E262" s="738">
        <f t="shared" si="91"/>
        <v>2.1999999999999999E-2</v>
      </c>
      <c r="F262" s="738">
        <f t="shared" si="91"/>
        <v>0</v>
      </c>
      <c r="G262" s="738">
        <f t="shared" si="91"/>
        <v>5.1000000000000004E-2</v>
      </c>
      <c r="H262" s="738">
        <f t="shared" si="91"/>
        <v>0</v>
      </c>
      <c r="I262" s="738">
        <f t="shared" si="91"/>
        <v>0</v>
      </c>
      <c r="J262" s="738">
        <f t="shared" si="91"/>
        <v>0</v>
      </c>
      <c r="K262" s="738">
        <f t="shared" si="91"/>
        <v>0</v>
      </c>
      <c r="L262" s="738">
        <f t="shared" si="91"/>
        <v>3.0000000000000001E-3</v>
      </c>
      <c r="M262" s="738">
        <f t="shared" si="92"/>
        <v>0.01</v>
      </c>
      <c r="N262" s="738">
        <f t="shared" si="92"/>
        <v>0</v>
      </c>
      <c r="O262" s="738">
        <f t="shared" si="92"/>
        <v>0</v>
      </c>
      <c r="P262" s="738">
        <f t="shared" si="92"/>
        <v>0.05</v>
      </c>
      <c r="Q262" s="738">
        <f t="shared" si="92"/>
        <v>5.4999999999999986E-2</v>
      </c>
      <c r="R262" s="738">
        <f t="shared" si="92"/>
        <v>0</v>
      </c>
      <c r="S262" s="738">
        <f t="shared" si="92"/>
        <v>2.9253755466514056E-2</v>
      </c>
      <c r="T262" s="738">
        <f t="shared" si="92"/>
        <v>0.33379286666477526</v>
      </c>
      <c r="V262" s="613" t="s">
        <v>880</v>
      </c>
      <c r="W262" s="651">
        <f ca="1">AuxData2!AD13</f>
        <v>8.9999999999999993E-3</v>
      </c>
      <c r="X262" s="651">
        <f ca="1">AuxData2!BJ35</f>
        <v>8.9810541603967484E-3</v>
      </c>
      <c r="Y262" s="651">
        <f>S263*U$47</f>
        <v>8.9810541603967484E-3</v>
      </c>
    </row>
    <row r="263" spans="2:37" hidden="1">
      <c r="B263" s="613" t="s">
        <v>880</v>
      </c>
      <c r="C263" s="738">
        <f t="shared" si="91"/>
        <v>2.3313240334398473E-2</v>
      </c>
      <c r="D263" s="738">
        <f t="shared" si="91"/>
        <v>0</v>
      </c>
      <c r="E263" s="738">
        <f t="shared" si="91"/>
        <v>3.0000000000000001E-3</v>
      </c>
      <c r="F263" s="738">
        <f t="shared" si="91"/>
        <v>0</v>
      </c>
      <c r="G263" s="738">
        <f t="shared" si="91"/>
        <v>0</v>
      </c>
      <c r="H263" s="738">
        <f t="shared" si="91"/>
        <v>0</v>
      </c>
      <c r="I263" s="738">
        <f t="shared" si="91"/>
        <v>0</v>
      </c>
      <c r="J263" s="738">
        <f t="shared" si="91"/>
        <v>0</v>
      </c>
      <c r="K263" s="738">
        <f t="shared" si="91"/>
        <v>0</v>
      </c>
      <c r="L263" s="738">
        <f t="shared" si="91"/>
        <v>1E-3</v>
      </c>
      <c r="M263" s="738">
        <f t="shared" si="92"/>
        <v>0</v>
      </c>
      <c r="N263" s="738">
        <f t="shared" si="92"/>
        <v>0</v>
      </c>
      <c r="O263" s="738">
        <f t="shared" si="92"/>
        <v>0</v>
      </c>
      <c r="P263" s="738">
        <f t="shared" si="92"/>
        <v>0</v>
      </c>
      <c r="Q263" s="738">
        <f t="shared" si="92"/>
        <v>0</v>
      </c>
      <c r="R263" s="738">
        <f t="shared" si="92"/>
        <v>0</v>
      </c>
      <c r="S263" s="738">
        <f t="shared" si="92"/>
        <v>1.0952505073654572E-2</v>
      </c>
      <c r="T263" s="738">
        <f t="shared" si="92"/>
        <v>3.826574540805304E-2</v>
      </c>
      <c r="V263" s="613" t="s">
        <v>787</v>
      </c>
      <c r="W263" s="651">
        <f ca="1">AuxData2!AD14</f>
        <v>0.19400000000000001</v>
      </c>
      <c r="X263" s="651">
        <f ca="1">AuxData2!BJ36</f>
        <v>0.19310092640858226</v>
      </c>
      <c r="Y263" s="651">
        <f>S264*U$47</f>
        <v>0.19310092640858226</v>
      </c>
    </row>
    <row r="264" spans="2:37" hidden="1">
      <c r="B264" s="613" t="s">
        <v>787</v>
      </c>
      <c r="C264" s="738">
        <f t="shared" si="91"/>
        <v>0.26883496568466347</v>
      </c>
      <c r="D264" s="738">
        <f t="shared" si="91"/>
        <v>9.1999999999999998E-2</v>
      </c>
      <c r="E264" s="738">
        <f t="shared" si="91"/>
        <v>0.50499999999999989</v>
      </c>
      <c r="F264" s="738">
        <f t="shared" si="91"/>
        <v>0</v>
      </c>
      <c r="G264" s="738">
        <f t="shared" si="91"/>
        <v>0</v>
      </c>
      <c r="H264" s="738">
        <f t="shared" si="91"/>
        <v>0</v>
      </c>
      <c r="I264" s="738">
        <f t="shared" si="91"/>
        <v>0</v>
      </c>
      <c r="J264" s="738">
        <f t="shared" si="91"/>
        <v>0</v>
      </c>
      <c r="K264" s="738">
        <f t="shared" si="91"/>
        <v>0</v>
      </c>
      <c r="L264" s="738">
        <f t="shared" si="91"/>
        <v>4.7999999999999987E-2</v>
      </c>
      <c r="M264" s="738">
        <f t="shared" si="92"/>
        <v>3.0000000000000005E-3</v>
      </c>
      <c r="N264" s="738">
        <f t="shared" si="92"/>
        <v>0</v>
      </c>
      <c r="O264" s="738">
        <f t="shared" si="92"/>
        <v>0.21300000000000002</v>
      </c>
      <c r="P264" s="738">
        <f t="shared" si="92"/>
        <v>0</v>
      </c>
      <c r="Q264" s="738">
        <f t="shared" si="92"/>
        <v>1.3000000000000001E-2</v>
      </c>
      <c r="R264" s="738">
        <f t="shared" si="92"/>
        <v>0</v>
      </c>
      <c r="S264" s="738">
        <f t="shared" si="92"/>
        <v>0.23548893464461251</v>
      </c>
      <c r="T264" s="738">
        <f>SUMIF($A$172:$A$206,$B264,T$172:T$206)</f>
        <v>1.378323900329276</v>
      </c>
      <c r="V264" s="613" t="s">
        <v>978</v>
      </c>
      <c r="W264" s="651">
        <f ca="1">AuxData2!AD15</f>
        <v>3.0000000000000001E-3</v>
      </c>
      <c r="X264" s="651">
        <f ca="1">AuxData2!BJ37</f>
        <v>2.7572884331907915E-3</v>
      </c>
      <c r="Y264" s="651">
        <f>S265*U$47</f>
        <v>2.7572884331907919E-3</v>
      </c>
    </row>
    <row r="265" spans="2:37" hidden="1">
      <c r="B265" s="613" t="s">
        <v>978</v>
      </c>
      <c r="C265" s="738">
        <f t="shared" si="91"/>
        <v>2.0722880297243083E-2</v>
      </c>
      <c r="D265" s="738">
        <f t="shared" si="91"/>
        <v>6.000000000000001E-3</v>
      </c>
      <c r="E265" s="738">
        <f t="shared" si="91"/>
        <v>9.999999999999998E-4</v>
      </c>
      <c r="F265" s="738">
        <f t="shared" si="91"/>
        <v>0</v>
      </c>
      <c r="G265" s="738">
        <f t="shared" si="91"/>
        <v>1E-3</v>
      </c>
      <c r="H265" s="738">
        <f t="shared" si="91"/>
        <v>0</v>
      </c>
      <c r="I265" s="738">
        <f t="shared" si="91"/>
        <v>0</v>
      </c>
      <c r="J265" s="738">
        <f t="shared" si="91"/>
        <v>0</v>
      </c>
      <c r="K265" s="738">
        <f t="shared" si="91"/>
        <v>2E-3</v>
      </c>
      <c r="L265" s="738">
        <f t="shared" si="91"/>
        <v>1E-3</v>
      </c>
      <c r="M265" s="738">
        <f t="shared" si="92"/>
        <v>0</v>
      </c>
      <c r="N265" s="738">
        <f t="shared" si="92"/>
        <v>0</v>
      </c>
      <c r="O265" s="738">
        <f t="shared" si="92"/>
        <v>0</v>
      </c>
      <c r="P265" s="738">
        <f t="shared" si="92"/>
        <v>0</v>
      </c>
      <c r="Q265" s="738">
        <f t="shared" si="92"/>
        <v>4.8999999999999995E-2</v>
      </c>
      <c r="R265" s="738">
        <f t="shared" si="92"/>
        <v>0</v>
      </c>
      <c r="S265" s="738">
        <f t="shared" si="92"/>
        <v>3.3625468697448683E-3</v>
      </c>
      <c r="T265" s="738">
        <f t="shared" si="92"/>
        <v>8.4085427166987942E-2</v>
      </c>
      <c r="V265" s="613" t="s">
        <v>879</v>
      </c>
      <c r="W265" s="651">
        <f ca="1">AuxData2!AD16</f>
        <v>2.4E-2</v>
      </c>
      <c r="X265" s="651">
        <f ca="1">AuxData2!BJ38</f>
        <v>2.3988079482541523E-2</v>
      </c>
      <c r="Y265" s="651">
        <f>S262*U$47</f>
        <v>2.3988079482541523E-2</v>
      </c>
    </row>
    <row r="266" spans="2:37" hidden="1">
      <c r="V266" s="613" t="s">
        <v>722</v>
      </c>
      <c r="W266" s="651">
        <f ca="1">AuxData2!AD17*0.5</f>
        <v>1.4059075731234687</v>
      </c>
      <c r="X266" s="651">
        <f ca="1">AuxData2!BJ39</f>
        <v>1.123126311373128</v>
      </c>
      <c r="Y266" s="651">
        <f>X266*S$95</f>
        <v>1.123126311373128</v>
      </c>
    </row>
    <row r="267" spans="2:37" hidden="1">
      <c r="B267" s="613" t="s">
        <v>568</v>
      </c>
      <c r="C267" s="763">
        <f ca="1">IF(VLOOKUP($B267,Calibrati22!$B$99:$T$103,C$4,FALSE)&lt;&gt;0,C261/VLOOKUP($B267,Calibrati22!$B$99:$T$103,C$4,FALSE),1)</f>
        <v>0.99999999999999989</v>
      </c>
      <c r="D267" s="763">
        <f ca="1">IF(VLOOKUP($B267,Calibrati22!$B$99:$T$103,D$4,FALSE)&lt;&gt;0,D261/VLOOKUP($B267,Calibrati22!$B$99:$T$103,D$4,FALSE),1)</f>
        <v>1.0000000000000002</v>
      </c>
      <c r="E267" s="763">
        <f ca="1">IF(VLOOKUP($B267,Calibrati22!$B$99:$T$103,E$4,FALSE)&lt;&gt;0,E261/VLOOKUP($B267,Calibrati22!$B$99:$T$103,E$4,FALSE),1)</f>
        <v>1.0000000000000002</v>
      </c>
      <c r="F267" s="763">
        <f ca="1">IF(VLOOKUP($B267,Calibrati22!$B$99:$T$103,F$4,FALSE)&lt;&gt;0,F261/VLOOKUP($B267,Calibrati22!$B$99:$T$103,F$4,FALSE),1)</f>
        <v>1</v>
      </c>
      <c r="G267" s="763">
        <f ca="1">IF(VLOOKUP($B267,Calibrati22!$B$99:$T$103,G$4,FALSE)&lt;&gt;0,G261/VLOOKUP($B267,Calibrati22!$B$99:$T$103,G$4,FALSE),1)</f>
        <v>1.0000000000000002</v>
      </c>
      <c r="H267" s="763">
        <f ca="1">IF(VLOOKUP($B267,Calibrati22!$B$99:$T$103,H$4,FALSE)&lt;&gt;0,H261/VLOOKUP($B267,Calibrati22!$B$99:$T$103,H$4,FALSE),1)</f>
        <v>1</v>
      </c>
      <c r="I267" s="763">
        <f ca="1">IF(VLOOKUP($B267,Calibrati22!$B$99:$T$103,I$4,FALSE)&lt;&gt;0,I261/VLOOKUP($B267,Calibrati22!$B$99:$T$103,I$4,FALSE),1)</f>
        <v>1</v>
      </c>
      <c r="J267" s="763">
        <f ca="1">IF(VLOOKUP($B267,Calibrati22!$B$99:$T$103,J$4,FALSE)&lt;&gt;0,J261/VLOOKUP($B267,Calibrati22!$B$99:$T$103,J$4,FALSE),1)</f>
        <v>1</v>
      </c>
      <c r="K267" s="763">
        <f ca="1">IF(VLOOKUP($B267,Calibrati22!$B$99:$T$103,K$4,FALSE)&lt;&gt;0,K261/VLOOKUP($B267,Calibrati22!$B$99:$T$103,K$4,FALSE),1)</f>
        <v>1</v>
      </c>
      <c r="L267" s="763">
        <f ca="1">IF(VLOOKUP($B267,Calibrati22!$B$99:$T$103,L$4,FALSE)&lt;&gt;0,L261/VLOOKUP($B267,Calibrati22!$B$99:$T$103,L$4,FALSE),1)</f>
        <v>1</v>
      </c>
      <c r="M267" s="763">
        <f ca="1">IF(VLOOKUP($B267,Calibrati22!$B$99:$T$103,M$4,FALSE)&lt;&gt;0,M261/VLOOKUP($B267,Calibrati22!$B$99:$T$103,M$4,FALSE),1)</f>
        <v>1</v>
      </c>
      <c r="N267" s="763">
        <f ca="1">IF(VLOOKUP($B267,Calibrati22!$B$99:$T$103,N$4,FALSE)&lt;&gt;0,N261/VLOOKUP($B267,Calibrati22!$B$99:$T$103,N$4,FALSE),1)</f>
        <v>1</v>
      </c>
      <c r="O267" s="763">
        <f ca="1">IF(VLOOKUP($B267,Calibrati22!$B$99:$T$103,O$4,FALSE)&lt;&gt;0,O261/VLOOKUP($B267,Calibrati22!$B$99:$T$103,O$4,FALSE),1)</f>
        <v>1</v>
      </c>
      <c r="P267" s="763">
        <f ca="1">IF(VLOOKUP($B267,Calibrati22!$B$99:$T$103,P$4,FALSE)&lt;&gt;0,P261/VLOOKUP($B267,Calibrati22!$B$99:$T$103,P$4,FALSE),1)</f>
        <v>1</v>
      </c>
      <c r="Q267" s="763">
        <f ca="1">IF(VLOOKUP($B267,Calibrati22!$B$99:$T$103,Q$4,FALSE)&lt;&gt;0,Q261/VLOOKUP($B267,Calibrati22!$B$99:$T$103,Q$4,FALSE),1)</f>
        <v>1</v>
      </c>
      <c r="R267" s="763">
        <f ca="1">IF(VLOOKUP($B267,Calibrati22!$B$99:$T$103,R$4,FALSE)&lt;&gt;0,R261/VLOOKUP($B267,Calibrati22!$B$99:$T$103,R$4,FALSE),1)</f>
        <v>1</v>
      </c>
      <c r="S267" s="763">
        <f ca="1">IF(VLOOKUP($B267,Calibrati22!$B$99:$T$103,S$4,FALSE)&lt;&gt;0,S261/VLOOKUP($B267,Calibrati22!$B$99:$T$103,S$4,FALSE),1)</f>
        <v>1</v>
      </c>
      <c r="T267" s="763">
        <f ca="1">IF(VLOOKUP($B267,Calibrati22!$B$99:$T$103,T$4,FALSE)&lt;&gt;0,T261/VLOOKUP($B267,Calibrati22!$B$99:$T$103,T$4,FALSE),1)</f>
        <v>0.99999999999999978</v>
      </c>
      <c r="V267" s="613" t="s">
        <v>722</v>
      </c>
      <c r="W267" s="651">
        <f ca="1">AuxData2!AD17*0.5</f>
        <v>1.4059075731234687</v>
      </c>
      <c r="X267" s="651">
        <f ca="1">W267</f>
        <v>1.4059075731234687</v>
      </c>
      <c r="Y267" s="651">
        <f>X267*S$95</f>
        <v>1.4059075731234687</v>
      </c>
    </row>
    <row r="268" spans="2:37" hidden="1">
      <c r="B268" s="613" t="s">
        <v>879</v>
      </c>
      <c r="C268" s="763">
        <f ca="1">IF(VLOOKUP($B268,Calibrati22!$B$99:$T$103,C$4,FALSE)&lt;&gt;0,C262/VLOOKUP($B268,Calibrati22!$B$99:$T$103,C$4,FALSE),1)</f>
        <v>1</v>
      </c>
      <c r="D268" s="763">
        <f ca="1">IF(VLOOKUP($B268,Calibrati22!$B$99:$T$103,D$4,FALSE)&lt;&gt;0,D262/VLOOKUP($B268,Calibrati22!$B$99:$T$103,D$4,FALSE),1)</f>
        <v>1</v>
      </c>
      <c r="E268" s="763">
        <f ca="1">IF(VLOOKUP($B268,Calibrati22!$B$99:$T$103,E$4,FALSE)&lt;&gt;0,E262/VLOOKUP($B268,Calibrati22!$B$99:$T$103,E$4,FALSE),1)</f>
        <v>1</v>
      </c>
      <c r="F268" s="763">
        <f ca="1">IF(VLOOKUP($B268,Calibrati22!$B$99:$T$103,F$4,FALSE)&lt;&gt;0,F262/VLOOKUP($B268,Calibrati22!$B$99:$T$103,F$4,FALSE),1)</f>
        <v>1</v>
      </c>
      <c r="G268" s="763">
        <f ca="1">IF(VLOOKUP($B268,Calibrati22!$B$99:$T$103,G$4,FALSE)&lt;&gt;0,G262/VLOOKUP($B268,Calibrati22!$B$99:$T$103,G$4,FALSE),1)</f>
        <v>1.0000000000000002</v>
      </c>
      <c r="H268" s="763">
        <f ca="1">IF(VLOOKUP($B268,Calibrati22!$B$99:$T$103,H$4,FALSE)&lt;&gt;0,H262/VLOOKUP($B268,Calibrati22!$B$99:$T$103,H$4,FALSE),1)</f>
        <v>1</v>
      </c>
      <c r="I268" s="763">
        <f ca="1">IF(VLOOKUP($B268,Calibrati22!$B$99:$T$103,I$4,FALSE)&lt;&gt;0,I262/VLOOKUP($B268,Calibrati22!$B$99:$T$103,I$4,FALSE),1)</f>
        <v>1</v>
      </c>
      <c r="J268" s="763">
        <f ca="1">IF(VLOOKUP($B268,Calibrati22!$B$99:$T$103,J$4,FALSE)&lt;&gt;0,J262/VLOOKUP($B268,Calibrati22!$B$99:$T$103,J$4,FALSE),1)</f>
        <v>1</v>
      </c>
      <c r="K268" s="763">
        <f ca="1">IF(VLOOKUP($B268,Calibrati22!$B$99:$T$103,K$4,FALSE)&lt;&gt;0,K262/VLOOKUP($B268,Calibrati22!$B$99:$T$103,K$4,FALSE),1)</f>
        <v>1</v>
      </c>
      <c r="L268" s="763">
        <f ca="1">IF(VLOOKUP($B268,Calibrati22!$B$99:$T$103,L$4,FALSE)&lt;&gt;0,L262/VLOOKUP($B268,Calibrati22!$B$99:$T$103,L$4,FALSE),1)</f>
        <v>1</v>
      </c>
      <c r="M268" s="763">
        <f ca="1">IF(VLOOKUP($B268,Calibrati22!$B$99:$T$103,M$4,FALSE)&lt;&gt;0,M262/VLOOKUP($B268,Calibrati22!$B$99:$T$103,M$4,FALSE),1)</f>
        <v>1</v>
      </c>
      <c r="N268" s="763">
        <f ca="1">IF(VLOOKUP($B268,Calibrati22!$B$99:$T$103,N$4,FALSE)&lt;&gt;0,N262/VLOOKUP($B268,Calibrati22!$B$99:$T$103,N$4,FALSE),1)</f>
        <v>1</v>
      </c>
      <c r="O268" s="763">
        <f ca="1">IF(VLOOKUP($B268,Calibrati22!$B$99:$T$103,O$4,FALSE)&lt;&gt;0,O262/VLOOKUP($B268,Calibrati22!$B$99:$T$103,O$4,FALSE),1)</f>
        <v>1</v>
      </c>
      <c r="P268" s="763">
        <f ca="1">IF(VLOOKUP($B268,Calibrati22!$B$99:$T$103,P$4,FALSE)&lt;&gt;0,P262/VLOOKUP($B268,Calibrati22!$B$99:$T$103,P$4,FALSE),1)</f>
        <v>1</v>
      </c>
      <c r="Q268" s="763">
        <f ca="1">IF(VLOOKUP($B268,Calibrati22!$B$99:$T$103,Q$4,FALSE)&lt;&gt;0,Q262/VLOOKUP($B268,Calibrati22!$B$99:$T$103,Q$4,FALSE),1)</f>
        <v>0.99999999999999978</v>
      </c>
      <c r="R268" s="763">
        <f ca="1">IF(VLOOKUP($B268,Calibrati22!$B$99:$T$103,R$4,FALSE)&lt;&gt;0,R262/VLOOKUP($B268,Calibrati22!$B$99:$T$103,R$4,FALSE),1)</f>
        <v>1</v>
      </c>
      <c r="S268" s="763">
        <f ca="1">IF(VLOOKUP($B268,Calibrati22!$B$99:$T$103,S$4,FALSE)&lt;&gt;0,S262/VLOOKUP($B268,Calibrati22!$B$99:$T$103,S$4,FALSE),1)</f>
        <v>1</v>
      </c>
      <c r="T268" s="763">
        <f ca="1">IF(VLOOKUP($B268,Calibrati22!$B$99:$T$103,T$4,FALSE)&lt;&gt;0,T262/VLOOKUP($B268,Calibrati22!$B$99:$T$103,T$4,FALSE),1)</f>
        <v>1</v>
      </c>
      <c r="V268" s="613" t="s">
        <v>151</v>
      </c>
      <c r="W268" s="651">
        <f ca="1">AuxData2!R36</f>
        <v>0</v>
      </c>
      <c r="X268" s="651">
        <f ca="1">W268</f>
        <v>0</v>
      </c>
      <c r="Y268" s="651">
        <f>X268*S$94</f>
        <v>0</v>
      </c>
    </row>
    <row r="269" spans="2:37" hidden="1">
      <c r="B269" s="613" t="s">
        <v>880</v>
      </c>
      <c r="C269" s="763">
        <f ca="1">IF(VLOOKUP($B269,Calibrati22!$B$99:$T$103,C$4,FALSE)&lt;&gt;0,C263/VLOOKUP($B269,Calibrati22!$B$99:$T$103,C$4,FALSE),1)</f>
        <v>1</v>
      </c>
      <c r="D269" s="763">
        <f ca="1">IF(VLOOKUP($B269,Calibrati22!$B$99:$T$103,D$4,FALSE)&lt;&gt;0,D263/VLOOKUP($B269,Calibrati22!$B$99:$T$103,D$4,FALSE),1)</f>
        <v>1</v>
      </c>
      <c r="E269" s="763">
        <f ca="1">IF(VLOOKUP($B269,Calibrati22!$B$99:$T$103,E$4,FALSE)&lt;&gt;0,E263/VLOOKUP($B269,Calibrati22!$B$99:$T$103,E$4,FALSE),1)</f>
        <v>1</v>
      </c>
      <c r="F269" s="763">
        <f ca="1">IF(VLOOKUP($B269,Calibrati22!$B$99:$T$103,F$4,FALSE)&lt;&gt;0,F263/VLOOKUP($B269,Calibrati22!$B$99:$T$103,F$4,FALSE),1)</f>
        <v>1</v>
      </c>
      <c r="G269" s="763">
        <f ca="1">IF(VLOOKUP($B269,Calibrati22!$B$99:$T$103,G$4,FALSE)&lt;&gt;0,G263/VLOOKUP($B269,Calibrati22!$B$99:$T$103,G$4,FALSE),1)</f>
        <v>1</v>
      </c>
      <c r="H269" s="763">
        <f ca="1">IF(VLOOKUP($B269,Calibrati22!$B$99:$T$103,H$4,FALSE)&lt;&gt;0,H263/VLOOKUP($B269,Calibrati22!$B$99:$T$103,H$4,FALSE),1)</f>
        <v>1</v>
      </c>
      <c r="I269" s="763">
        <f ca="1">IF(VLOOKUP($B269,Calibrati22!$B$99:$T$103,I$4,FALSE)&lt;&gt;0,I263/VLOOKUP($B269,Calibrati22!$B$99:$T$103,I$4,FALSE),1)</f>
        <v>1</v>
      </c>
      <c r="J269" s="763">
        <f ca="1">IF(VLOOKUP($B269,Calibrati22!$B$99:$T$103,J$4,FALSE)&lt;&gt;0,J263/VLOOKUP($B269,Calibrati22!$B$99:$T$103,J$4,FALSE),1)</f>
        <v>1</v>
      </c>
      <c r="K269" s="763">
        <f ca="1">IF(VLOOKUP($B269,Calibrati22!$B$99:$T$103,K$4,FALSE)&lt;&gt;0,K263/VLOOKUP($B269,Calibrati22!$B$99:$T$103,K$4,FALSE),1)</f>
        <v>1</v>
      </c>
      <c r="L269" s="763">
        <f ca="1">IF(VLOOKUP($B269,Calibrati22!$B$99:$T$103,L$4,FALSE)&lt;&gt;0,L263/VLOOKUP($B269,Calibrati22!$B$99:$T$103,L$4,FALSE),1)</f>
        <v>1</v>
      </c>
      <c r="M269" s="763">
        <f ca="1">IF(VLOOKUP($B269,Calibrati22!$B$99:$T$103,M$4,FALSE)&lt;&gt;0,M263/VLOOKUP($B269,Calibrati22!$B$99:$T$103,M$4,FALSE),1)</f>
        <v>1</v>
      </c>
      <c r="N269" s="763">
        <f ca="1">IF(VLOOKUP($B269,Calibrati22!$B$99:$T$103,N$4,FALSE)&lt;&gt;0,N263/VLOOKUP($B269,Calibrati22!$B$99:$T$103,N$4,FALSE),1)</f>
        <v>1</v>
      </c>
      <c r="O269" s="763">
        <f ca="1">IF(VLOOKUP($B269,Calibrati22!$B$99:$T$103,O$4,FALSE)&lt;&gt;0,O263/VLOOKUP($B269,Calibrati22!$B$99:$T$103,O$4,FALSE),1)</f>
        <v>1</v>
      </c>
      <c r="P269" s="763">
        <f ca="1">IF(VLOOKUP($B269,Calibrati22!$B$99:$T$103,P$4,FALSE)&lt;&gt;0,P263/VLOOKUP($B269,Calibrati22!$B$99:$T$103,P$4,FALSE),1)</f>
        <v>1</v>
      </c>
      <c r="Q269" s="763">
        <f ca="1">IF(VLOOKUP($B269,Calibrati22!$B$99:$T$103,Q$4,FALSE)&lt;&gt;0,Q263/VLOOKUP($B269,Calibrati22!$B$99:$T$103,Q$4,FALSE),1)</f>
        <v>1</v>
      </c>
      <c r="R269" s="763">
        <f ca="1">IF(VLOOKUP($B269,Calibrati22!$B$99:$T$103,R$4,FALSE)&lt;&gt;0,R263/VLOOKUP($B269,Calibrati22!$B$99:$T$103,R$4,FALSE),1)</f>
        <v>1</v>
      </c>
      <c r="S269" s="763">
        <f ca="1">IF(VLOOKUP($B269,Calibrati22!$B$99:$T$103,S$4,FALSE)&lt;&gt;0,S263/VLOOKUP($B269,Calibrati22!$B$99:$T$103,S$4,FALSE),1)</f>
        <v>1</v>
      </c>
      <c r="T269" s="763">
        <f ca="1">IF(VLOOKUP($B269,Calibrati22!$B$99:$T$103,T$4,FALSE)&lt;&gt;0,T263/VLOOKUP($B269,Calibrati22!$B$99:$T$103,T$4,FALSE),1)</f>
        <v>0.99999999999999978</v>
      </c>
      <c r="V269" s="613" t="s">
        <v>1091</v>
      </c>
      <c r="W269" s="651">
        <f>SUM(W261:W266)</f>
        <v>1.6379075731234687</v>
      </c>
      <c r="X269" s="651">
        <f>SUM(X261:X266)</f>
        <v>1.3539483345407617</v>
      </c>
      <c r="Y269" s="651">
        <f>SUM(Y261:Y266)</f>
        <v>1.3539483345407617</v>
      </c>
    </row>
    <row r="270" spans="2:37" hidden="1">
      <c r="B270" s="613" t="s">
        <v>787</v>
      </c>
      <c r="C270" s="763">
        <f ca="1">IF(VLOOKUP($B270,Calibrati22!$B$99:$T$103,C$4,FALSE)&lt;&gt;0,C264/VLOOKUP($B270,Calibrati22!$B$99:$T$103,C$4,FALSE),1)</f>
        <v>0.99999999999999978</v>
      </c>
      <c r="D270" s="763">
        <f ca="1">IF(VLOOKUP($B270,Calibrati22!$B$99:$T$103,D$4,FALSE)&lt;&gt;0,D264/VLOOKUP($B270,Calibrati22!$B$99:$T$103,D$4,FALSE),1)</f>
        <v>1</v>
      </c>
      <c r="E270" s="763">
        <f ca="1">IF(VLOOKUP($B270,Calibrati22!$B$99:$T$103,E$4,FALSE)&lt;&gt;0,E264/VLOOKUP($B270,Calibrati22!$B$99:$T$103,E$4,FALSE),1)</f>
        <v>0.99999999999999978</v>
      </c>
      <c r="F270" s="763">
        <f ca="1">IF(VLOOKUP($B270,Calibrati22!$B$99:$T$103,F$4,FALSE)&lt;&gt;0,F264/VLOOKUP($B270,Calibrati22!$B$99:$T$103,F$4,FALSE),1)</f>
        <v>1</v>
      </c>
      <c r="G270" s="763">
        <f ca="1">IF(VLOOKUP($B270,Calibrati22!$B$99:$T$103,G$4,FALSE)&lt;&gt;0,G264/VLOOKUP($B270,Calibrati22!$B$99:$T$103,G$4,FALSE),1)</f>
        <v>1</v>
      </c>
      <c r="H270" s="763">
        <f ca="1">IF(VLOOKUP($B270,Calibrati22!$B$99:$T$103,H$4,FALSE)&lt;&gt;0,H264/VLOOKUP($B270,Calibrati22!$B$99:$T$103,H$4,FALSE),1)</f>
        <v>1</v>
      </c>
      <c r="I270" s="763">
        <f ca="1">IF(VLOOKUP($B270,Calibrati22!$B$99:$T$103,I$4,FALSE)&lt;&gt;0,I264/VLOOKUP($B270,Calibrati22!$B$99:$T$103,I$4,FALSE),1)</f>
        <v>1</v>
      </c>
      <c r="J270" s="763">
        <f ca="1">IF(VLOOKUP($B270,Calibrati22!$B$99:$T$103,J$4,FALSE)&lt;&gt;0,J264/VLOOKUP($B270,Calibrati22!$B$99:$T$103,J$4,FALSE),1)</f>
        <v>1</v>
      </c>
      <c r="K270" s="763">
        <f ca="1">IF(VLOOKUP($B270,Calibrati22!$B$99:$T$103,K$4,FALSE)&lt;&gt;0,K264/VLOOKUP($B270,Calibrati22!$B$99:$T$103,K$4,FALSE),1)</f>
        <v>1</v>
      </c>
      <c r="L270" s="763">
        <f ca="1">IF(VLOOKUP($B270,Calibrati22!$B$99:$T$103,L$4,FALSE)&lt;&gt;0,L264/VLOOKUP($B270,Calibrati22!$B$99:$T$103,L$4,FALSE),1)</f>
        <v>0.99999999999999967</v>
      </c>
      <c r="M270" s="763">
        <f ca="1">IF(VLOOKUP($B270,Calibrati22!$B$99:$T$103,M$4,FALSE)&lt;&gt;0,M264/VLOOKUP($B270,Calibrati22!$B$99:$T$103,M$4,FALSE),1)</f>
        <v>1.0000000000000002</v>
      </c>
      <c r="N270" s="763">
        <f ca="1">IF(VLOOKUP($B270,Calibrati22!$B$99:$T$103,N$4,FALSE)&lt;&gt;0,N264/VLOOKUP($B270,Calibrati22!$B$99:$T$103,N$4,FALSE),1)</f>
        <v>1</v>
      </c>
      <c r="O270" s="763">
        <f ca="1">IF(VLOOKUP($B270,Calibrati22!$B$99:$T$103,O$4,FALSE)&lt;&gt;0,O264/VLOOKUP($B270,Calibrati22!$B$99:$T$103,O$4,FALSE),1)</f>
        <v>1.0000000000000002</v>
      </c>
      <c r="P270" s="763">
        <f ca="1">IF(VLOOKUP($B270,Calibrati22!$B$99:$T$103,P$4,FALSE)&lt;&gt;0,P264/VLOOKUP($B270,Calibrati22!$B$99:$T$103,P$4,FALSE),1)</f>
        <v>1</v>
      </c>
      <c r="Q270" s="763">
        <f ca="1">IF(VLOOKUP($B270,Calibrati22!$B$99:$T$103,Q$4,FALSE)&lt;&gt;0,Q264/VLOOKUP($B270,Calibrati22!$B$99:$T$103,Q$4,FALSE),1)</f>
        <v>1</v>
      </c>
      <c r="R270" s="763">
        <f ca="1">IF(VLOOKUP($B270,Calibrati22!$B$99:$T$103,R$4,FALSE)&lt;&gt;0,R264/VLOOKUP($B270,Calibrati22!$B$99:$T$103,R$4,FALSE),1)</f>
        <v>1</v>
      </c>
      <c r="S270" s="763">
        <f ca="1">IF(VLOOKUP($B270,Calibrati22!$B$99:$T$103,S$4,FALSE)&lt;&gt;0,S264/VLOOKUP($B270,Calibrati22!$B$99:$T$103,S$4,FALSE),1)</f>
        <v>1</v>
      </c>
      <c r="T270" s="763">
        <f ca="1">IF(VLOOKUP($B270,Calibrati22!$B$99:$T$103,T$4,FALSE)&lt;&gt;0,T264/VLOOKUP($B270,Calibrati22!$B$99:$T$103,T$4,FALSE),1)</f>
        <v>1</v>
      </c>
      <c r="V270" s="613" t="s">
        <v>1092</v>
      </c>
      <c r="W270" s="651">
        <f>SUM(W267:W268)</f>
        <v>1.4059075731234687</v>
      </c>
      <c r="X270" s="651">
        <f>SUM(X267:X268)</f>
        <v>1.4059075731234687</v>
      </c>
      <c r="Y270" s="651">
        <f>SUM(Y267:Y268)</f>
        <v>1.4059075731234687</v>
      </c>
    </row>
    <row r="271" spans="2:37" hidden="1">
      <c r="B271" s="613" t="s">
        <v>978</v>
      </c>
      <c r="C271" s="763">
        <f ca="1">IF(VLOOKUP($B271,Calibrati22!$B$99:$T$103,C$4,FALSE)&lt;&gt;0,C265/VLOOKUP($B271,Calibrati22!$B$99:$T$103,C$4,FALSE),1)</f>
        <v>1</v>
      </c>
      <c r="D271" s="763">
        <f ca="1">IF(VLOOKUP($B271,Calibrati22!$B$99:$T$103,D$4,FALSE)&lt;&gt;0,D265/VLOOKUP($B271,Calibrati22!$B$99:$T$103,D$4,FALSE),1)</f>
        <v>1.0000000000000002</v>
      </c>
      <c r="E271" s="763">
        <f ca="1">IF(VLOOKUP($B271,Calibrati22!$B$99:$T$103,E$4,FALSE)&lt;&gt;0,E265/VLOOKUP($B271,Calibrati22!$B$99:$T$103,E$4,FALSE),1)</f>
        <v>0.99999999999999978</v>
      </c>
      <c r="F271" s="763">
        <f ca="1">IF(VLOOKUP($B271,Calibrati22!$B$99:$T$103,F$4,FALSE)&lt;&gt;0,F265/VLOOKUP($B271,Calibrati22!$B$99:$T$103,F$4,FALSE),1)</f>
        <v>1</v>
      </c>
      <c r="G271" s="763">
        <f ca="1">IF(VLOOKUP($B271,Calibrati22!$B$99:$T$103,G$4,FALSE)&lt;&gt;0,G265/VLOOKUP($B271,Calibrati22!$B$99:$T$103,G$4,FALSE),1)</f>
        <v>1</v>
      </c>
      <c r="H271" s="763">
        <f ca="1">IF(VLOOKUP($B271,Calibrati22!$B$99:$T$103,H$4,FALSE)&lt;&gt;0,H265/VLOOKUP($B271,Calibrati22!$B$99:$T$103,H$4,FALSE),1)</f>
        <v>1</v>
      </c>
      <c r="I271" s="763">
        <f ca="1">IF(VLOOKUP($B271,Calibrati22!$B$99:$T$103,I$4,FALSE)&lt;&gt;0,I265/VLOOKUP($B271,Calibrati22!$B$99:$T$103,I$4,FALSE),1)</f>
        <v>1</v>
      </c>
      <c r="J271" s="763">
        <f ca="1">IF(VLOOKUP($B271,Calibrati22!$B$99:$T$103,J$4,FALSE)&lt;&gt;0,J265/VLOOKUP($B271,Calibrati22!$B$99:$T$103,J$4,FALSE),1)</f>
        <v>1</v>
      </c>
      <c r="K271" s="763">
        <f ca="1">IF(VLOOKUP($B271,Calibrati22!$B$99:$T$103,K$4,FALSE)&lt;&gt;0,K265/VLOOKUP($B271,Calibrati22!$B$99:$T$103,K$4,FALSE),1)</f>
        <v>1</v>
      </c>
      <c r="L271" s="763">
        <f ca="1">IF(VLOOKUP($B271,Calibrati22!$B$99:$T$103,L$4,FALSE)&lt;&gt;0,L265/VLOOKUP($B271,Calibrati22!$B$99:$T$103,L$4,FALSE),1)</f>
        <v>1</v>
      </c>
      <c r="M271" s="763">
        <f ca="1">IF(VLOOKUP($B271,Calibrati22!$B$99:$T$103,M$4,FALSE)&lt;&gt;0,M265/VLOOKUP($B271,Calibrati22!$B$99:$T$103,M$4,FALSE),1)</f>
        <v>1</v>
      </c>
      <c r="N271" s="763">
        <f ca="1">IF(VLOOKUP($B271,Calibrati22!$B$99:$T$103,N$4,FALSE)&lt;&gt;0,N265/VLOOKUP($B271,Calibrati22!$B$99:$T$103,N$4,FALSE),1)</f>
        <v>1</v>
      </c>
      <c r="O271" s="763">
        <f ca="1">IF(VLOOKUP($B271,Calibrati22!$B$99:$T$103,O$4,FALSE)&lt;&gt;0,O265/VLOOKUP($B271,Calibrati22!$B$99:$T$103,O$4,FALSE),1)</f>
        <v>1</v>
      </c>
      <c r="P271" s="763">
        <f ca="1">IF(VLOOKUP($B271,Calibrati22!$B$99:$T$103,P$4,FALSE)&lt;&gt;0,P265/VLOOKUP($B271,Calibrati22!$B$99:$T$103,P$4,FALSE),1)</f>
        <v>1</v>
      </c>
      <c r="Q271" s="763">
        <f ca="1">IF(VLOOKUP($B271,Calibrati22!$B$99:$T$103,Q$4,FALSE)&lt;&gt;0,Q265/VLOOKUP($B271,Calibrati22!$B$99:$T$103,Q$4,FALSE),1)</f>
        <v>0.99999999999999989</v>
      </c>
      <c r="R271" s="763">
        <f ca="1">IF(VLOOKUP($B271,Calibrati22!$B$99:$T$103,R$4,FALSE)&lt;&gt;0,R265/VLOOKUP($B271,Calibrati22!$B$99:$T$103,R$4,FALSE),1)</f>
        <v>1</v>
      </c>
      <c r="S271" s="763">
        <f ca="1">IF(VLOOKUP($B271,Calibrati22!$B$99:$T$103,S$4,FALSE)&lt;&gt;0,S265/VLOOKUP($B271,Calibrati22!$B$99:$T$103,S$4,FALSE),1)</f>
        <v>1.0000000000000002</v>
      </c>
      <c r="T271" s="763">
        <f ca="1">IF(VLOOKUP($B271,Calibrati22!$B$99:$T$103,T$4,FALSE)&lt;&gt;0,T265/VLOOKUP($B271,Calibrati22!$B$99:$T$103,T$4,FALSE),1)</f>
        <v>0.99999999999999989</v>
      </c>
      <c r="V271" s="613" t="s">
        <v>796</v>
      </c>
      <c r="W271" s="651">
        <f>SUM(W261:W267)</f>
        <v>3.0438151462469376</v>
      </c>
      <c r="X271" s="651">
        <f>SUM(X261:X267)</f>
        <v>2.7598559076642304</v>
      </c>
      <c r="Y271" s="651">
        <f>SUM(Y261:Y267)</f>
        <v>2.7598559076642304</v>
      </c>
    </row>
  </sheetData>
  <sheetProtection password="C14A" sheet="1" objects="1" selectLockedCells="1" selectUnlockedCells="1"/>
  <phoneticPr fontId="25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15"/>
  <dimension ref="B2:I171"/>
  <sheetViews>
    <sheetView topLeftCell="A42" zoomScale="85" workbookViewId="0">
      <selection activeCell="C45" sqref="C45"/>
    </sheetView>
  </sheetViews>
  <sheetFormatPr defaultColWidth="8.85546875" defaultRowHeight="12.75"/>
  <cols>
    <col min="1" max="1" width="8.85546875" customWidth="1"/>
    <col min="2" max="2" width="10" customWidth="1"/>
    <col min="3" max="3" width="11.85546875" customWidth="1"/>
    <col min="4" max="4" width="36.28515625" customWidth="1"/>
  </cols>
  <sheetData>
    <row r="2" spans="2:9">
      <c r="B2" s="216" t="s">
        <v>770</v>
      </c>
    </row>
    <row r="3" spans="2:9">
      <c r="B3" s="551" t="s">
        <v>771</v>
      </c>
      <c r="C3" s="551" t="s">
        <v>772</v>
      </c>
      <c r="D3" s="551" t="s">
        <v>773</v>
      </c>
      <c r="E3" s="551" t="s">
        <v>774</v>
      </c>
      <c r="F3" s="552" t="s">
        <v>723</v>
      </c>
      <c r="G3" s="552" t="s">
        <v>565</v>
      </c>
      <c r="H3" s="552" t="s">
        <v>566</v>
      </c>
      <c r="I3" s="552" t="s">
        <v>823</v>
      </c>
    </row>
    <row r="4" spans="2:9">
      <c r="B4" s="475" t="s">
        <v>1372</v>
      </c>
      <c r="C4" s="476" t="s">
        <v>177</v>
      </c>
      <c r="D4" s="476" t="s">
        <v>176</v>
      </c>
      <c r="E4" s="476" t="s">
        <v>783</v>
      </c>
      <c r="F4" s="476"/>
      <c r="G4" s="476"/>
      <c r="H4" s="476"/>
      <c r="I4" s="476"/>
    </row>
    <row r="5" spans="2:9">
      <c r="B5" s="475" t="s">
        <v>1372</v>
      </c>
      <c r="C5" s="476" t="s">
        <v>787</v>
      </c>
      <c r="D5" s="476" t="s">
        <v>786</v>
      </c>
      <c r="E5" s="476" t="s">
        <v>783</v>
      </c>
      <c r="F5" s="476"/>
      <c r="G5" s="476"/>
      <c r="H5" s="476"/>
      <c r="I5" s="476"/>
    </row>
    <row r="6" spans="2:9">
      <c r="B6" s="475" t="s">
        <v>1372</v>
      </c>
      <c r="C6" s="476" t="s">
        <v>568</v>
      </c>
      <c r="D6" s="476" t="s">
        <v>559</v>
      </c>
      <c r="E6" s="476" t="s">
        <v>976</v>
      </c>
      <c r="F6" s="476"/>
      <c r="G6" s="476"/>
      <c r="H6" s="476"/>
      <c r="I6" s="476"/>
    </row>
    <row r="7" spans="2:9">
      <c r="B7" s="475" t="s">
        <v>1372</v>
      </c>
      <c r="C7" s="476" t="s">
        <v>978</v>
      </c>
      <c r="D7" s="476" t="s">
        <v>887</v>
      </c>
      <c r="E7" s="476" t="s">
        <v>976</v>
      </c>
      <c r="F7" s="476"/>
      <c r="G7" s="476"/>
      <c r="H7" s="476"/>
      <c r="I7" s="476"/>
    </row>
    <row r="8" spans="2:9">
      <c r="B8" s="475" t="s">
        <v>1372</v>
      </c>
      <c r="C8" s="476" t="s">
        <v>880</v>
      </c>
      <c r="D8" s="476" t="s">
        <v>886</v>
      </c>
      <c r="E8" s="476" t="s">
        <v>976</v>
      </c>
      <c r="F8" s="476"/>
      <c r="G8" s="476"/>
      <c r="H8" s="476"/>
      <c r="I8" s="476"/>
    </row>
    <row r="9" spans="2:9">
      <c r="B9" s="475" t="s">
        <v>1372</v>
      </c>
      <c r="C9" s="476" t="s">
        <v>879</v>
      </c>
      <c r="D9" s="476" t="s">
        <v>77</v>
      </c>
      <c r="E9" s="476" t="s">
        <v>783</v>
      </c>
      <c r="F9" s="476"/>
      <c r="G9" s="476"/>
      <c r="H9" s="476"/>
      <c r="I9" s="476"/>
    </row>
    <row r="10" spans="2:9">
      <c r="B10" s="475" t="s">
        <v>1372</v>
      </c>
      <c r="C10" s="476" t="s">
        <v>722</v>
      </c>
      <c r="D10" s="476" t="s">
        <v>790</v>
      </c>
      <c r="E10" s="476" t="s">
        <v>783</v>
      </c>
      <c r="F10" s="476"/>
      <c r="G10" s="476"/>
      <c r="H10" s="476"/>
      <c r="I10" s="476"/>
    </row>
    <row r="11" spans="2:9">
      <c r="B11" s="475" t="s">
        <v>1372</v>
      </c>
      <c r="C11" s="476" t="s">
        <v>1112</v>
      </c>
      <c r="D11" s="476" t="s">
        <v>1123</v>
      </c>
      <c r="E11" s="476" t="s">
        <v>783</v>
      </c>
      <c r="F11" s="476"/>
      <c r="G11" s="476"/>
      <c r="H11" s="476"/>
      <c r="I11" s="476"/>
    </row>
    <row r="12" spans="2:9">
      <c r="B12" s="475" t="s">
        <v>1372</v>
      </c>
      <c r="C12" s="476" t="s">
        <v>1113</v>
      </c>
      <c r="D12" s="476" t="s">
        <v>1122</v>
      </c>
      <c r="E12" s="476" t="s">
        <v>783</v>
      </c>
      <c r="F12" s="476"/>
      <c r="G12" s="476"/>
      <c r="H12" s="476"/>
      <c r="I12" s="476"/>
    </row>
    <row r="13" spans="2:9">
      <c r="B13" s="475" t="s">
        <v>1372</v>
      </c>
      <c r="C13" s="476" t="s">
        <v>1114</v>
      </c>
      <c r="D13" s="476" t="s">
        <v>1121</v>
      </c>
      <c r="E13" s="476" t="s">
        <v>783</v>
      </c>
      <c r="F13" s="476"/>
      <c r="G13" s="476"/>
      <c r="H13" s="476"/>
      <c r="I13" s="476"/>
    </row>
    <row r="14" spans="2:9">
      <c r="B14" s="475" t="s">
        <v>1372</v>
      </c>
      <c r="C14" s="476" t="s">
        <v>1115</v>
      </c>
      <c r="D14" s="476" t="s">
        <v>1120</v>
      </c>
      <c r="E14" s="476" t="s">
        <v>783</v>
      </c>
      <c r="F14" s="476"/>
      <c r="G14" s="476"/>
      <c r="H14" s="476"/>
      <c r="I14" s="476"/>
    </row>
    <row r="15" spans="2:9">
      <c r="B15" s="475" t="s">
        <v>1372</v>
      </c>
      <c r="C15" s="476" t="s">
        <v>1116</v>
      </c>
      <c r="D15" s="476" t="s">
        <v>1119</v>
      </c>
      <c r="E15" s="476" t="s">
        <v>783</v>
      </c>
      <c r="F15" s="476"/>
      <c r="G15" s="476"/>
      <c r="H15" s="476"/>
      <c r="I15" s="476"/>
    </row>
    <row r="16" spans="2:9">
      <c r="B16" s="475" t="s">
        <v>1372</v>
      </c>
      <c r="C16" s="476" t="s">
        <v>1117</v>
      </c>
      <c r="D16" s="476" t="s">
        <v>1118</v>
      </c>
      <c r="E16" s="476" t="s">
        <v>783</v>
      </c>
      <c r="F16" s="476"/>
      <c r="G16" s="476"/>
      <c r="H16" s="476"/>
      <c r="I16" s="476"/>
    </row>
    <row r="17" spans="2:9">
      <c r="B17" s="475" t="s">
        <v>1372</v>
      </c>
      <c r="C17" s="476" t="s">
        <v>21</v>
      </c>
      <c r="D17" s="476" t="s">
        <v>24</v>
      </c>
      <c r="E17" s="476" t="s">
        <v>783</v>
      </c>
      <c r="F17" s="476"/>
      <c r="G17" s="476"/>
      <c r="H17" s="476"/>
      <c r="I17" s="476"/>
    </row>
    <row r="18" spans="2:9">
      <c r="B18" s="475" t="s">
        <v>1372</v>
      </c>
      <c r="C18" s="476" t="s">
        <v>151</v>
      </c>
      <c r="D18" s="476" t="s">
        <v>150</v>
      </c>
      <c r="E18" s="476" t="s">
        <v>783</v>
      </c>
      <c r="F18" s="476"/>
      <c r="G18" s="476"/>
      <c r="H18" s="476"/>
      <c r="I18" s="476"/>
    </row>
    <row r="19" spans="2:9">
      <c r="B19" s="278" t="s">
        <v>5</v>
      </c>
      <c r="C19" s="9" t="s">
        <v>905</v>
      </c>
      <c r="D19" s="9" t="s">
        <v>701</v>
      </c>
      <c r="E19" s="9" t="s">
        <v>783</v>
      </c>
      <c r="F19" s="9"/>
      <c r="G19" s="105" t="s">
        <v>567</v>
      </c>
      <c r="H19" s="105"/>
      <c r="I19" s="105" t="s">
        <v>557</v>
      </c>
    </row>
    <row r="20" spans="2:9">
      <c r="B20" s="278" t="s">
        <v>5</v>
      </c>
      <c r="C20" s="9" t="s">
        <v>1245</v>
      </c>
      <c r="D20" s="9" t="s">
        <v>1250</v>
      </c>
      <c r="E20" s="9" t="s">
        <v>783</v>
      </c>
      <c r="F20" s="9"/>
      <c r="G20" s="105" t="s">
        <v>896</v>
      </c>
      <c r="H20" s="105"/>
      <c r="I20" s="105" t="s">
        <v>557</v>
      </c>
    </row>
    <row r="21" spans="2:9">
      <c r="B21" s="278" t="s">
        <v>5</v>
      </c>
      <c r="C21" s="9" t="s">
        <v>1246</v>
      </c>
      <c r="D21" s="9" t="s">
        <v>1254</v>
      </c>
      <c r="E21" s="9" t="s">
        <v>783</v>
      </c>
      <c r="F21" s="9"/>
      <c r="G21" s="105" t="s">
        <v>896</v>
      </c>
      <c r="H21" s="105"/>
      <c r="I21" s="105" t="s">
        <v>557</v>
      </c>
    </row>
    <row r="22" spans="2:9">
      <c r="B22" s="278" t="s">
        <v>5</v>
      </c>
      <c r="C22" s="9" t="s">
        <v>1248</v>
      </c>
      <c r="D22" s="9" t="s">
        <v>1253</v>
      </c>
      <c r="E22" s="9" t="s">
        <v>783</v>
      </c>
      <c r="F22" s="9"/>
      <c r="G22" s="105" t="s">
        <v>896</v>
      </c>
      <c r="H22" s="105"/>
      <c r="I22" s="105" t="s">
        <v>557</v>
      </c>
    </row>
    <row r="23" spans="2:9">
      <c r="B23" s="278" t="s">
        <v>5</v>
      </c>
      <c r="C23" s="9" t="s">
        <v>1247</v>
      </c>
      <c r="D23" s="9" t="s">
        <v>1252</v>
      </c>
      <c r="E23" s="9" t="s">
        <v>783</v>
      </c>
      <c r="F23" s="9"/>
      <c r="G23" s="105" t="s">
        <v>896</v>
      </c>
      <c r="H23" s="105"/>
      <c r="I23" s="105" t="s">
        <v>557</v>
      </c>
    </row>
    <row r="24" spans="2:9">
      <c r="B24" s="278" t="s">
        <v>5</v>
      </c>
      <c r="C24" s="9" t="s">
        <v>1249</v>
      </c>
      <c r="D24" s="9" t="s">
        <v>1251</v>
      </c>
      <c r="E24" s="9" t="s">
        <v>783</v>
      </c>
      <c r="F24" s="9"/>
      <c r="G24" s="105" t="s">
        <v>896</v>
      </c>
      <c r="H24" s="105"/>
      <c r="I24" s="105" t="s">
        <v>557</v>
      </c>
    </row>
    <row r="25" spans="2:9">
      <c r="B25" s="278" t="s">
        <v>5</v>
      </c>
      <c r="C25" s="9" t="s">
        <v>1349</v>
      </c>
      <c r="D25" s="9" t="s">
        <v>1350</v>
      </c>
      <c r="E25" s="9" t="s">
        <v>783</v>
      </c>
      <c r="F25" s="9"/>
      <c r="G25" s="105" t="s">
        <v>896</v>
      </c>
      <c r="H25" s="105"/>
      <c r="I25" s="105" t="s">
        <v>557</v>
      </c>
    </row>
    <row r="26" spans="2:9">
      <c r="B26" s="278" t="s">
        <v>5</v>
      </c>
      <c r="C26" s="9" t="s">
        <v>1351</v>
      </c>
      <c r="D26" s="9" t="s">
        <v>1352</v>
      </c>
      <c r="E26" s="9" t="s">
        <v>783</v>
      </c>
      <c r="F26" s="9"/>
      <c r="G26" s="105" t="s">
        <v>896</v>
      </c>
      <c r="H26" s="105"/>
      <c r="I26" s="105" t="s">
        <v>557</v>
      </c>
    </row>
    <row r="27" spans="2:9">
      <c r="B27" s="278" t="s">
        <v>5</v>
      </c>
      <c r="C27" s="9" t="s">
        <v>912</v>
      </c>
      <c r="D27" s="9" t="s">
        <v>124</v>
      </c>
      <c r="E27" s="9" t="s">
        <v>783</v>
      </c>
      <c r="F27" s="9"/>
      <c r="G27" s="9"/>
      <c r="H27" s="9"/>
      <c r="I27" s="9"/>
    </row>
    <row r="28" spans="2:9">
      <c r="B28" s="278" t="s">
        <v>5</v>
      </c>
      <c r="C28" s="9" t="s">
        <v>911</v>
      </c>
      <c r="D28" s="9" t="s">
        <v>122</v>
      </c>
      <c r="E28" s="9" t="s">
        <v>783</v>
      </c>
      <c r="F28" s="9"/>
      <c r="G28" s="9"/>
      <c r="H28" s="9"/>
      <c r="I28" s="9"/>
    </row>
    <row r="29" spans="2:9">
      <c r="B29" s="278" t="s">
        <v>5</v>
      </c>
      <c r="C29" s="9" t="s">
        <v>36</v>
      </c>
      <c r="D29" s="9" t="s">
        <v>41</v>
      </c>
      <c r="E29" s="9" t="s">
        <v>783</v>
      </c>
      <c r="F29" s="9"/>
      <c r="G29" s="9"/>
      <c r="H29" s="9"/>
      <c r="I29" s="9"/>
    </row>
    <row r="30" spans="2:9">
      <c r="B30" s="278" t="s">
        <v>5</v>
      </c>
      <c r="C30" s="9" t="s">
        <v>906</v>
      </c>
      <c r="D30" s="9" t="s">
        <v>99</v>
      </c>
      <c r="E30" s="9" t="s">
        <v>783</v>
      </c>
      <c r="F30" s="9"/>
      <c r="G30" s="9"/>
      <c r="H30" s="9"/>
      <c r="I30" s="9"/>
    </row>
    <row r="31" spans="2:9">
      <c r="B31" s="278" t="s">
        <v>5</v>
      </c>
      <c r="C31" s="9" t="s">
        <v>35</v>
      </c>
      <c r="D31" s="9" t="s">
        <v>40</v>
      </c>
      <c r="E31" s="9" t="s">
        <v>783</v>
      </c>
      <c r="F31" s="9"/>
      <c r="G31" s="9"/>
      <c r="H31" s="9"/>
      <c r="I31" s="9"/>
    </row>
    <row r="32" spans="2:9">
      <c r="B32" s="278" t="s">
        <v>5</v>
      </c>
      <c r="C32" s="9" t="s">
        <v>1150</v>
      </c>
      <c r="D32" s="9" t="s">
        <v>1472</v>
      </c>
      <c r="E32" s="9" t="s">
        <v>783</v>
      </c>
      <c r="F32" s="9"/>
      <c r="G32" s="9"/>
      <c r="H32" s="9"/>
      <c r="I32" s="9"/>
    </row>
    <row r="33" spans="2:9">
      <c r="B33" s="278" t="s">
        <v>5</v>
      </c>
      <c r="C33" s="9" t="s">
        <v>37</v>
      </c>
      <c r="D33" s="9" t="s">
        <v>42</v>
      </c>
      <c r="E33" s="9" t="s">
        <v>783</v>
      </c>
      <c r="F33" s="9"/>
      <c r="G33" s="9"/>
      <c r="H33" s="9"/>
      <c r="I33" s="9"/>
    </row>
    <row r="34" spans="2:9">
      <c r="B34" s="278" t="s">
        <v>5</v>
      </c>
      <c r="C34" s="9" t="s">
        <v>38</v>
      </c>
      <c r="D34" s="9" t="s">
        <v>43</v>
      </c>
      <c r="E34" s="9" t="s">
        <v>783</v>
      </c>
      <c r="F34" s="9"/>
      <c r="G34" s="9"/>
      <c r="H34" s="9"/>
      <c r="I34" s="9"/>
    </row>
    <row r="35" spans="2:9">
      <c r="B35" s="278" t="s">
        <v>5</v>
      </c>
      <c r="C35" s="9" t="s">
        <v>1365</v>
      </c>
      <c r="D35" s="9" t="s">
        <v>1371</v>
      </c>
      <c r="E35" s="9" t="s">
        <v>783</v>
      </c>
      <c r="F35" s="9"/>
      <c r="G35" s="9"/>
      <c r="H35" s="9"/>
      <c r="I35" s="9"/>
    </row>
    <row r="36" spans="2:9">
      <c r="B36" s="278" t="s">
        <v>5</v>
      </c>
      <c r="C36" s="9" t="s">
        <v>914</v>
      </c>
      <c r="D36" s="9" t="s">
        <v>665</v>
      </c>
      <c r="E36" s="9" t="s">
        <v>783</v>
      </c>
      <c r="F36" s="9"/>
      <c r="G36" s="9"/>
      <c r="H36" s="9"/>
      <c r="I36" s="9"/>
    </row>
    <row r="37" spans="2:9">
      <c r="B37" s="278" t="s">
        <v>5</v>
      </c>
      <c r="C37" s="9" t="s">
        <v>913</v>
      </c>
      <c r="D37" s="9" t="s">
        <v>141</v>
      </c>
      <c r="E37" s="9" t="s">
        <v>783</v>
      </c>
      <c r="F37" s="9"/>
      <c r="G37" s="9"/>
      <c r="H37" s="9"/>
      <c r="I37" s="9"/>
    </row>
    <row r="38" spans="2:9">
      <c r="B38" s="278" t="s">
        <v>5</v>
      </c>
      <c r="C38" s="9" t="s">
        <v>907</v>
      </c>
      <c r="D38" s="9" t="s">
        <v>101</v>
      </c>
      <c r="E38" s="9" t="s">
        <v>783</v>
      </c>
      <c r="F38" s="9"/>
      <c r="G38" s="9"/>
      <c r="H38" s="9"/>
      <c r="I38" s="9"/>
    </row>
    <row r="39" spans="2:9">
      <c r="B39" s="278" t="s">
        <v>5</v>
      </c>
      <c r="C39" s="9" t="s">
        <v>915</v>
      </c>
      <c r="D39" s="9" t="s">
        <v>667</v>
      </c>
      <c r="E39" s="9" t="s">
        <v>783</v>
      </c>
      <c r="F39" s="9"/>
      <c r="G39" s="9"/>
      <c r="H39" s="9"/>
      <c r="I39" s="9"/>
    </row>
    <row r="40" spans="2:9">
      <c r="B40" s="278" t="s">
        <v>5</v>
      </c>
      <c r="C40" s="9" t="s">
        <v>908</v>
      </c>
      <c r="D40" s="9" t="s">
        <v>103</v>
      </c>
      <c r="E40" s="9" t="s">
        <v>783</v>
      </c>
      <c r="F40" s="9"/>
      <c r="G40" s="9"/>
      <c r="H40" s="9"/>
      <c r="I40" s="9"/>
    </row>
    <row r="41" spans="2:9">
      <c r="B41" s="278" t="s">
        <v>5</v>
      </c>
      <c r="C41" s="9" t="s">
        <v>826</v>
      </c>
      <c r="D41" s="9" t="s">
        <v>143</v>
      </c>
      <c r="E41" s="9" t="s">
        <v>783</v>
      </c>
      <c r="F41" s="9"/>
      <c r="G41" s="9"/>
      <c r="H41" s="9"/>
      <c r="I41" s="9"/>
    </row>
    <row r="42" spans="2:9">
      <c r="B42" s="278" t="s">
        <v>5</v>
      </c>
      <c r="C42" s="9" t="s">
        <v>916</v>
      </c>
      <c r="D42" s="9" t="s">
        <v>669</v>
      </c>
      <c r="E42" s="9" t="s">
        <v>783</v>
      </c>
      <c r="F42" s="9"/>
      <c r="G42" s="9"/>
      <c r="H42" s="9"/>
      <c r="I42" s="9"/>
    </row>
    <row r="43" spans="2:9">
      <c r="B43" s="278" t="s">
        <v>5</v>
      </c>
      <c r="C43" s="9" t="s">
        <v>909</v>
      </c>
      <c r="D43" s="9" t="s">
        <v>105</v>
      </c>
      <c r="E43" s="9" t="s">
        <v>783</v>
      </c>
      <c r="F43" s="9"/>
      <c r="G43" s="9"/>
      <c r="H43" s="9"/>
      <c r="I43" s="9"/>
    </row>
    <row r="44" spans="2:9">
      <c r="B44" s="278" t="s">
        <v>5</v>
      </c>
      <c r="C44" s="9" t="s">
        <v>910</v>
      </c>
      <c r="D44" s="9" t="s">
        <v>120</v>
      </c>
      <c r="E44" s="9" t="s">
        <v>783</v>
      </c>
      <c r="F44" s="9"/>
      <c r="G44" s="9"/>
      <c r="H44" s="9"/>
      <c r="I44" s="9"/>
    </row>
    <row r="45" spans="2:9">
      <c r="B45" s="278" t="s">
        <v>5</v>
      </c>
      <c r="C45" s="9" t="s">
        <v>1502</v>
      </c>
      <c r="D45" s="9" t="s">
        <v>1505</v>
      </c>
      <c r="E45" s="9" t="s">
        <v>783</v>
      </c>
      <c r="F45" s="9"/>
      <c r="G45" s="9"/>
      <c r="H45" s="9"/>
      <c r="I45" s="9"/>
    </row>
    <row r="46" spans="2:9">
      <c r="B46" s="278" t="s">
        <v>5</v>
      </c>
      <c r="C46" s="9" t="s">
        <v>1511</v>
      </c>
      <c r="D46" s="9" t="s">
        <v>1512</v>
      </c>
      <c r="E46" s="9" t="s">
        <v>783</v>
      </c>
      <c r="F46" s="304" t="s">
        <v>1236</v>
      </c>
      <c r="G46" s="9"/>
      <c r="H46" s="9"/>
      <c r="I46" s="9"/>
    </row>
    <row r="47" spans="2:9">
      <c r="B47" s="278" t="s">
        <v>5</v>
      </c>
      <c r="C47" s="9" t="s">
        <v>1513</v>
      </c>
      <c r="D47" s="9" t="s">
        <v>1514</v>
      </c>
      <c r="E47" s="9" t="s">
        <v>783</v>
      </c>
      <c r="F47" s="304" t="s">
        <v>1236</v>
      </c>
      <c r="G47" s="9"/>
      <c r="H47" s="9"/>
      <c r="I47" s="9"/>
    </row>
    <row r="48" spans="2:9">
      <c r="B48" s="278" t="s">
        <v>5</v>
      </c>
      <c r="C48" s="9" t="s">
        <v>84</v>
      </c>
      <c r="D48" s="9" t="s">
        <v>1460</v>
      </c>
      <c r="E48" s="9" t="s">
        <v>783</v>
      </c>
      <c r="F48" s="9"/>
      <c r="G48" s="9"/>
      <c r="H48" s="9"/>
      <c r="I48" s="9"/>
    </row>
    <row r="49" spans="2:9">
      <c r="B49" s="278" t="s">
        <v>5</v>
      </c>
      <c r="C49" s="9" t="s">
        <v>646</v>
      </c>
      <c r="D49" s="9" t="s">
        <v>1465</v>
      </c>
      <c r="E49" s="9" t="s">
        <v>783</v>
      </c>
      <c r="F49" s="9"/>
      <c r="G49" s="9"/>
      <c r="H49" s="9"/>
      <c r="I49" s="9"/>
    </row>
    <row r="50" spans="2:9">
      <c r="B50" s="278" t="s">
        <v>5</v>
      </c>
      <c r="C50" s="9" t="s">
        <v>982</v>
      </c>
      <c r="D50" s="9" t="s">
        <v>1464</v>
      </c>
      <c r="E50" s="9" t="s">
        <v>783</v>
      </c>
      <c r="F50" s="304" t="s">
        <v>440</v>
      </c>
      <c r="G50" s="9"/>
      <c r="H50" s="9"/>
      <c r="I50" s="9"/>
    </row>
    <row r="51" spans="2:9">
      <c r="B51" s="278" t="s">
        <v>5</v>
      </c>
      <c r="C51" s="9" t="s">
        <v>864</v>
      </c>
      <c r="D51" s="9" t="s">
        <v>1463</v>
      </c>
      <c r="E51" s="9" t="s">
        <v>783</v>
      </c>
      <c r="F51" s="9"/>
      <c r="G51" s="9"/>
      <c r="H51" s="9"/>
      <c r="I51" s="9"/>
    </row>
    <row r="52" spans="2:9">
      <c r="B52" s="278" t="s">
        <v>5</v>
      </c>
      <c r="C52" s="9" t="s">
        <v>654</v>
      </c>
      <c r="D52" s="9" t="s">
        <v>1462</v>
      </c>
      <c r="E52" s="9" t="s">
        <v>783</v>
      </c>
      <c r="F52" s="9"/>
      <c r="G52" s="9"/>
      <c r="H52" s="9"/>
      <c r="I52" s="9"/>
    </row>
    <row r="53" spans="2:9">
      <c r="B53" s="278" t="s">
        <v>5</v>
      </c>
      <c r="C53" s="9" t="s">
        <v>61</v>
      </c>
      <c r="D53" s="9" t="s">
        <v>1461</v>
      </c>
      <c r="E53" s="9" t="s">
        <v>783</v>
      </c>
      <c r="F53" s="9"/>
      <c r="G53" s="9"/>
      <c r="H53" s="9"/>
      <c r="I53" s="9"/>
    </row>
    <row r="54" spans="2:9">
      <c r="B54" s="278" t="s">
        <v>5</v>
      </c>
      <c r="C54" s="9" t="s">
        <v>572</v>
      </c>
      <c r="D54" s="9" t="s">
        <v>1471</v>
      </c>
      <c r="E54" s="9" t="s">
        <v>783</v>
      </c>
      <c r="F54" s="9"/>
      <c r="G54" s="9"/>
      <c r="H54" s="9"/>
      <c r="I54" s="9"/>
    </row>
    <row r="55" spans="2:9">
      <c r="B55" s="278" t="s">
        <v>5</v>
      </c>
      <c r="C55" s="9" t="s">
        <v>579</v>
      </c>
      <c r="D55" s="9" t="s">
        <v>1470</v>
      </c>
      <c r="E55" s="9" t="s">
        <v>783</v>
      </c>
      <c r="F55" s="9"/>
      <c r="G55" s="9"/>
      <c r="H55" s="9"/>
      <c r="I55" s="9"/>
    </row>
    <row r="56" spans="2:9">
      <c r="B56" s="278" t="s">
        <v>5</v>
      </c>
      <c r="C56" s="9" t="s">
        <v>981</v>
      </c>
      <c r="D56" s="9" t="s">
        <v>1469</v>
      </c>
      <c r="E56" s="9" t="s">
        <v>783</v>
      </c>
      <c r="F56" s="9"/>
      <c r="G56" s="9"/>
      <c r="H56" s="9"/>
      <c r="I56" s="9"/>
    </row>
    <row r="57" spans="2:9">
      <c r="B57" s="278" t="s">
        <v>5</v>
      </c>
      <c r="C57" s="9" t="s">
        <v>862</v>
      </c>
      <c r="D57" s="9" t="s">
        <v>1468</v>
      </c>
      <c r="E57" s="9" t="s">
        <v>783</v>
      </c>
      <c r="F57" s="9"/>
      <c r="G57" s="9"/>
      <c r="H57" s="9"/>
      <c r="I57" s="9"/>
    </row>
    <row r="58" spans="2:9">
      <c r="B58" s="278" t="s">
        <v>5</v>
      </c>
      <c r="C58" s="9" t="s">
        <v>653</v>
      </c>
      <c r="D58" s="9" t="s">
        <v>1467</v>
      </c>
      <c r="E58" s="9" t="s">
        <v>783</v>
      </c>
      <c r="F58" s="9"/>
      <c r="G58" s="9"/>
      <c r="H58" s="9"/>
      <c r="I58" s="9"/>
    </row>
    <row r="59" spans="2:9">
      <c r="B59" s="278" t="s">
        <v>5</v>
      </c>
      <c r="C59" s="9" t="s">
        <v>60</v>
      </c>
      <c r="D59" s="9" t="s">
        <v>1466</v>
      </c>
      <c r="E59" s="9" t="s">
        <v>783</v>
      </c>
      <c r="F59" s="9"/>
      <c r="G59" s="9"/>
      <c r="H59" s="9"/>
      <c r="I59" s="9"/>
    </row>
    <row r="60" spans="2:9">
      <c r="B60" s="278" t="s">
        <v>5</v>
      </c>
      <c r="C60" s="9" t="s">
        <v>576</v>
      </c>
      <c r="D60" s="9" t="s">
        <v>1478</v>
      </c>
      <c r="E60" s="9" t="s">
        <v>783</v>
      </c>
      <c r="F60" s="9"/>
      <c r="G60" s="9"/>
      <c r="H60" s="9"/>
      <c r="I60" s="9"/>
    </row>
    <row r="61" spans="2:9">
      <c r="B61" s="278" t="s">
        <v>5</v>
      </c>
      <c r="C61" s="9" t="s">
        <v>580</v>
      </c>
      <c r="D61" s="9" t="s">
        <v>1477</v>
      </c>
      <c r="E61" s="9" t="s">
        <v>783</v>
      </c>
      <c r="F61" s="9"/>
      <c r="G61" s="9"/>
      <c r="H61" s="9"/>
      <c r="I61" s="9"/>
    </row>
    <row r="62" spans="2:9">
      <c r="B62" s="278" t="s">
        <v>5</v>
      </c>
      <c r="C62" s="9" t="s">
        <v>983</v>
      </c>
      <c r="D62" s="9" t="s">
        <v>1476</v>
      </c>
      <c r="E62" s="9" t="s">
        <v>783</v>
      </c>
      <c r="F62" s="9"/>
      <c r="G62" s="9"/>
      <c r="H62" s="9"/>
      <c r="I62" s="9"/>
    </row>
    <row r="63" spans="2:9">
      <c r="B63" s="278" t="s">
        <v>5</v>
      </c>
      <c r="C63" s="9" t="s">
        <v>863</v>
      </c>
      <c r="D63" s="9" t="s">
        <v>1475</v>
      </c>
      <c r="E63" s="9" t="s">
        <v>783</v>
      </c>
      <c r="F63" s="9"/>
      <c r="G63" s="9"/>
      <c r="H63" s="9"/>
      <c r="I63" s="9"/>
    </row>
    <row r="64" spans="2:9">
      <c r="B64" s="278" t="s">
        <v>5</v>
      </c>
      <c r="C64" s="9" t="s">
        <v>987</v>
      </c>
      <c r="D64" s="9" t="s">
        <v>1474</v>
      </c>
      <c r="E64" s="9" t="s">
        <v>783</v>
      </c>
      <c r="F64" s="9"/>
      <c r="G64" s="9"/>
      <c r="H64" s="9"/>
      <c r="I64" s="9"/>
    </row>
    <row r="65" spans="2:9">
      <c r="B65" s="278" t="s">
        <v>5</v>
      </c>
      <c r="C65" s="9" t="s">
        <v>75</v>
      </c>
      <c r="D65" s="9" t="s">
        <v>1473</v>
      </c>
      <c r="E65" s="9" t="s">
        <v>783</v>
      </c>
      <c r="F65" s="9"/>
      <c r="G65" s="9"/>
      <c r="H65" s="9"/>
      <c r="I65" s="9"/>
    </row>
    <row r="66" spans="2:9">
      <c r="B66" s="278" t="s">
        <v>5</v>
      </c>
      <c r="C66" s="9" t="s">
        <v>571</v>
      </c>
      <c r="D66" s="9" t="s">
        <v>1484</v>
      </c>
      <c r="E66" s="9" t="s">
        <v>783</v>
      </c>
      <c r="F66" s="9"/>
      <c r="G66" s="9"/>
      <c r="H66" s="9"/>
      <c r="I66" s="9"/>
    </row>
    <row r="67" spans="2:9">
      <c r="B67" s="278" t="s">
        <v>5</v>
      </c>
      <c r="C67" s="9" t="s">
        <v>578</v>
      </c>
      <c r="D67" s="9" t="s">
        <v>1483</v>
      </c>
      <c r="E67" s="9" t="s">
        <v>783</v>
      </c>
      <c r="F67" s="9"/>
      <c r="G67" s="9"/>
      <c r="H67" s="9"/>
      <c r="I67" s="9"/>
    </row>
    <row r="68" spans="2:9">
      <c r="B68" s="278" t="s">
        <v>5</v>
      </c>
      <c r="C68" s="9" t="s">
        <v>980</v>
      </c>
      <c r="D68" s="9" t="s">
        <v>1482</v>
      </c>
      <c r="E68" s="9" t="s">
        <v>783</v>
      </c>
      <c r="F68" s="9"/>
      <c r="G68" s="9"/>
      <c r="H68" s="9"/>
      <c r="I68" s="9"/>
    </row>
    <row r="69" spans="2:9">
      <c r="B69" s="278" t="s">
        <v>5</v>
      </c>
      <c r="C69" s="9" t="s">
        <v>861</v>
      </c>
      <c r="D69" s="9" t="s">
        <v>1481</v>
      </c>
      <c r="E69" s="9" t="s">
        <v>783</v>
      </c>
      <c r="F69" s="9"/>
      <c r="G69" s="9"/>
      <c r="H69" s="9"/>
      <c r="I69" s="9"/>
    </row>
    <row r="70" spans="2:9">
      <c r="B70" s="278" t="s">
        <v>5</v>
      </c>
      <c r="C70" s="9" t="s">
        <v>850</v>
      </c>
      <c r="D70" s="9" t="s">
        <v>1480</v>
      </c>
      <c r="E70" s="9" t="s">
        <v>783</v>
      </c>
      <c r="F70" s="9"/>
      <c r="G70" s="9"/>
      <c r="H70" s="9"/>
      <c r="I70" s="9"/>
    </row>
    <row r="71" spans="2:9">
      <c r="B71" s="278" t="s">
        <v>5</v>
      </c>
      <c r="C71" s="9" t="s">
        <v>57</v>
      </c>
      <c r="D71" s="9" t="s">
        <v>1479</v>
      </c>
      <c r="E71" s="9" t="s">
        <v>783</v>
      </c>
      <c r="F71" s="9"/>
      <c r="G71" s="9"/>
      <c r="H71" s="9"/>
      <c r="I71" s="9"/>
    </row>
    <row r="72" spans="2:9">
      <c r="B72" s="278" t="s">
        <v>5</v>
      </c>
      <c r="C72" s="9" t="s">
        <v>1332</v>
      </c>
      <c r="D72" s="9" t="s">
        <v>1496</v>
      </c>
      <c r="E72" s="9" t="s">
        <v>783</v>
      </c>
      <c r="F72" s="9"/>
      <c r="G72" s="9"/>
      <c r="H72" s="9"/>
      <c r="I72" s="9"/>
    </row>
    <row r="73" spans="2:9">
      <c r="B73" s="278" t="s">
        <v>5</v>
      </c>
      <c r="C73" s="9" t="s">
        <v>917</v>
      </c>
      <c r="D73" s="9" t="s">
        <v>671</v>
      </c>
      <c r="E73" s="9" t="s">
        <v>783</v>
      </c>
      <c r="F73" s="9"/>
      <c r="G73" s="9"/>
      <c r="H73" s="9"/>
      <c r="I73" s="9"/>
    </row>
    <row r="74" spans="2:9">
      <c r="B74" s="278" t="s">
        <v>5</v>
      </c>
      <c r="C74" s="9" t="s">
        <v>1292</v>
      </c>
      <c r="D74" s="9" t="s">
        <v>1293</v>
      </c>
      <c r="E74" s="9" t="s">
        <v>783</v>
      </c>
      <c r="F74" s="9"/>
      <c r="G74" s="9"/>
      <c r="H74" s="9"/>
      <c r="I74" s="9"/>
    </row>
    <row r="75" spans="2:9">
      <c r="B75" s="278" t="s">
        <v>5</v>
      </c>
      <c r="C75" s="9" t="s">
        <v>1455</v>
      </c>
      <c r="D75" s="9" t="s">
        <v>1457</v>
      </c>
      <c r="E75" s="9" t="s">
        <v>783</v>
      </c>
      <c r="F75" s="9"/>
      <c r="G75" s="9"/>
      <c r="H75" s="9"/>
      <c r="I75" s="9"/>
    </row>
    <row r="76" spans="2:9">
      <c r="B76" s="278" t="s">
        <v>5</v>
      </c>
      <c r="C76" s="9" t="s">
        <v>655</v>
      </c>
      <c r="D76" s="9" t="s">
        <v>662</v>
      </c>
      <c r="E76" s="9" t="s">
        <v>783</v>
      </c>
      <c r="F76" s="9"/>
      <c r="G76" s="9"/>
      <c r="H76" s="9"/>
      <c r="I76" s="9"/>
    </row>
    <row r="77" spans="2:9">
      <c r="B77" s="278" t="s">
        <v>5</v>
      </c>
      <c r="C77" s="52" t="s">
        <v>1164</v>
      </c>
      <c r="D77" s="9" t="s">
        <v>1172</v>
      </c>
      <c r="E77" s="9" t="s">
        <v>783</v>
      </c>
      <c r="F77" s="9"/>
      <c r="G77" s="9" t="s">
        <v>896</v>
      </c>
      <c r="H77" s="9"/>
      <c r="I77" s="9"/>
    </row>
    <row r="78" spans="2:9">
      <c r="B78" s="278" t="s">
        <v>5</v>
      </c>
      <c r="C78" s="52" t="s">
        <v>1358</v>
      </c>
      <c r="D78" s="9" t="s">
        <v>1359</v>
      </c>
      <c r="E78" s="9" t="s">
        <v>783</v>
      </c>
      <c r="F78" s="9"/>
      <c r="G78" s="9" t="s">
        <v>896</v>
      </c>
      <c r="H78" s="9"/>
      <c r="I78" s="9"/>
    </row>
    <row r="79" spans="2:9">
      <c r="B79" s="278" t="s">
        <v>5</v>
      </c>
      <c r="C79" s="9" t="s">
        <v>950</v>
      </c>
      <c r="D79" s="9" t="s">
        <v>673</v>
      </c>
      <c r="E79" s="9" t="s">
        <v>783</v>
      </c>
      <c r="F79" s="9"/>
      <c r="G79" s="9"/>
      <c r="H79" s="9"/>
      <c r="I79" s="9"/>
    </row>
    <row r="80" spans="2:9">
      <c r="B80" s="278" t="s">
        <v>5</v>
      </c>
      <c r="C80" s="9" t="s">
        <v>946</v>
      </c>
      <c r="D80" s="9" t="s">
        <v>703</v>
      </c>
      <c r="E80" s="9" t="s">
        <v>783</v>
      </c>
      <c r="F80" s="9"/>
      <c r="G80" s="289" t="s">
        <v>1239</v>
      </c>
      <c r="H80" s="289"/>
      <c r="I80" s="289" t="s">
        <v>995</v>
      </c>
    </row>
    <row r="81" spans="2:9">
      <c r="B81" s="278" t="s">
        <v>5</v>
      </c>
      <c r="C81" s="9" t="s">
        <v>728</v>
      </c>
      <c r="D81" s="9" t="s">
        <v>994</v>
      </c>
      <c r="E81" s="9" t="s">
        <v>783</v>
      </c>
      <c r="F81" s="9"/>
      <c r="G81" s="289" t="s">
        <v>1239</v>
      </c>
      <c r="H81" s="289"/>
      <c r="I81" s="289" t="s">
        <v>995</v>
      </c>
    </row>
    <row r="82" spans="2:9">
      <c r="B82" s="278" t="s">
        <v>5</v>
      </c>
      <c r="C82" s="9" t="s">
        <v>993</v>
      </c>
      <c r="D82" s="9" t="s">
        <v>1492</v>
      </c>
      <c r="E82" s="9" t="s">
        <v>783</v>
      </c>
      <c r="F82" s="9"/>
      <c r="G82" s="289" t="s">
        <v>896</v>
      </c>
      <c r="H82" s="289"/>
      <c r="I82" s="289" t="s">
        <v>824</v>
      </c>
    </row>
    <row r="83" spans="2:9">
      <c r="B83" s="278" t="s">
        <v>5</v>
      </c>
      <c r="C83" s="9" t="s">
        <v>570</v>
      </c>
      <c r="D83" s="9" t="s">
        <v>1485</v>
      </c>
      <c r="E83" s="9" t="s">
        <v>783</v>
      </c>
      <c r="F83" s="9"/>
      <c r="G83" s="289" t="s">
        <v>1239</v>
      </c>
      <c r="H83" s="289"/>
      <c r="I83" s="289" t="s">
        <v>995</v>
      </c>
    </row>
    <row r="84" spans="2:9">
      <c r="B84" s="278" t="s">
        <v>5</v>
      </c>
      <c r="C84" s="9" t="s">
        <v>577</v>
      </c>
      <c r="D84" s="9" t="s">
        <v>1491</v>
      </c>
      <c r="E84" s="9" t="s">
        <v>783</v>
      </c>
      <c r="F84" s="9"/>
      <c r="G84" s="289" t="s">
        <v>1239</v>
      </c>
      <c r="H84" s="289"/>
      <c r="I84" s="289" t="s">
        <v>995</v>
      </c>
    </row>
    <row r="85" spans="2:9">
      <c r="B85" s="278" t="s">
        <v>5</v>
      </c>
      <c r="C85" s="9" t="s">
        <v>979</v>
      </c>
      <c r="D85" s="9" t="s">
        <v>1487</v>
      </c>
      <c r="E85" s="9" t="s">
        <v>783</v>
      </c>
      <c r="F85" s="9"/>
      <c r="G85" s="289" t="s">
        <v>1239</v>
      </c>
      <c r="H85" s="289"/>
      <c r="I85" s="289" t="s">
        <v>995</v>
      </c>
    </row>
    <row r="86" spans="2:9">
      <c r="B86" s="278" t="s">
        <v>5</v>
      </c>
      <c r="C86" s="9" t="s">
        <v>859</v>
      </c>
      <c r="D86" s="9" t="s">
        <v>1488</v>
      </c>
      <c r="E86" s="9" t="s">
        <v>783</v>
      </c>
      <c r="F86" s="9"/>
      <c r="G86" s="289" t="s">
        <v>1239</v>
      </c>
      <c r="H86" s="289"/>
      <c r="I86" s="289" t="s">
        <v>995</v>
      </c>
    </row>
    <row r="87" spans="2:9">
      <c r="B87" s="278" t="s">
        <v>5</v>
      </c>
      <c r="C87" s="9" t="s">
        <v>92</v>
      </c>
      <c r="D87" s="9" t="s">
        <v>1489</v>
      </c>
      <c r="E87" s="9" t="s">
        <v>783</v>
      </c>
      <c r="F87" s="9"/>
      <c r="G87" s="289" t="s">
        <v>1239</v>
      </c>
      <c r="H87" s="289"/>
      <c r="I87" s="289" t="s">
        <v>995</v>
      </c>
    </row>
    <row r="88" spans="2:9">
      <c r="B88" s="278" t="s">
        <v>5</v>
      </c>
      <c r="C88" s="9" t="s">
        <v>48</v>
      </c>
      <c r="D88" s="9" t="s">
        <v>1490</v>
      </c>
      <c r="E88" s="9" t="s">
        <v>783</v>
      </c>
      <c r="F88" s="9"/>
      <c r="G88" s="289" t="s">
        <v>1239</v>
      </c>
      <c r="H88" s="289"/>
      <c r="I88" s="289" t="s">
        <v>995</v>
      </c>
    </row>
    <row r="89" spans="2:9">
      <c r="B89" s="278" t="s">
        <v>5</v>
      </c>
      <c r="C89" s="9" t="s">
        <v>1280</v>
      </c>
      <c r="D89" s="9" t="s">
        <v>1486</v>
      </c>
      <c r="E89" s="9" t="s">
        <v>783</v>
      </c>
      <c r="F89" s="9"/>
      <c r="G89" s="289" t="s">
        <v>896</v>
      </c>
      <c r="H89" s="289"/>
      <c r="I89" s="289" t="s">
        <v>995</v>
      </c>
    </row>
    <row r="90" spans="2:9">
      <c r="B90" s="278" t="s">
        <v>5</v>
      </c>
      <c r="C90" s="52" t="s">
        <v>462</v>
      </c>
      <c r="D90" s="9" t="s">
        <v>179</v>
      </c>
      <c r="E90" s="9" t="s">
        <v>783</v>
      </c>
      <c r="F90" s="9"/>
      <c r="G90" s="9" t="s">
        <v>896</v>
      </c>
      <c r="H90" s="9"/>
      <c r="I90" s="9"/>
    </row>
    <row r="91" spans="2:9">
      <c r="B91" s="278" t="s">
        <v>5</v>
      </c>
      <c r="C91" s="82" t="s">
        <v>847</v>
      </c>
      <c r="D91" s="9" t="s">
        <v>706</v>
      </c>
      <c r="E91" s="9" t="s">
        <v>783</v>
      </c>
      <c r="F91" s="9"/>
      <c r="G91" s="9"/>
      <c r="H91" s="9"/>
      <c r="I91" s="9"/>
    </row>
    <row r="92" spans="2:9">
      <c r="B92" s="278" t="s">
        <v>5</v>
      </c>
      <c r="C92" s="52" t="s">
        <v>1315</v>
      </c>
      <c r="D92" s="9" t="s">
        <v>1316</v>
      </c>
      <c r="E92" s="9" t="s">
        <v>783</v>
      </c>
      <c r="F92" s="9"/>
      <c r="G92" s="9"/>
      <c r="H92" s="9"/>
      <c r="I92" s="9"/>
    </row>
    <row r="93" spans="2:9">
      <c r="B93" s="278" t="s">
        <v>5</v>
      </c>
      <c r="C93" s="52" t="s">
        <v>1281</v>
      </c>
      <c r="D93" s="9" t="s">
        <v>1282</v>
      </c>
      <c r="E93" s="9" t="s">
        <v>783</v>
      </c>
      <c r="F93" s="9"/>
      <c r="G93" s="9"/>
      <c r="H93" s="9"/>
      <c r="I93" s="9"/>
    </row>
    <row r="94" spans="2:9">
      <c r="B94" s="278" t="s">
        <v>5</v>
      </c>
      <c r="C94" s="52" t="s">
        <v>606</v>
      </c>
      <c r="D94" s="9" t="s">
        <v>1243</v>
      </c>
      <c r="E94" s="9" t="s">
        <v>783</v>
      </c>
      <c r="F94" s="9"/>
      <c r="G94" s="9"/>
      <c r="H94" s="9"/>
      <c r="I94" s="9"/>
    </row>
    <row r="95" spans="2:9">
      <c r="B95" s="278" t="s">
        <v>5</v>
      </c>
      <c r="C95" s="52" t="s">
        <v>528</v>
      </c>
      <c r="D95" s="9" t="s">
        <v>529</v>
      </c>
      <c r="E95" s="9" t="s">
        <v>783</v>
      </c>
      <c r="F95" s="9"/>
      <c r="G95" s="9"/>
      <c r="H95" s="9"/>
      <c r="I95" s="9"/>
    </row>
    <row r="96" spans="2:9">
      <c r="B96" s="278" t="s">
        <v>5</v>
      </c>
      <c r="C96" s="52" t="s">
        <v>1229</v>
      </c>
      <c r="D96" s="9" t="s">
        <v>1344</v>
      </c>
      <c r="E96" s="9" t="s">
        <v>783</v>
      </c>
      <c r="F96" s="9"/>
      <c r="G96" s="9"/>
      <c r="H96" s="9"/>
      <c r="I96" s="9"/>
    </row>
    <row r="97" spans="2:9">
      <c r="B97" s="278" t="s">
        <v>5</v>
      </c>
      <c r="C97" s="52" t="s">
        <v>607</v>
      </c>
      <c r="D97" s="9" t="s">
        <v>1171</v>
      </c>
      <c r="E97" s="9" t="s">
        <v>783</v>
      </c>
      <c r="F97" s="9"/>
      <c r="G97" s="9"/>
      <c r="H97" s="9"/>
      <c r="I97" s="9"/>
    </row>
    <row r="98" spans="2:9">
      <c r="B98" s="278" t="s">
        <v>5</v>
      </c>
      <c r="C98" s="52" t="s">
        <v>952</v>
      </c>
      <c r="D98" s="144" t="s">
        <v>707</v>
      </c>
      <c r="E98" s="9" t="s">
        <v>783</v>
      </c>
      <c r="F98" s="9"/>
      <c r="G98" s="9"/>
      <c r="H98" s="9"/>
      <c r="I98" s="9"/>
    </row>
    <row r="99" spans="2:9">
      <c r="B99" s="278" t="s">
        <v>5</v>
      </c>
      <c r="C99" s="82" t="s">
        <v>843</v>
      </c>
      <c r="D99" s="9" t="s">
        <v>779</v>
      </c>
      <c r="E99" s="9" t="s">
        <v>783</v>
      </c>
      <c r="F99" s="9"/>
      <c r="G99" s="9"/>
      <c r="H99" s="9"/>
      <c r="I99" s="9"/>
    </row>
    <row r="100" spans="2:9">
      <c r="B100" s="278" t="s">
        <v>5</v>
      </c>
      <c r="C100" s="52" t="s">
        <v>1084</v>
      </c>
      <c r="D100" s="9" t="s">
        <v>708</v>
      </c>
      <c r="E100" s="9" t="s">
        <v>783</v>
      </c>
      <c r="F100" s="9"/>
      <c r="G100" s="9"/>
      <c r="H100" s="9"/>
      <c r="I100" s="9"/>
    </row>
    <row r="101" spans="2:9">
      <c r="B101" s="278" t="s">
        <v>5</v>
      </c>
      <c r="C101" s="52" t="s">
        <v>951</v>
      </c>
      <c r="D101" s="9" t="s">
        <v>709</v>
      </c>
      <c r="E101" s="9" t="s">
        <v>783</v>
      </c>
      <c r="F101" s="9"/>
      <c r="G101" s="9"/>
      <c r="H101" s="9"/>
      <c r="I101" s="9"/>
    </row>
    <row r="102" spans="2:9">
      <c r="B102" s="278" t="s">
        <v>5</v>
      </c>
      <c r="C102" s="82" t="s">
        <v>836</v>
      </c>
      <c r="D102" s="144" t="s">
        <v>710</v>
      </c>
      <c r="E102" s="9" t="s">
        <v>783</v>
      </c>
      <c r="F102" s="9"/>
      <c r="G102" s="9"/>
      <c r="H102" s="9"/>
      <c r="I102" s="9"/>
    </row>
    <row r="103" spans="2:9">
      <c r="B103" s="278" t="s">
        <v>5</v>
      </c>
      <c r="C103" s="52" t="s">
        <v>835</v>
      </c>
      <c r="D103" s="9" t="s">
        <v>711</v>
      </c>
      <c r="E103" s="9" t="s">
        <v>783</v>
      </c>
      <c r="F103" s="9"/>
      <c r="G103" s="9"/>
      <c r="H103" s="9"/>
      <c r="I103" s="9"/>
    </row>
    <row r="104" spans="2:9">
      <c r="B104" s="278" t="s">
        <v>5</v>
      </c>
      <c r="C104" s="82" t="s">
        <v>841</v>
      </c>
      <c r="D104" s="9" t="s">
        <v>712</v>
      </c>
      <c r="E104" s="9" t="s">
        <v>783</v>
      </c>
      <c r="F104" s="9"/>
      <c r="G104" s="9"/>
      <c r="H104" s="9"/>
      <c r="I104" s="9"/>
    </row>
    <row r="105" spans="2:9">
      <c r="B105" s="278" t="s">
        <v>5</v>
      </c>
      <c r="C105" s="52" t="s">
        <v>756</v>
      </c>
      <c r="D105" s="9" t="s">
        <v>713</v>
      </c>
      <c r="E105" s="9" t="s">
        <v>783</v>
      </c>
      <c r="F105" s="9"/>
      <c r="G105" s="9"/>
      <c r="H105" s="9"/>
      <c r="I105" s="9"/>
    </row>
    <row r="106" spans="2:9">
      <c r="B106" s="278" t="s">
        <v>5</v>
      </c>
      <c r="C106" s="52" t="s">
        <v>954</v>
      </c>
      <c r="D106" s="144" t="s">
        <v>714</v>
      </c>
      <c r="E106" s="9" t="s">
        <v>783</v>
      </c>
      <c r="F106" s="9"/>
      <c r="G106" s="9"/>
      <c r="H106" s="9"/>
      <c r="I106" s="9"/>
    </row>
    <row r="107" spans="2:9">
      <c r="B107" s="278" t="s">
        <v>5</v>
      </c>
      <c r="C107" s="52" t="s">
        <v>839</v>
      </c>
      <c r="D107" s="9" t="s">
        <v>715</v>
      </c>
      <c r="E107" s="9" t="s">
        <v>783</v>
      </c>
      <c r="F107" s="9"/>
      <c r="G107" s="9"/>
      <c r="H107" s="9"/>
      <c r="I107" s="9"/>
    </row>
    <row r="108" spans="2:9">
      <c r="B108" s="278" t="s">
        <v>5</v>
      </c>
      <c r="C108" s="52" t="s">
        <v>842</v>
      </c>
      <c r="D108" s="9" t="s">
        <v>716</v>
      </c>
      <c r="E108" s="9" t="s">
        <v>783</v>
      </c>
      <c r="F108" s="9"/>
      <c r="G108" s="9"/>
      <c r="H108" s="9"/>
      <c r="I108" s="9"/>
    </row>
    <row r="109" spans="2:9">
      <c r="B109" s="278" t="s">
        <v>5</v>
      </c>
      <c r="C109" s="52" t="s">
        <v>310</v>
      </c>
      <c r="D109" s="9" t="s">
        <v>717</v>
      </c>
      <c r="E109" s="9" t="s">
        <v>783</v>
      </c>
      <c r="F109" s="9"/>
      <c r="G109" s="9"/>
      <c r="H109" s="9"/>
      <c r="I109" s="9"/>
    </row>
    <row r="110" spans="2:9">
      <c r="B110" s="278" t="s">
        <v>5</v>
      </c>
      <c r="C110" s="52" t="s">
        <v>311</v>
      </c>
      <c r="D110" s="9" t="s">
        <v>718</v>
      </c>
      <c r="E110" s="9" t="s">
        <v>783</v>
      </c>
      <c r="F110" s="9"/>
      <c r="G110" s="9"/>
      <c r="H110" s="9"/>
      <c r="I110" s="9"/>
    </row>
    <row r="111" spans="2:9">
      <c r="B111" s="278" t="s">
        <v>5</v>
      </c>
      <c r="C111" s="52" t="s">
        <v>312</v>
      </c>
      <c r="D111" s="9" t="s">
        <v>719</v>
      </c>
      <c r="E111" s="9" t="s">
        <v>783</v>
      </c>
      <c r="F111" s="9"/>
      <c r="G111" s="9"/>
      <c r="H111" s="9"/>
      <c r="I111" s="9"/>
    </row>
    <row r="112" spans="2:9">
      <c r="B112" s="278" t="s">
        <v>5</v>
      </c>
      <c r="C112" s="52" t="s">
        <v>313</v>
      </c>
      <c r="D112" s="9" t="s">
        <v>720</v>
      </c>
      <c r="E112" s="9" t="s">
        <v>783</v>
      </c>
      <c r="F112" s="9"/>
      <c r="G112" s="9"/>
      <c r="H112" s="9"/>
      <c r="I112" s="9"/>
    </row>
    <row r="113" spans="2:9">
      <c r="B113" s="278" t="s">
        <v>5</v>
      </c>
      <c r="C113" s="52" t="s">
        <v>4</v>
      </c>
      <c r="D113" s="9" t="s">
        <v>6</v>
      </c>
      <c r="E113" s="9" t="s">
        <v>783</v>
      </c>
      <c r="F113" s="9"/>
      <c r="G113" s="9"/>
      <c r="H113" s="9"/>
      <c r="I113" s="9"/>
    </row>
    <row r="114" spans="2:9">
      <c r="B114" s="278" t="s">
        <v>5</v>
      </c>
      <c r="C114" s="52" t="s">
        <v>186</v>
      </c>
      <c r="D114" s="9" t="s">
        <v>187</v>
      </c>
      <c r="E114" s="9" t="s">
        <v>783</v>
      </c>
      <c r="F114" s="9"/>
      <c r="G114" s="9"/>
      <c r="H114" s="9"/>
      <c r="I114" s="9"/>
    </row>
    <row r="115" spans="2:9">
      <c r="B115" s="278" t="s">
        <v>5</v>
      </c>
      <c r="C115" s="52" t="s">
        <v>1449</v>
      </c>
      <c r="D115" s="9" t="s">
        <v>1450</v>
      </c>
      <c r="E115" s="9" t="s">
        <v>783</v>
      </c>
      <c r="F115" s="9"/>
      <c r="G115" s="9"/>
      <c r="H115" s="9"/>
      <c r="I115" s="9"/>
    </row>
    <row r="116" spans="2:9">
      <c r="B116" s="278" t="s">
        <v>692</v>
      </c>
      <c r="C116" s="9" t="s">
        <v>213</v>
      </c>
      <c r="D116" s="9" t="s">
        <v>693</v>
      </c>
      <c r="E116" s="9" t="s">
        <v>976</v>
      </c>
      <c r="F116" s="9"/>
      <c r="G116" s="9"/>
      <c r="H116" s="9"/>
      <c r="I116" s="9"/>
    </row>
    <row r="117" spans="2:9">
      <c r="B117" s="278" t="s">
        <v>692</v>
      </c>
      <c r="C117" s="9" t="s">
        <v>367</v>
      </c>
      <c r="D117" s="9" t="s">
        <v>694</v>
      </c>
      <c r="E117" s="9" t="s">
        <v>976</v>
      </c>
      <c r="F117" s="9"/>
      <c r="G117" s="9"/>
      <c r="H117" s="9"/>
      <c r="I117" s="9"/>
    </row>
    <row r="118" spans="2:9">
      <c r="B118" s="278" t="s">
        <v>692</v>
      </c>
      <c r="C118" s="9" t="s">
        <v>365</v>
      </c>
      <c r="D118" s="9" t="s">
        <v>695</v>
      </c>
      <c r="E118" s="9" t="s">
        <v>976</v>
      </c>
      <c r="F118" s="9"/>
      <c r="G118" s="9"/>
      <c r="H118" s="9"/>
      <c r="I118" s="9"/>
    </row>
    <row r="119" spans="2:9">
      <c r="B119" s="278" t="s">
        <v>692</v>
      </c>
      <c r="C119" s="9" t="s">
        <v>409</v>
      </c>
      <c r="D119" s="9" t="s">
        <v>408</v>
      </c>
      <c r="E119" s="9" t="s">
        <v>976</v>
      </c>
      <c r="F119" s="9"/>
      <c r="G119" s="9"/>
      <c r="H119" s="9"/>
      <c r="I119" s="9"/>
    </row>
    <row r="120" spans="2:9">
      <c r="B120" s="278" t="s">
        <v>692</v>
      </c>
      <c r="C120" s="9" t="s">
        <v>1285</v>
      </c>
      <c r="D120" s="9" t="s">
        <v>1459</v>
      </c>
      <c r="E120" s="9" t="s">
        <v>976</v>
      </c>
      <c r="F120" s="9"/>
      <c r="G120" s="9"/>
      <c r="H120" s="9"/>
      <c r="I120" s="9"/>
    </row>
    <row r="121" spans="2:9">
      <c r="B121" s="278" t="s">
        <v>692</v>
      </c>
      <c r="C121" s="9" t="s">
        <v>696</v>
      </c>
      <c r="D121" s="9" t="s">
        <v>697</v>
      </c>
      <c r="E121" s="9" t="s">
        <v>976</v>
      </c>
      <c r="F121" s="304"/>
      <c r="G121" s="9"/>
      <c r="H121" s="9"/>
      <c r="I121" s="9"/>
    </row>
    <row r="122" spans="2:9">
      <c r="B122" s="278" t="s">
        <v>692</v>
      </c>
      <c r="C122" s="9" t="s">
        <v>411</v>
      </c>
      <c r="D122" s="9" t="s">
        <v>456</v>
      </c>
      <c r="E122" s="9" t="s">
        <v>976</v>
      </c>
      <c r="F122" s="9"/>
      <c r="G122" s="9"/>
      <c r="H122" s="9"/>
      <c r="I122" s="9"/>
    </row>
    <row r="123" spans="2:9">
      <c r="B123" s="278" t="s">
        <v>692</v>
      </c>
      <c r="C123" s="9" t="s">
        <v>361</v>
      </c>
      <c r="D123" s="9" t="s">
        <v>218</v>
      </c>
      <c r="E123" s="9" t="s">
        <v>976</v>
      </c>
      <c r="F123" s="9"/>
      <c r="G123" s="9"/>
      <c r="H123" s="9"/>
      <c r="I123" s="9"/>
    </row>
    <row r="124" spans="2:9">
      <c r="B124" s="278" t="s">
        <v>692</v>
      </c>
      <c r="C124" s="9" t="s">
        <v>363</v>
      </c>
      <c r="D124" s="9" t="s">
        <v>698</v>
      </c>
      <c r="E124" s="9" t="s">
        <v>976</v>
      </c>
      <c r="F124" s="9"/>
      <c r="G124" s="9"/>
      <c r="H124" s="9"/>
      <c r="I124" s="9"/>
    </row>
    <row r="125" spans="2:9">
      <c r="B125" s="278" t="s">
        <v>692</v>
      </c>
      <c r="C125" s="52" t="s">
        <v>1517</v>
      </c>
      <c r="D125" s="9" t="s">
        <v>1518</v>
      </c>
      <c r="E125" s="9" t="s">
        <v>976</v>
      </c>
      <c r="F125" s="304" t="s">
        <v>1236</v>
      </c>
      <c r="G125" s="9"/>
      <c r="H125" s="9"/>
      <c r="I125" s="9"/>
    </row>
    <row r="126" spans="2:9">
      <c r="B126" s="278" t="s">
        <v>692</v>
      </c>
      <c r="C126" s="52" t="s">
        <v>1519</v>
      </c>
      <c r="D126" s="9" t="s">
        <v>1520</v>
      </c>
      <c r="E126" s="9" t="s">
        <v>976</v>
      </c>
      <c r="F126" s="304"/>
      <c r="G126" s="9"/>
      <c r="H126" s="9"/>
      <c r="I126" s="9"/>
    </row>
    <row r="127" spans="2:9">
      <c r="B127" s="278" t="s">
        <v>692</v>
      </c>
      <c r="C127" s="9" t="s">
        <v>221</v>
      </c>
      <c r="D127" s="9" t="s">
        <v>220</v>
      </c>
      <c r="E127" s="9" t="s">
        <v>976</v>
      </c>
      <c r="F127" s="9"/>
      <c r="G127" s="9"/>
      <c r="H127" s="9"/>
      <c r="I127" s="9"/>
    </row>
    <row r="128" spans="2:9">
      <c r="B128" s="278" t="s">
        <v>692</v>
      </c>
      <c r="C128" s="9" t="s">
        <v>369</v>
      </c>
      <c r="D128" s="9" t="s">
        <v>222</v>
      </c>
      <c r="E128" s="9" t="s">
        <v>976</v>
      </c>
      <c r="F128" s="9"/>
      <c r="G128" s="9"/>
      <c r="H128" s="9"/>
      <c r="I128" s="9"/>
    </row>
    <row r="129" spans="2:9">
      <c r="B129" s="278" t="s">
        <v>692</v>
      </c>
      <c r="C129" s="9" t="s">
        <v>404</v>
      </c>
      <c r="D129" s="9" t="s">
        <v>407</v>
      </c>
      <c r="E129" s="9" t="s">
        <v>976</v>
      </c>
      <c r="F129" s="9"/>
      <c r="G129" s="9"/>
      <c r="H129" s="9"/>
      <c r="I129" s="9"/>
    </row>
    <row r="130" spans="2:9">
      <c r="B130" s="278" t="s">
        <v>692</v>
      </c>
      <c r="C130" s="9" t="s">
        <v>405</v>
      </c>
      <c r="D130" s="9" t="s">
        <v>406</v>
      </c>
      <c r="E130" s="9" t="s">
        <v>976</v>
      </c>
      <c r="F130" s="9"/>
      <c r="G130" s="9"/>
      <c r="H130" s="9"/>
      <c r="I130" s="9"/>
    </row>
    <row r="131" spans="2:9">
      <c r="B131" s="278" t="s">
        <v>692</v>
      </c>
      <c r="C131" s="9" t="s">
        <v>359</v>
      </c>
      <c r="D131" s="9" t="s">
        <v>251</v>
      </c>
      <c r="E131" s="9" t="s">
        <v>976</v>
      </c>
      <c r="F131" s="9"/>
      <c r="G131" s="9"/>
      <c r="H131" s="9"/>
      <c r="I131" s="9"/>
    </row>
    <row r="132" spans="2:9">
      <c r="B132" s="278" t="s">
        <v>692</v>
      </c>
      <c r="C132" s="9" t="s">
        <v>253</v>
      </c>
      <c r="D132" s="9" t="s">
        <v>699</v>
      </c>
      <c r="E132" s="9" t="s">
        <v>976</v>
      </c>
      <c r="F132" s="9"/>
      <c r="G132" s="9"/>
      <c r="H132" s="9"/>
      <c r="I132" s="9"/>
    </row>
    <row r="133" spans="2:9">
      <c r="B133" s="278" t="s">
        <v>692</v>
      </c>
      <c r="C133" s="9" t="s">
        <v>357</v>
      </c>
      <c r="D133" s="9" t="s">
        <v>254</v>
      </c>
      <c r="E133" s="9" t="s">
        <v>976</v>
      </c>
      <c r="F133" s="9"/>
      <c r="G133" s="9"/>
      <c r="H133" s="9"/>
      <c r="I133" s="9"/>
    </row>
    <row r="134" spans="2:9">
      <c r="B134" s="278" t="s">
        <v>692</v>
      </c>
      <c r="C134" s="9" t="s">
        <v>354</v>
      </c>
      <c r="D134" s="9" t="s">
        <v>353</v>
      </c>
      <c r="E134" s="9" t="s">
        <v>976</v>
      </c>
      <c r="F134" s="9"/>
      <c r="G134" s="9"/>
      <c r="H134" s="9"/>
      <c r="I134" s="9"/>
    </row>
    <row r="135" spans="2:9">
      <c r="B135" s="278" t="s">
        <v>692</v>
      </c>
      <c r="C135" s="9" t="s">
        <v>540</v>
      </c>
      <c r="D135" s="9" t="s">
        <v>539</v>
      </c>
      <c r="E135" s="9" t="s">
        <v>976</v>
      </c>
      <c r="F135" s="9"/>
      <c r="G135" s="9"/>
      <c r="H135" s="9"/>
      <c r="I135" s="9"/>
    </row>
    <row r="136" spans="2:9">
      <c r="B136" s="278" t="s">
        <v>692</v>
      </c>
      <c r="C136" s="9" t="s">
        <v>535</v>
      </c>
      <c r="D136" s="9" t="s">
        <v>537</v>
      </c>
      <c r="E136" s="9" t="s">
        <v>976</v>
      </c>
      <c r="F136" s="9"/>
      <c r="G136" s="9"/>
      <c r="H136" s="9"/>
      <c r="I136" s="9"/>
    </row>
    <row r="137" spans="2:9">
      <c r="B137" s="278" t="s">
        <v>692</v>
      </c>
      <c r="C137" s="52" t="s">
        <v>458</v>
      </c>
      <c r="D137" s="9" t="s">
        <v>530</v>
      </c>
      <c r="E137" s="9" t="s">
        <v>976</v>
      </c>
      <c r="F137" s="9"/>
      <c r="G137" s="9"/>
      <c r="H137" s="9"/>
      <c r="I137" s="9"/>
    </row>
    <row r="138" spans="2:9">
      <c r="B138" s="278" t="s">
        <v>692</v>
      </c>
      <c r="C138" s="52" t="s">
        <v>1182</v>
      </c>
      <c r="D138" s="9" t="s">
        <v>1196</v>
      </c>
      <c r="E138" s="9" t="s">
        <v>976</v>
      </c>
      <c r="F138" s="9"/>
      <c r="G138" s="9"/>
      <c r="H138" s="9"/>
      <c r="I138" s="9"/>
    </row>
    <row r="139" spans="2:9">
      <c r="B139" s="278" t="s">
        <v>692</v>
      </c>
      <c r="C139" s="52" t="s">
        <v>1183</v>
      </c>
      <c r="D139" s="9" t="s">
        <v>1197</v>
      </c>
      <c r="E139" s="9" t="s">
        <v>976</v>
      </c>
      <c r="F139" s="9"/>
      <c r="G139" s="9"/>
      <c r="H139" s="9"/>
      <c r="I139" s="9"/>
    </row>
    <row r="140" spans="2:9">
      <c r="B140" s="278" t="s">
        <v>692</v>
      </c>
      <c r="C140" s="52" t="s">
        <v>454</v>
      </c>
      <c r="D140" s="9" t="s">
        <v>531</v>
      </c>
      <c r="E140" s="9" t="s">
        <v>976</v>
      </c>
      <c r="F140" s="9"/>
      <c r="G140" s="9"/>
      <c r="H140" s="9"/>
      <c r="I140" s="9"/>
    </row>
    <row r="141" spans="2:9">
      <c r="B141" s="278" t="s">
        <v>692</v>
      </c>
      <c r="C141" s="52" t="s">
        <v>455</v>
      </c>
      <c r="D141" s="9" t="s">
        <v>532</v>
      </c>
      <c r="E141" s="9" t="s">
        <v>976</v>
      </c>
      <c r="F141" s="9"/>
      <c r="G141" s="9"/>
      <c r="H141" s="9"/>
      <c r="I141" s="9"/>
    </row>
    <row r="142" spans="2:9">
      <c r="B142" s="278" t="s">
        <v>692</v>
      </c>
      <c r="C142" s="52" t="s">
        <v>1387</v>
      </c>
      <c r="D142" s="9" t="s">
        <v>1396</v>
      </c>
      <c r="E142" s="9" t="s">
        <v>976</v>
      </c>
      <c r="F142" s="9"/>
      <c r="G142" s="9"/>
      <c r="H142" s="9"/>
      <c r="I142" s="9"/>
    </row>
    <row r="143" spans="2:9">
      <c r="B143" s="278" t="s">
        <v>692</v>
      </c>
      <c r="C143" s="9" t="s">
        <v>960</v>
      </c>
      <c r="D143" s="9" t="s">
        <v>337</v>
      </c>
      <c r="E143" s="9" t="s">
        <v>783</v>
      </c>
      <c r="F143" s="9"/>
      <c r="G143" s="9" t="s">
        <v>896</v>
      </c>
      <c r="H143" s="9"/>
      <c r="I143" s="9"/>
    </row>
    <row r="144" spans="2:9">
      <c r="B144" s="278" t="s">
        <v>692</v>
      </c>
      <c r="C144" s="9" t="s">
        <v>112</v>
      </c>
      <c r="D144" s="9" t="s">
        <v>697</v>
      </c>
      <c r="E144" s="9" t="s">
        <v>976</v>
      </c>
      <c r="F144" s="304" t="s">
        <v>725</v>
      </c>
      <c r="G144" s="9" t="s">
        <v>896</v>
      </c>
      <c r="H144" s="9"/>
      <c r="I144" s="9"/>
    </row>
    <row r="145" spans="2:9">
      <c r="B145" s="278" t="s">
        <v>692</v>
      </c>
      <c r="C145" s="9" t="s">
        <v>459</v>
      </c>
      <c r="D145" s="9" t="s">
        <v>533</v>
      </c>
      <c r="E145" s="9" t="s">
        <v>976</v>
      </c>
      <c r="F145" s="9"/>
      <c r="G145" s="9" t="s">
        <v>896</v>
      </c>
      <c r="H145" s="9"/>
      <c r="I145" s="9"/>
    </row>
    <row r="146" spans="2:9">
      <c r="B146" s="278" t="s">
        <v>692</v>
      </c>
      <c r="C146" s="52" t="s">
        <v>1343</v>
      </c>
      <c r="D146" s="9" t="s">
        <v>1345</v>
      </c>
      <c r="E146" s="9" t="s">
        <v>783</v>
      </c>
      <c r="F146" s="9"/>
      <c r="G146" s="9" t="s">
        <v>896</v>
      </c>
      <c r="H146" s="9"/>
      <c r="I146" s="9"/>
    </row>
    <row r="147" spans="2:9">
      <c r="B147" s="278" t="s">
        <v>692</v>
      </c>
      <c r="C147" s="9" t="s">
        <v>463</v>
      </c>
      <c r="D147" s="9" t="s">
        <v>534</v>
      </c>
      <c r="E147" s="9" t="s">
        <v>976</v>
      </c>
      <c r="F147" s="304" t="s">
        <v>725</v>
      </c>
      <c r="G147" s="9" t="s">
        <v>896</v>
      </c>
      <c r="H147" s="9"/>
      <c r="I147" s="9"/>
    </row>
    <row r="148" spans="2:9">
      <c r="B148" s="278" t="s">
        <v>692</v>
      </c>
      <c r="C148" s="9" t="s">
        <v>335</v>
      </c>
      <c r="D148" s="9" t="s">
        <v>336</v>
      </c>
      <c r="E148" s="9" t="s">
        <v>976</v>
      </c>
      <c r="F148" s="304" t="s">
        <v>725</v>
      </c>
      <c r="G148" s="9" t="s">
        <v>896</v>
      </c>
      <c r="H148" s="9"/>
      <c r="I148" s="9"/>
    </row>
    <row r="149" spans="2:9">
      <c r="B149" s="278" t="s">
        <v>692</v>
      </c>
      <c r="C149" s="9" t="s">
        <v>395</v>
      </c>
      <c r="D149" s="9" t="s">
        <v>396</v>
      </c>
      <c r="E149" s="9" t="s">
        <v>976</v>
      </c>
      <c r="F149" s="304" t="s">
        <v>147</v>
      </c>
      <c r="G149" s="9" t="s">
        <v>896</v>
      </c>
      <c r="H149" s="9"/>
      <c r="I149" s="9"/>
    </row>
    <row r="150" spans="2:9">
      <c r="B150" s="278" t="s">
        <v>692</v>
      </c>
      <c r="C150" s="52" t="s">
        <v>1283</v>
      </c>
      <c r="D150" s="9" t="s">
        <v>1284</v>
      </c>
      <c r="E150" s="9" t="s">
        <v>976</v>
      </c>
      <c r="F150" s="304" t="s">
        <v>725</v>
      </c>
      <c r="G150" s="9" t="s">
        <v>896</v>
      </c>
      <c r="H150" s="9"/>
      <c r="I150" s="9"/>
    </row>
    <row r="151" spans="2:9">
      <c r="B151" s="278" t="s">
        <v>692</v>
      </c>
      <c r="C151" s="52" t="s">
        <v>1515</v>
      </c>
      <c r="D151" s="9" t="s">
        <v>1516</v>
      </c>
      <c r="E151" s="9" t="s">
        <v>976</v>
      </c>
      <c r="F151" s="304" t="s">
        <v>1236</v>
      </c>
      <c r="G151" s="9" t="s">
        <v>896</v>
      </c>
      <c r="H151" s="9"/>
      <c r="I151" s="9"/>
    </row>
    <row r="152" spans="2:9">
      <c r="B152" s="278" t="s">
        <v>692</v>
      </c>
      <c r="C152" s="52" t="s">
        <v>1521</v>
      </c>
      <c r="D152" s="9" t="s">
        <v>1522</v>
      </c>
      <c r="E152" s="9" t="s">
        <v>976</v>
      </c>
      <c r="F152" s="304"/>
      <c r="G152" s="9" t="s">
        <v>896</v>
      </c>
      <c r="H152" s="9"/>
      <c r="I152" s="9"/>
    </row>
    <row r="153" spans="2:9">
      <c r="B153" s="278" t="s">
        <v>86</v>
      </c>
      <c r="C153" s="9" t="s">
        <v>1174</v>
      </c>
      <c r="D153" s="9" t="s">
        <v>1198</v>
      </c>
      <c r="E153" s="9" t="s">
        <v>976</v>
      </c>
      <c r="F153" s="304" t="s">
        <v>725</v>
      </c>
      <c r="G153" s="9" t="s">
        <v>896</v>
      </c>
      <c r="H153" s="9"/>
      <c r="I153" s="9"/>
    </row>
    <row r="154" spans="2:9">
      <c r="B154" s="278" t="s">
        <v>86</v>
      </c>
      <c r="C154" s="9" t="s">
        <v>1177</v>
      </c>
      <c r="D154" s="9" t="s">
        <v>1199</v>
      </c>
      <c r="E154" s="9" t="s">
        <v>976</v>
      </c>
      <c r="F154" s="304" t="s">
        <v>725</v>
      </c>
      <c r="G154" s="9" t="s">
        <v>896</v>
      </c>
      <c r="H154" s="9"/>
      <c r="I154" s="9"/>
    </row>
    <row r="155" spans="2:9">
      <c r="B155" s="278" t="s">
        <v>86</v>
      </c>
      <c r="C155" s="9" t="s">
        <v>1181</v>
      </c>
      <c r="D155" s="9" t="s">
        <v>1202</v>
      </c>
      <c r="E155" s="9" t="s">
        <v>976</v>
      </c>
      <c r="F155" s="304" t="s">
        <v>725</v>
      </c>
      <c r="G155" s="9" t="s">
        <v>896</v>
      </c>
      <c r="H155" s="9"/>
      <c r="I155" s="9"/>
    </row>
    <row r="156" spans="2:9">
      <c r="B156" s="278" t="s">
        <v>86</v>
      </c>
      <c r="C156" s="9" t="s">
        <v>1175</v>
      </c>
      <c r="D156" s="9" t="s">
        <v>1200</v>
      </c>
      <c r="E156" s="9" t="s">
        <v>976</v>
      </c>
      <c r="F156" s="304" t="s">
        <v>725</v>
      </c>
      <c r="G156" s="9" t="s">
        <v>896</v>
      </c>
      <c r="H156" s="9"/>
      <c r="I156" s="9"/>
    </row>
    <row r="157" spans="2:9">
      <c r="B157" s="278" t="s">
        <v>86</v>
      </c>
      <c r="C157" s="9" t="s">
        <v>1176</v>
      </c>
      <c r="D157" s="9" t="s">
        <v>1201</v>
      </c>
      <c r="E157" s="9" t="s">
        <v>976</v>
      </c>
      <c r="F157" s="304" t="s">
        <v>725</v>
      </c>
      <c r="G157" s="9" t="s">
        <v>896</v>
      </c>
      <c r="H157" s="9"/>
      <c r="I157" s="9"/>
    </row>
    <row r="158" spans="2:9">
      <c r="B158" s="278" t="s">
        <v>86</v>
      </c>
      <c r="C158" s="9" t="s">
        <v>1178</v>
      </c>
      <c r="D158" s="9" t="s">
        <v>1203</v>
      </c>
      <c r="E158" s="9" t="s">
        <v>976</v>
      </c>
      <c r="F158" s="304" t="s">
        <v>725</v>
      </c>
      <c r="G158" s="9" t="s">
        <v>896</v>
      </c>
      <c r="H158" s="9"/>
      <c r="I158" s="9"/>
    </row>
    <row r="159" spans="2:9">
      <c r="B159" s="278" t="s">
        <v>86</v>
      </c>
      <c r="C159" s="9" t="s">
        <v>1179</v>
      </c>
      <c r="D159" s="9" t="s">
        <v>1205</v>
      </c>
      <c r="E159" s="9" t="s">
        <v>976</v>
      </c>
      <c r="F159" s="304" t="s">
        <v>725</v>
      </c>
      <c r="G159" s="9" t="s">
        <v>896</v>
      </c>
      <c r="H159" s="9"/>
      <c r="I159" s="9"/>
    </row>
    <row r="160" spans="2:9">
      <c r="B160" s="278" t="s">
        <v>86</v>
      </c>
      <c r="C160" s="9" t="s">
        <v>1180</v>
      </c>
      <c r="D160" s="9" t="s">
        <v>1204</v>
      </c>
      <c r="E160" s="9" t="s">
        <v>976</v>
      </c>
      <c r="F160" s="304" t="s">
        <v>725</v>
      </c>
      <c r="G160" s="9" t="s">
        <v>896</v>
      </c>
      <c r="H160" s="9"/>
      <c r="I160" s="9"/>
    </row>
    <row r="161" spans="2:9">
      <c r="B161" s="278" t="s">
        <v>86</v>
      </c>
      <c r="C161" s="52" t="s">
        <v>17</v>
      </c>
      <c r="D161" s="9" t="s">
        <v>18</v>
      </c>
      <c r="E161" s="9" t="s">
        <v>783</v>
      </c>
      <c r="F161" s="9"/>
      <c r="G161" s="9"/>
      <c r="H161" s="9"/>
      <c r="I161" s="9"/>
    </row>
    <row r="162" spans="2:9">
      <c r="B162" s="278" t="s">
        <v>86</v>
      </c>
      <c r="C162" s="9" t="s">
        <v>1224</v>
      </c>
      <c r="D162" s="9" t="s">
        <v>1235</v>
      </c>
      <c r="E162" s="9" t="s">
        <v>976</v>
      </c>
      <c r="F162" s="304" t="s">
        <v>1236</v>
      </c>
      <c r="G162" s="9"/>
      <c r="H162" s="9"/>
      <c r="I162" s="9"/>
    </row>
    <row r="163" spans="2:9">
      <c r="B163" s="278" t="s">
        <v>86</v>
      </c>
      <c r="C163" s="9" t="s">
        <v>1328</v>
      </c>
      <c r="D163" s="9" t="s">
        <v>1330</v>
      </c>
      <c r="E163" s="9" t="s">
        <v>783</v>
      </c>
      <c r="F163" s="304" t="s">
        <v>147</v>
      </c>
      <c r="G163" s="9"/>
      <c r="H163" s="9"/>
      <c r="I163" s="9"/>
    </row>
    <row r="164" spans="2:9">
      <c r="B164" s="278" t="s">
        <v>86</v>
      </c>
      <c r="C164" s="9" t="s">
        <v>1327</v>
      </c>
      <c r="D164" s="9" t="s">
        <v>1331</v>
      </c>
      <c r="E164" s="9" t="s">
        <v>783</v>
      </c>
      <c r="F164" s="304" t="s">
        <v>147</v>
      </c>
      <c r="G164" s="9"/>
      <c r="H164" s="9"/>
      <c r="I164" s="9"/>
    </row>
    <row r="165" spans="2:9">
      <c r="B165" s="540" t="s">
        <v>775</v>
      </c>
      <c r="C165" s="429" t="s">
        <v>320</v>
      </c>
      <c r="D165" s="429" t="s">
        <v>869</v>
      </c>
      <c r="E165" s="429" t="s">
        <v>871</v>
      </c>
      <c r="F165" s="429"/>
      <c r="G165" s="429"/>
      <c r="H165" s="429"/>
      <c r="I165" s="429"/>
    </row>
    <row r="166" spans="2:9">
      <c r="B166" s="540" t="s">
        <v>775</v>
      </c>
      <c r="C166" s="429" t="s">
        <v>319</v>
      </c>
      <c r="D166" s="429" t="s">
        <v>868</v>
      </c>
      <c r="E166" s="429" t="s">
        <v>1373</v>
      </c>
      <c r="F166" s="429"/>
      <c r="G166" s="429"/>
      <c r="H166" s="429"/>
      <c r="I166" s="429"/>
    </row>
    <row r="167" spans="2:9">
      <c r="B167" s="540" t="s">
        <v>775</v>
      </c>
      <c r="C167" s="429" t="s">
        <v>372</v>
      </c>
      <c r="D167" s="429" t="s">
        <v>868</v>
      </c>
      <c r="E167" s="429" t="s">
        <v>1373</v>
      </c>
      <c r="F167" s="429"/>
      <c r="G167" s="429"/>
      <c r="H167" s="429"/>
      <c r="I167" s="429"/>
    </row>
    <row r="168" spans="2:9">
      <c r="B168" s="540" t="s">
        <v>775</v>
      </c>
      <c r="C168" s="429" t="s">
        <v>321</v>
      </c>
      <c r="D168" s="429" t="s">
        <v>870</v>
      </c>
      <c r="E168" s="429" t="s">
        <v>871</v>
      </c>
      <c r="F168" s="429"/>
      <c r="G168" s="429"/>
      <c r="H168" s="429"/>
      <c r="I168" s="429"/>
    </row>
    <row r="169" spans="2:9">
      <c r="B169" s="540" t="s">
        <v>775</v>
      </c>
      <c r="C169" s="429" t="s">
        <v>196</v>
      </c>
      <c r="D169" s="429" t="s">
        <v>195</v>
      </c>
      <c r="E169" s="429" t="s">
        <v>1373</v>
      </c>
      <c r="F169" s="429"/>
      <c r="G169" s="429"/>
      <c r="H169" s="429"/>
      <c r="I169" s="429"/>
    </row>
    <row r="170" spans="2:9">
      <c r="B170" s="549" t="s">
        <v>775</v>
      </c>
      <c r="C170" s="547" t="s">
        <v>443</v>
      </c>
      <c r="D170" s="476" t="s">
        <v>445</v>
      </c>
      <c r="E170" s="476" t="s">
        <v>783</v>
      </c>
      <c r="F170" s="550" t="s">
        <v>725</v>
      </c>
      <c r="G170" s="476" t="s">
        <v>896</v>
      </c>
      <c r="H170" s="476"/>
      <c r="I170" s="476"/>
    </row>
    <row r="171" spans="2:9">
      <c r="B171" s="549" t="s">
        <v>775</v>
      </c>
      <c r="C171" s="476" t="s">
        <v>1363</v>
      </c>
      <c r="D171" s="476" t="s">
        <v>1364</v>
      </c>
      <c r="E171" s="476" t="s">
        <v>783</v>
      </c>
      <c r="F171" s="476"/>
      <c r="G171" s="476"/>
      <c r="H171" s="476"/>
      <c r="I171" s="476"/>
    </row>
  </sheetData>
  <phoneticPr fontId="25" type="noConversion"/>
  <pageMargins left="0.75" right="0.75" top="1" bottom="1" header="0.5" footer="0.5"/>
  <headerFooter alignWithMargins="0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2"/>
  <dimension ref="A1:AB150"/>
  <sheetViews>
    <sheetView topLeftCell="A66" zoomScale="75" workbookViewId="0">
      <selection activeCell="R113" sqref="R113"/>
    </sheetView>
  </sheetViews>
  <sheetFormatPr defaultColWidth="8.85546875" defaultRowHeight="12.75"/>
  <cols>
    <col min="1" max="1" width="16.140625" customWidth="1"/>
    <col min="2" max="2" width="23.7109375" customWidth="1"/>
    <col min="3" max="3" width="32.5703125" customWidth="1"/>
    <col min="4" max="4" width="12.28515625" customWidth="1"/>
    <col min="5" max="5" width="12.42578125" customWidth="1"/>
    <col min="6" max="6" width="21.28515625" customWidth="1"/>
    <col min="7" max="7" width="9.7109375" customWidth="1"/>
    <col min="8" max="8" width="11.7109375" bestFit="1" customWidth="1"/>
  </cols>
  <sheetData>
    <row r="1" spans="1:21" ht="18">
      <c r="A1" s="8" t="s">
        <v>860</v>
      </c>
      <c r="F1" s="216"/>
      <c r="N1" s="217"/>
      <c r="P1" s="216"/>
      <c r="Q1" s="216"/>
    </row>
    <row r="2" spans="1:21">
      <c r="A2" s="7"/>
      <c r="F2" s="216"/>
      <c r="N2" s="12">
        <v>1.2</v>
      </c>
    </row>
    <row r="3" spans="1:21">
      <c r="F3" s="216"/>
      <c r="G3" s="18"/>
      <c r="I3" s="18"/>
      <c r="J3" s="113"/>
    </row>
    <row r="4" spans="1:21" ht="18">
      <c r="A4" s="114"/>
      <c r="B4" s="185" t="s">
        <v>549</v>
      </c>
      <c r="C4" s="86"/>
      <c r="D4" s="86"/>
      <c r="F4" s="225" t="str">
        <f>"~FI_T: "&amp;Region&amp;"~EUR10"</f>
        <v>~FI_T: FIM~EUR10</v>
      </c>
      <c r="N4" s="3"/>
    </row>
    <row r="5" spans="1:21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45" t="s">
        <v>773</v>
      </c>
      <c r="G5" s="45" t="s">
        <v>526</v>
      </c>
      <c r="H5" s="45" t="str">
        <f ca="1">"Share~UP~"&amp;AuxYear</f>
        <v>Share~UP~2017</v>
      </c>
      <c r="I5" s="45" t="s">
        <v>50</v>
      </c>
      <c r="J5" s="45" t="s">
        <v>872</v>
      </c>
      <c r="K5" s="45" t="s">
        <v>51</v>
      </c>
      <c r="L5" s="45" t="s">
        <v>52</v>
      </c>
      <c r="M5" s="45" t="str">
        <f ca="1">"Share~UP~"&amp;CEILING(AuxYear+2,5)</f>
        <v>Share~UP~2020</v>
      </c>
      <c r="N5" s="45" t="str">
        <f ca="1">"ACT_BND~UP~"&amp;BaseYear</f>
        <v>ACT_BND~UP~2010</v>
      </c>
      <c r="O5" s="45" t="str">
        <f ca="1">"ACT_BND~UP~"&amp;AuxYear</f>
        <v>ACT_BND~UP~2017</v>
      </c>
      <c r="P5" s="45" t="s">
        <v>658</v>
      </c>
      <c r="Q5" s="45" t="s">
        <v>659</v>
      </c>
      <c r="R5" s="355" t="str">
        <f ca="1">"ACT_BND~LO~"&amp;BaseYear</f>
        <v>ACT_BND~LO~2010</v>
      </c>
      <c r="S5" s="45" t="str">
        <f ca="1">"ACT_BND~LO~"&amp;AuxYear</f>
        <v>ACT_BND~LO~2017</v>
      </c>
      <c r="T5" s="45" t="str">
        <f ca="1">"ACT_BND~LO~"&amp;0</f>
        <v>ACT_BND~LO~0</v>
      </c>
      <c r="U5" s="45" t="str">
        <f ca="1">"VAROM~"&amp;BaseYear+25</f>
        <v>VAROM~2035</v>
      </c>
    </row>
    <row r="6" spans="1:21">
      <c r="B6" s="300" t="str">
        <f>CONCATENATE("FT-",E9,"0")</f>
        <v>FT-INDNGA0</v>
      </c>
      <c r="C6" s="300" t="s">
        <v>98</v>
      </c>
      <c r="D6" s="46" t="str">
        <f ca="1">IEAData2!C24</f>
        <v>GASNGA</v>
      </c>
      <c r="E6" s="9"/>
      <c r="F6" s="9"/>
      <c r="G6" s="62"/>
      <c r="H6" s="62"/>
      <c r="I6" s="115">
        <v>1</v>
      </c>
      <c r="J6" s="115">
        <v>1</v>
      </c>
      <c r="K6" s="434">
        <v>0</v>
      </c>
      <c r="L6" s="49"/>
      <c r="M6" s="49">
        <v>1</v>
      </c>
      <c r="N6" s="59">
        <f ca="1">VLOOKUP(MID(B6,4,6),IEAData2!$BI$49:$BK$63,3,0)*$N$2^0.3</f>
        <v>2.6573128414838099</v>
      </c>
      <c r="O6" s="59">
        <f ca="1">VLOOKUP(MID(B6,4,6),AuxData2!$BI$49:$BK$63,3,0)*$N$2^0.3</f>
        <v>0.27516324541837028</v>
      </c>
      <c r="P6" s="59">
        <f ca="1">MAX(N6:O6)*$N$2</f>
        <v>3.1887754097805718</v>
      </c>
      <c r="Q6" s="59">
        <f ca="1">P6*$N$2^0.5</f>
        <v>3.4931284455091975</v>
      </c>
      <c r="R6" s="452">
        <f ca="1">VLOOKUP(MID(B6,4,6),IEAData2!$BI$49:$BK$63,3,0)*0.995</f>
        <v>2.5032913183637135</v>
      </c>
      <c r="S6" s="59">
        <f ca="1">VLOOKUP(MID(B6,4,6),AuxData2!$BI$49:$BK$63,3,0)*0.995</f>
        <v>0.25921440360178494</v>
      </c>
      <c r="T6" s="59">
        <v>11</v>
      </c>
      <c r="U6" s="443">
        <v>1.25</v>
      </c>
    </row>
    <row r="7" spans="1:21">
      <c r="B7" s="300"/>
      <c r="C7" s="300"/>
      <c r="D7" s="46" t="str">
        <f ca="1">IEAData2!M24</f>
        <v>GASGWG</v>
      </c>
      <c r="E7" s="9"/>
      <c r="F7" s="9"/>
      <c r="G7" s="62">
        <f ca="1">VLOOKUP(D7,IEAData2!$AE$48:$AO$76,11,0)</f>
        <v>0</v>
      </c>
      <c r="H7" s="62">
        <f ca="1">VLOOKUP($D7,AuxData2!$AE$48:$AO$76,11,0)</f>
        <v>0</v>
      </c>
      <c r="I7" s="115"/>
      <c r="J7" s="115"/>
      <c r="K7" s="49"/>
      <c r="L7" s="49"/>
      <c r="M7" s="55">
        <f ca="1">ROUND(G7,2)</f>
        <v>0</v>
      </c>
      <c r="N7" s="9"/>
      <c r="O7" s="9"/>
      <c r="P7" s="52"/>
      <c r="Q7" s="52"/>
      <c r="R7" s="453"/>
      <c r="S7" s="52"/>
      <c r="T7" s="52"/>
      <c r="U7" s="52"/>
    </row>
    <row r="8" spans="1:21">
      <c r="B8" s="300"/>
      <c r="C8" s="300"/>
      <c r="D8" s="46" t="s">
        <v>1449</v>
      </c>
      <c r="E8" s="9"/>
      <c r="F8" s="9"/>
      <c r="G8" s="62">
        <v>0</v>
      </c>
      <c r="H8" s="62">
        <v>0</v>
      </c>
      <c r="I8" s="115"/>
      <c r="J8" s="115"/>
      <c r="K8" s="49"/>
      <c r="L8" s="49"/>
      <c r="M8" s="55">
        <v>0.1</v>
      </c>
      <c r="N8" s="9"/>
      <c r="O8" s="9"/>
      <c r="P8" s="52"/>
      <c r="Q8" s="52"/>
      <c r="R8" s="453"/>
      <c r="S8" s="52"/>
      <c r="T8" s="52"/>
      <c r="U8" s="52"/>
    </row>
    <row r="9" spans="1:21">
      <c r="B9" s="220"/>
      <c r="C9" s="220"/>
      <c r="D9" s="150"/>
      <c r="E9" s="150" t="str">
        <f ca="1">IEAData2!C38</f>
        <v>INDNGA</v>
      </c>
      <c r="F9" s="150" t="s">
        <v>99</v>
      </c>
      <c r="G9" s="152"/>
      <c r="H9" s="152"/>
      <c r="I9" s="160"/>
      <c r="J9" s="160"/>
      <c r="K9" s="121"/>
      <c r="L9" s="121"/>
      <c r="M9" s="121"/>
      <c r="N9" s="117"/>
      <c r="O9" s="117"/>
      <c r="P9" s="117"/>
      <c r="Q9" s="117"/>
      <c r="R9" s="477"/>
      <c r="S9" s="117"/>
      <c r="T9" s="117"/>
      <c r="U9" s="117"/>
    </row>
    <row r="10" spans="1:21">
      <c r="B10" s="151" t="str">
        <f>CONCATENATE("FT-",E11,"0")</f>
        <v>FT-INDLPG0</v>
      </c>
      <c r="C10" s="151" t="s">
        <v>100</v>
      </c>
      <c r="D10" s="155" t="str">
        <f ca="1">IEAData2!D24</f>
        <v>OILLPG</v>
      </c>
      <c r="E10" s="151"/>
      <c r="F10" s="151"/>
      <c r="G10" s="154"/>
      <c r="H10" s="154"/>
      <c r="I10" s="157">
        <v>1</v>
      </c>
      <c r="J10" s="157">
        <v>1</v>
      </c>
      <c r="K10" s="49"/>
      <c r="L10" s="49"/>
      <c r="M10" s="49"/>
      <c r="N10" s="59">
        <f ca="1">VLOOKUP(MID(B10,4,6),IEAData2!$BI$49:$BK$63,3,0)*$N$2^0.3</f>
        <v>0.35998941764438069</v>
      </c>
      <c r="O10" s="59">
        <f ca="1">VLOOKUP(MID(B10,4,6),AuxData2!$BI$49:$BK$63,3,0)*$N$2^0.3</f>
        <v>0.92116730699579041</v>
      </c>
      <c r="P10" s="59">
        <f ca="1">MAX(N10:O10)*$N$2</f>
        <v>1.1054007683949485</v>
      </c>
      <c r="Q10" s="59">
        <f ca="1">P10*$N$2</f>
        <v>1.3264809220739382</v>
      </c>
      <c r="R10" s="452">
        <f ca="1">VLOOKUP(MID(B10,4,6),IEAData2!$BI$49:$BK$63,3,0)*0.995</f>
        <v>0.3391239337061992</v>
      </c>
      <c r="S10" s="59">
        <f ca="1">VLOOKUP(MID(B10,4,6),AuxData2!$BI$49:$BK$63,3,0)*0.995</f>
        <v>0.86777517737634191</v>
      </c>
      <c r="T10" s="59">
        <v>11</v>
      </c>
      <c r="U10" s="59"/>
    </row>
    <row r="11" spans="1:21">
      <c r="B11" s="150"/>
      <c r="C11" s="150"/>
      <c r="D11" s="150"/>
      <c r="E11" s="150" t="str">
        <f ca="1">IEAData2!D38</f>
        <v>INDLPG</v>
      </c>
      <c r="F11" s="150" t="s">
        <v>101</v>
      </c>
      <c r="G11" s="152"/>
      <c r="H11" s="152"/>
      <c r="I11" s="160"/>
      <c r="J11" s="160"/>
      <c r="K11" s="121"/>
      <c r="L11" s="121"/>
      <c r="M11" s="121"/>
      <c r="N11" s="117"/>
      <c r="O11" s="117"/>
      <c r="P11" s="117"/>
      <c r="Q11" s="117"/>
      <c r="R11" s="477"/>
      <c r="S11" s="117"/>
      <c r="T11" s="117"/>
      <c r="U11" s="117"/>
    </row>
    <row r="12" spans="1:21">
      <c r="B12" s="151" t="str">
        <f>CONCATENATE("FT-",E13,"0")</f>
        <v>FT-INDNGL0</v>
      </c>
      <c r="C12" s="151" t="s">
        <v>102</v>
      </c>
      <c r="D12" s="155" t="str">
        <f ca="1">IEAData2!E$24</f>
        <v>OILNGL</v>
      </c>
      <c r="E12" s="151"/>
      <c r="F12" s="151"/>
      <c r="G12" s="154"/>
      <c r="H12" s="154"/>
      <c r="I12" s="157">
        <v>1</v>
      </c>
      <c r="J12" s="157">
        <v>1</v>
      </c>
      <c r="K12" s="49"/>
      <c r="L12" s="49"/>
      <c r="M12" s="49"/>
      <c r="N12" s="59">
        <f ca="1">VLOOKUP(MID(B12,4,6),IEAData2!$BI$49:$BK$63,3,0)*$N$2^0.3</f>
        <v>0</v>
      </c>
      <c r="O12" s="59">
        <f ca="1">VLOOKUP(MID(B12,4,6),AuxData2!$BI$49:$BK$63,3,0)*$N$2^0.3</f>
        <v>0</v>
      </c>
      <c r="P12" s="59">
        <f ca="1">MAX(N12:O12)*$N$2</f>
        <v>0</v>
      </c>
      <c r="Q12" s="59">
        <f ca="1">P12*$N$2</f>
        <v>0</v>
      </c>
      <c r="R12" s="452"/>
      <c r="S12" s="59"/>
      <c r="T12" s="59"/>
      <c r="U12" s="59"/>
    </row>
    <row r="13" spans="1:21">
      <c r="B13" s="150"/>
      <c r="C13" s="150"/>
      <c r="D13" s="150"/>
      <c r="E13" s="150" t="str">
        <f ca="1">IEAData2!E38</f>
        <v>INDNGL</v>
      </c>
      <c r="F13" s="150" t="s">
        <v>103</v>
      </c>
      <c r="G13" s="152"/>
      <c r="H13" s="152"/>
      <c r="I13" s="160"/>
      <c r="J13" s="160"/>
      <c r="K13" s="121"/>
      <c r="L13" s="121"/>
      <c r="M13" s="121"/>
      <c r="N13" s="117"/>
      <c r="O13" s="117"/>
      <c r="P13" s="117"/>
      <c r="Q13" s="117"/>
      <c r="R13" s="477"/>
      <c r="S13" s="117"/>
      <c r="T13" s="117"/>
      <c r="U13" s="117"/>
    </row>
    <row r="14" spans="1:21">
      <c r="B14" s="151" t="str">
        <f>CONCATENATE("FT-",E15,"0")</f>
        <v>FT-INDCOA0</v>
      </c>
      <c r="C14" s="151" t="s">
        <v>104</v>
      </c>
      <c r="D14" s="155" t="str">
        <f ca="1">IEAData2!F$24</f>
        <v>COAHCO</v>
      </c>
      <c r="E14" s="151"/>
      <c r="F14" s="151"/>
      <c r="G14" s="62"/>
      <c r="H14" s="62"/>
      <c r="I14" s="157">
        <v>1</v>
      </c>
      <c r="J14" s="157">
        <v>1</v>
      </c>
      <c r="K14" s="49"/>
      <c r="L14" s="49"/>
      <c r="M14" s="55"/>
      <c r="N14" s="59">
        <f ca="1">VLOOKUP(MID(B14,4,6),IEAData2!$BI$49:$BK$63,3,0)*$N$2^0.3</f>
        <v>0.74504089311436783</v>
      </c>
      <c r="O14" s="59">
        <f ca="1">VLOOKUP(MID(B14,4,6),AuxData2!$BI$49:$BK$63,3,0)*$N$2^0.3</f>
        <v>0.17588959074602709</v>
      </c>
      <c r="P14" s="59">
        <f ca="1">MAX(N14:O14)*$N$2</f>
        <v>0.89404907173724135</v>
      </c>
      <c r="Q14" s="59">
        <f ca="1">P14*$N$2</f>
        <v>1.0728588860846895</v>
      </c>
      <c r="R14" s="452">
        <f ca="1">VLOOKUP(MID(B14,4,6),IEAData2!$BI$49:$BK$63,3,0)*0.995</f>
        <v>0.70185729374555761</v>
      </c>
      <c r="S14" s="59">
        <f ca="1">VLOOKUP(MID(B14,4,6),AuxData2!$BI$49:$BK$63,3,0)*0.995</f>
        <v>0.16569478709146518</v>
      </c>
      <c r="T14" s="59">
        <v>11</v>
      </c>
      <c r="U14" s="59"/>
    </row>
    <row r="15" spans="1:21">
      <c r="B15" s="300"/>
      <c r="C15" s="300"/>
      <c r="D15" s="150"/>
      <c r="E15" s="150" t="str">
        <f ca="1">IEAData2!F38</f>
        <v>INDCOA</v>
      </c>
      <c r="F15" s="150" t="s">
        <v>105</v>
      </c>
      <c r="G15" s="152"/>
      <c r="H15" s="152"/>
      <c r="I15" s="115"/>
      <c r="J15" s="115"/>
      <c r="K15" s="121"/>
      <c r="L15" s="121"/>
      <c r="M15" s="121"/>
      <c r="N15" s="117"/>
      <c r="O15" s="117"/>
      <c r="P15" s="117"/>
      <c r="Q15" s="117"/>
      <c r="R15" s="477"/>
      <c r="S15" s="117"/>
      <c r="T15" s="117"/>
      <c r="U15" s="117"/>
    </row>
    <row r="16" spans="1:21">
      <c r="B16" s="151" t="str">
        <f>CONCATENATE("FT-",E17,"0")</f>
        <v>FT-INDCOK0</v>
      </c>
      <c r="C16" s="151" t="s">
        <v>119</v>
      </c>
      <c r="D16" s="155" t="str">
        <f ca="1">IEAData2!H$24</f>
        <v>COAOVC</v>
      </c>
      <c r="E16" s="151"/>
      <c r="F16" s="151"/>
      <c r="G16" s="154"/>
      <c r="H16" s="154"/>
      <c r="I16" s="157">
        <v>1</v>
      </c>
      <c r="J16" s="157">
        <v>1</v>
      </c>
      <c r="K16" s="49"/>
      <c r="L16" s="49"/>
      <c r="M16" s="49"/>
      <c r="N16" s="59">
        <f ca="1">VLOOKUP(MID(B16,4,6),IEAData2!$BI$49:$BK$63,3,0)*$N$2^0.3</f>
        <v>0</v>
      </c>
      <c r="O16" s="59">
        <f ca="1">VLOOKUP(MID(B16,4,6),AuxData2!$BI$49:$BK$63,3,0)*$N$2^0.3</f>
        <v>0</v>
      </c>
      <c r="P16" s="59">
        <f ca="1">MAX(N16:O16)*$N$2</f>
        <v>0</v>
      </c>
      <c r="Q16" s="59">
        <f ca="1">P16*$N$2</f>
        <v>0</v>
      </c>
      <c r="R16" s="452"/>
      <c r="S16" s="59"/>
      <c r="T16" s="59"/>
      <c r="U16" s="59"/>
    </row>
    <row r="17" spans="2:21">
      <c r="B17" s="150"/>
      <c r="C17" s="150"/>
      <c r="D17" s="150"/>
      <c r="E17" s="150" t="str">
        <f ca="1">IEAData2!G38</f>
        <v>INDCOK</v>
      </c>
      <c r="F17" s="150" t="s">
        <v>120</v>
      </c>
      <c r="G17" s="152"/>
      <c r="H17" s="152"/>
      <c r="I17" s="160"/>
      <c r="J17" s="160"/>
      <c r="K17" s="121"/>
      <c r="L17" s="121"/>
      <c r="M17" s="121"/>
      <c r="N17" s="117"/>
      <c r="O17" s="117"/>
      <c r="P17" s="117"/>
      <c r="Q17" s="117"/>
      <c r="R17" s="477"/>
      <c r="S17" s="117"/>
      <c r="T17" s="117"/>
      <c r="U17" s="117"/>
    </row>
    <row r="18" spans="2:21">
      <c r="B18" s="151" t="str">
        <f>CONCATENATE("FT-",E19,"0")</f>
        <v>FT-INDCOG0</v>
      </c>
      <c r="C18" s="151" t="s">
        <v>121</v>
      </c>
      <c r="D18" s="155" t="str">
        <f ca="1">IEAData2!J$24</f>
        <v>GASCOG</v>
      </c>
      <c r="E18" s="151"/>
      <c r="F18" s="151"/>
      <c r="G18" s="154"/>
      <c r="H18" s="154"/>
      <c r="I18" s="157">
        <v>1</v>
      </c>
      <c r="J18" s="157">
        <v>1</v>
      </c>
      <c r="K18" s="49"/>
      <c r="L18" s="49"/>
      <c r="M18" s="49"/>
      <c r="N18" s="59">
        <f ca="1">VLOOKUP(MID(B18,4,6),IEAData2!$BI$49:$BK$63,3,0)*$N$2^0.3</f>
        <v>0</v>
      </c>
      <c r="O18" s="59">
        <f ca="1">VLOOKUP(MID(B18,4,6),AuxData2!$BI$49:$BK$63,3,0)*$N$2^0.3</f>
        <v>0</v>
      </c>
      <c r="P18" s="59">
        <f ca="1">MAX(N18:O18)*$N$2</f>
        <v>0</v>
      </c>
      <c r="Q18" s="59">
        <f ca="1">P18*$N$2</f>
        <v>0</v>
      </c>
      <c r="R18" s="452"/>
      <c r="S18" s="59"/>
      <c r="T18" s="59"/>
      <c r="U18" s="59"/>
    </row>
    <row r="19" spans="2:21">
      <c r="B19" s="150"/>
      <c r="C19" s="150"/>
      <c r="D19" s="150"/>
      <c r="E19" s="150" t="str">
        <f ca="1">IEAData2!H38</f>
        <v>INDCOG</v>
      </c>
      <c r="F19" s="150" t="s">
        <v>122</v>
      </c>
      <c r="G19" s="152"/>
      <c r="H19" s="152"/>
      <c r="I19" s="160"/>
      <c r="J19" s="160"/>
      <c r="K19" s="121"/>
      <c r="L19" s="121"/>
      <c r="M19" s="121"/>
      <c r="N19" s="117"/>
      <c r="O19" s="117"/>
      <c r="P19" s="117"/>
      <c r="Q19" s="117"/>
      <c r="R19" s="477"/>
      <c r="S19" s="117"/>
      <c r="T19" s="117"/>
      <c r="U19" s="117"/>
    </row>
    <row r="20" spans="2:21">
      <c r="B20" s="151" t="str">
        <f>CONCATENATE("FT-",E23,"0")</f>
        <v>FT-INDBFG0</v>
      </c>
      <c r="C20" s="151" t="s">
        <v>123</v>
      </c>
      <c r="D20" s="155" t="str">
        <f ca="1">IEAData2!K$24</f>
        <v>GASBFG</v>
      </c>
      <c r="E20" s="9"/>
      <c r="F20" s="9"/>
      <c r="G20" s="62"/>
      <c r="H20" s="62"/>
      <c r="I20" s="157">
        <v>1</v>
      </c>
      <c r="J20" s="157">
        <v>1</v>
      </c>
      <c r="K20" s="49"/>
      <c r="L20" s="49"/>
      <c r="M20" s="55">
        <v>1</v>
      </c>
      <c r="N20" s="59">
        <f ca="1">VLOOKUP(MID(B20,4,6),IEAData2!$BI$49:$BK$63,3,0)*$N$2^0.3</f>
        <v>0</v>
      </c>
      <c r="O20" s="59">
        <f ca="1">VLOOKUP(MID(B20,4,6),AuxData2!$BI$49:$BK$63,3,0)*$N$2^0.3</f>
        <v>0</v>
      </c>
      <c r="P20" s="59">
        <f ca="1">MAX(N20:O20)*$N$2</f>
        <v>0</v>
      </c>
      <c r="Q20" s="59">
        <f ca="1">P20*$N$2</f>
        <v>0</v>
      </c>
      <c r="R20" s="452"/>
      <c r="S20" s="59"/>
      <c r="T20" s="59"/>
      <c r="U20" s="59"/>
    </row>
    <row r="21" spans="2:21">
      <c r="B21" s="82"/>
      <c r="C21" s="82"/>
      <c r="D21" s="156" t="str">
        <f ca="1">IEAData2!L$24</f>
        <v>GASOXY</v>
      </c>
      <c r="E21" s="9"/>
      <c r="F21" s="9"/>
      <c r="G21" s="62"/>
      <c r="H21" s="62"/>
      <c r="I21" s="159"/>
      <c r="J21" s="159"/>
      <c r="K21" s="49"/>
      <c r="L21" s="49"/>
      <c r="M21" s="55"/>
      <c r="N21" s="59"/>
      <c r="O21" s="59"/>
      <c r="P21" s="59"/>
      <c r="Q21" s="59"/>
      <c r="R21" s="452"/>
      <c r="S21" s="59"/>
      <c r="T21" s="59"/>
      <c r="U21" s="59"/>
    </row>
    <row r="22" spans="2:21">
      <c r="B22" s="300"/>
      <c r="C22" s="300"/>
      <c r="D22" s="156" t="str">
        <f ca="1">IEAData2!I$24</f>
        <v>COAGSC</v>
      </c>
      <c r="E22" s="9"/>
      <c r="F22" s="9"/>
      <c r="G22" s="62">
        <f ca="1">VLOOKUP(D22,IEAData2!$AE$48:$AO$76,11,0)</f>
        <v>0</v>
      </c>
      <c r="H22" s="62">
        <f ca="1">VLOOKUP($D22,AuxData2!$AE$48:$AO$76,11,0)</f>
        <v>0</v>
      </c>
      <c r="I22" s="115"/>
      <c r="J22" s="115"/>
      <c r="K22" s="49"/>
      <c r="L22" s="49"/>
      <c r="M22" s="55">
        <f ca="1">ROUND(G22,2)</f>
        <v>0</v>
      </c>
      <c r="N22" s="52"/>
      <c r="O22" s="52"/>
      <c r="P22" s="52"/>
      <c r="Q22" s="52"/>
      <c r="R22" s="453"/>
      <c r="S22" s="52"/>
      <c r="T22" s="52"/>
      <c r="U22" s="52"/>
    </row>
    <row r="23" spans="2:21">
      <c r="B23" s="519"/>
      <c r="C23" s="519"/>
      <c r="D23" s="117"/>
      <c r="E23" s="150" t="str">
        <f ca="1">IEAData2!I38</f>
        <v>INDBFG</v>
      </c>
      <c r="F23" s="150" t="s">
        <v>124</v>
      </c>
      <c r="G23" s="119"/>
      <c r="H23" s="119"/>
      <c r="I23" s="120"/>
      <c r="J23" s="120"/>
      <c r="K23" s="121"/>
      <c r="L23" s="121"/>
      <c r="M23" s="121"/>
      <c r="N23" s="117"/>
      <c r="O23" s="117"/>
      <c r="P23" s="117"/>
      <c r="Q23" s="117"/>
      <c r="R23" s="477"/>
      <c r="S23" s="117"/>
      <c r="T23" s="117"/>
      <c r="U23" s="117"/>
    </row>
    <row r="24" spans="2:21">
      <c r="B24" s="151" t="str">
        <f>CONCATENATE("FT-",E25,"0")</f>
        <v>FT-INDBCO0</v>
      </c>
      <c r="C24" s="151" t="s">
        <v>1153</v>
      </c>
      <c r="D24" s="155" t="str">
        <f ca="1">IEAData2!G$24</f>
        <v>COABCO</v>
      </c>
      <c r="E24" s="9"/>
      <c r="F24" s="9"/>
      <c r="G24" s="154"/>
      <c r="H24" s="154"/>
      <c r="I24" s="115">
        <v>1</v>
      </c>
      <c r="J24" s="115">
        <v>1</v>
      </c>
      <c r="K24" s="49"/>
      <c r="L24" s="49"/>
      <c r="M24" s="49"/>
      <c r="N24" s="59">
        <f ca="1">VLOOKUP(MID(B24,4,6),IEAData2!$BI$49:$BK$63,3,0)*$N$2^0.3</f>
        <v>0.10967749390249978</v>
      </c>
      <c r="O24" s="59">
        <f ca="1">VLOOKUP(MID(B24,4,6),AuxData2!$BI$49:$BK$63,3,0)*$N$2^0.3</f>
        <v>7.4851271705327765E-3</v>
      </c>
      <c r="P24" s="59">
        <f ca="1">O24*$N$2^2.3</f>
        <v>1.1384554728706505E-2</v>
      </c>
      <c r="Q24" s="59">
        <f ca="1">P24*$N$2</f>
        <v>1.3661465674447806E-2</v>
      </c>
      <c r="R24" s="452">
        <f ca="1">VLOOKUP(MID(B24,4,6),IEAData2!$BI$49:$BK$63,3,0)*0.995</f>
        <v>0.10332043484677136</v>
      </c>
      <c r="S24" s="59">
        <f ca="1">VLOOKUP(MID(B24,4,6),AuxData2!$BI$49:$BK$63,3,0)*0.995</f>
        <v>7.0512788597297009E-3</v>
      </c>
      <c r="T24" s="59">
        <v>11</v>
      </c>
      <c r="U24" s="59"/>
    </row>
    <row r="25" spans="2:21">
      <c r="B25" s="300"/>
      <c r="C25" s="300"/>
      <c r="D25" s="150"/>
      <c r="E25" s="150" t="str">
        <f ca="1">IEAData2!J38</f>
        <v>INDBCO</v>
      </c>
      <c r="F25" s="150" t="s">
        <v>1152</v>
      </c>
      <c r="G25" s="152"/>
      <c r="H25" s="152"/>
      <c r="I25" s="115"/>
      <c r="J25" s="115"/>
      <c r="K25" s="121"/>
      <c r="L25" s="121"/>
      <c r="M25" s="121"/>
      <c r="N25" s="117"/>
      <c r="O25" s="117"/>
      <c r="P25" s="117"/>
      <c r="Q25" s="117"/>
      <c r="R25" s="477"/>
      <c r="S25" s="117"/>
      <c r="T25" s="117"/>
      <c r="U25" s="117"/>
    </row>
    <row r="26" spans="2:21">
      <c r="B26" s="151" t="str">
        <f>CONCATENATE("FT-",E29,"0")</f>
        <v>FT-INDHFO0</v>
      </c>
      <c r="C26" s="151" t="s">
        <v>140</v>
      </c>
      <c r="D26" s="155" t="str">
        <f ca="1">IEAData2!P$24</f>
        <v>OILHFO</v>
      </c>
      <c r="E26" s="9"/>
      <c r="F26" s="9"/>
      <c r="G26" s="62"/>
      <c r="H26" s="62"/>
      <c r="I26" s="157">
        <v>1</v>
      </c>
      <c r="J26" s="157">
        <v>1</v>
      </c>
      <c r="K26" s="49"/>
      <c r="L26" s="49"/>
      <c r="M26" s="55">
        <v>1</v>
      </c>
      <c r="N26" s="59">
        <f ca="1">VLOOKUP(MID(B26,4,6),IEAData2!$BI$49:$BK$63,3,0)*$N$2^0.3</f>
        <v>0.64518780518332419</v>
      </c>
      <c r="O26" s="59">
        <f ca="1">VLOOKUP(MID(B26,4,6),AuxData2!$BI$49:$BK$63,3,0)*$N$2^0.3</f>
        <v>0.38450709028628521</v>
      </c>
      <c r="P26" s="59">
        <f ca="1">MAX(N26:O26)*$N$2</f>
        <v>0.77422536621998905</v>
      </c>
      <c r="Q26" s="59">
        <f ca="1">P26*$N$2</f>
        <v>0.92907043946398682</v>
      </c>
      <c r="R26" s="452">
        <f ca="1">VLOOKUP(MID(B26,4,6),IEAData2!$BI$49:$BK$63,3,0)*0.995</f>
        <v>0.60779182872864412</v>
      </c>
      <c r="S26" s="59">
        <f ca="1">VLOOKUP(MID(B26,4,6),AuxData2!$BI$49:$BK$63,3,0)*0.995</f>
        <v>0.36222052817292077</v>
      </c>
      <c r="T26" s="59">
        <v>11</v>
      </c>
      <c r="U26" s="59"/>
    </row>
    <row r="27" spans="2:21">
      <c r="B27" s="300"/>
      <c r="C27" s="300"/>
      <c r="D27" s="156" t="str">
        <f ca="1">IEAData2!O$24</f>
        <v>OILCRD</v>
      </c>
      <c r="E27" s="9"/>
      <c r="F27" s="9"/>
      <c r="G27" s="62">
        <f ca="1">VLOOKUP(D27,IEAData2!$AE$48:$AO$76,11,0)</f>
        <v>0</v>
      </c>
      <c r="H27" s="62">
        <f ca="1">VLOOKUP($D27,AuxData2!$AE$48:$AO$76,11,0)</f>
        <v>0</v>
      </c>
      <c r="I27" s="115"/>
      <c r="J27" s="115"/>
      <c r="K27" s="49"/>
      <c r="L27" s="49"/>
      <c r="M27" s="55">
        <f ca="1">ROUND(G27,2)</f>
        <v>0</v>
      </c>
      <c r="N27" s="52"/>
      <c r="O27" s="52"/>
      <c r="P27" s="52"/>
      <c r="Q27" s="52"/>
      <c r="R27" s="453"/>
      <c r="S27" s="52"/>
      <c r="T27" s="52"/>
      <c r="U27" s="52"/>
    </row>
    <row r="28" spans="2:21">
      <c r="B28" s="520"/>
      <c r="C28" s="520"/>
      <c r="D28" s="156" t="str">
        <f ca="1">IEAData2!T$24</f>
        <v>OILNSP</v>
      </c>
      <c r="E28" s="82"/>
      <c r="F28" s="82"/>
      <c r="G28" s="62">
        <f ca="1">VLOOKUP(D28,IEAData2!$AE$48:$AO$76,11,0)</f>
        <v>0</v>
      </c>
      <c r="H28" s="62">
        <f ca="1">VLOOKUP($D28,AuxData2!$AE$48:$AO$76,11,0)</f>
        <v>0</v>
      </c>
      <c r="I28" s="158"/>
      <c r="J28" s="158"/>
      <c r="K28" s="49"/>
      <c r="L28" s="49"/>
      <c r="M28" s="55">
        <f ca="1">ROUND(G28,2)</f>
        <v>0</v>
      </c>
      <c r="N28" s="52"/>
      <c r="O28" s="52"/>
      <c r="P28" s="52"/>
      <c r="Q28" s="52"/>
      <c r="R28" s="453"/>
      <c r="S28" s="52"/>
      <c r="T28" s="52"/>
      <c r="U28" s="52"/>
    </row>
    <row r="29" spans="2:21">
      <c r="B29" s="150"/>
      <c r="C29" s="150"/>
      <c r="D29" s="150"/>
      <c r="E29" s="150" t="str">
        <f ca="1">IEAData2!K38</f>
        <v>INDHFO</v>
      </c>
      <c r="F29" s="150" t="s">
        <v>141</v>
      </c>
      <c r="G29" s="152"/>
      <c r="H29" s="152"/>
      <c r="I29" s="160"/>
      <c r="J29" s="160"/>
      <c r="K29" s="121"/>
      <c r="L29" s="121"/>
      <c r="M29" s="121"/>
      <c r="N29" s="117"/>
      <c r="O29" s="117"/>
      <c r="P29" s="117"/>
      <c r="Q29" s="117"/>
      <c r="R29" s="477"/>
      <c r="S29" s="117"/>
      <c r="T29" s="117"/>
      <c r="U29" s="117"/>
    </row>
    <row r="30" spans="2:21">
      <c r="B30" s="151" t="str">
        <f>CONCATENATE("FT-",E34,"0")</f>
        <v>FT-INDOIL0</v>
      </c>
      <c r="C30" s="151" t="s">
        <v>142</v>
      </c>
      <c r="D30" s="155" t="str">
        <f ca="1">IEAData2!Q$24</f>
        <v>OILDST</v>
      </c>
      <c r="E30" s="151"/>
      <c r="F30" s="151"/>
      <c r="G30" s="62"/>
      <c r="H30" s="62"/>
      <c r="I30" s="464">
        <v>1</v>
      </c>
      <c r="J30" s="464">
        <v>1</v>
      </c>
      <c r="K30" s="49"/>
      <c r="L30" s="49"/>
      <c r="M30" s="55">
        <v>1</v>
      </c>
      <c r="N30" s="358">
        <f ca="1">VLOOKUP(MID(B30,4,6),IEAData2!$BI$49:$BK$63,3,0)*Calibration2!$M$104*$N$2^0.3</f>
        <v>3.2742819021616951E-2</v>
      </c>
      <c r="O30" s="358">
        <f ca="1">VLOOKUP(MID(B30,4,6),AuxData2!$BI$49:$BK$63,3,0)*Calibrati22!$M$104*$N$2^0.3</f>
        <v>1.7678477839846701E-2</v>
      </c>
      <c r="P30" s="59">
        <f ca="1">MAX(N30:O30)*$N$2</f>
        <v>3.9291382825940337E-2</v>
      </c>
      <c r="Q30" s="59">
        <f ca="1">P30*$N$2</f>
        <v>4.7149659391128404E-2</v>
      </c>
      <c r="R30" s="454">
        <f ca="1">VLOOKUP(MID(B30,4,6),IEAData2!$BI$49:$BK$63,3,0)*Calibration2!M$104*0.995</f>
        <v>3.0844999999999952E-2</v>
      </c>
      <c r="S30" s="358">
        <f ca="1">VLOOKUP(MID(B30,4,6),AuxData2!$BI$49:$BK$63,3,0)*Calibrati22!M$104*0.995</f>
        <v>1.6653808843095214E-2</v>
      </c>
      <c r="T30" s="59">
        <v>11</v>
      </c>
      <c r="U30" s="59"/>
    </row>
    <row r="31" spans="2:21">
      <c r="B31" s="82"/>
      <c r="C31" s="82"/>
      <c r="D31" s="156" t="str">
        <f ca="1">IEAData2!R$24</f>
        <v>OILKER</v>
      </c>
      <c r="E31" s="9"/>
      <c r="F31" s="9"/>
      <c r="G31" s="62">
        <f ca="1">VLOOKUP(D31,IEAData2!$AE$48:$AO$76,11,0)</f>
        <v>0</v>
      </c>
      <c r="H31" s="62">
        <f ca="1">VLOOKUP($D31,AuxData2!$AE$48:$AO$76,11,0)</f>
        <v>0</v>
      </c>
      <c r="I31" s="465"/>
      <c r="J31" s="465"/>
      <c r="K31" s="49"/>
      <c r="L31" s="49"/>
      <c r="M31" s="55">
        <f ca="1">ROUND(G31,2)</f>
        <v>0</v>
      </c>
      <c r="N31" s="52"/>
      <c r="O31" s="52"/>
      <c r="P31" s="52"/>
      <c r="Q31" s="52"/>
      <c r="R31" s="453"/>
      <c r="S31" s="52"/>
      <c r="T31" s="52"/>
      <c r="U31" s="52"/>
    </row>
    <row r="32" spans="2:21">
      <c r="B32" s="300"/>
      <c r="C32" s="300"/>
      <c r="D32" s="156" t="str">
        <f ca="1">IEAData2!S$24</f>
        <v>OILGSL</v>
      </c>
      <c r="E32" s="9"/>
      <c r="F32" s="9"/>
      <c r="G32" s="62">
        <f ca="1">VLOOKUP(D32,IEAData2!$AE$48:$AO$76,11,0)/Calibration2!M$104</f>
        <v>0</v>
      </c>
      <c r="H32" s="62">
        <f ca="1">VLOOKUP($D32,AuxData2!$AE$48:$AO$76,11,0)/Calibrati22!$M$104</f>
        <v>0.44929318457050843</v>
      </c>
      <c r="I32" s="115"/>
      <c r="J32" s="115"/>
      <c r="K32" s="49"/>
      <c r="L32" s="49"/>
      <c r="M32" s="55">
        <f ca="1">ROUND(G32,2)</f>
        <v>0</v>
      </c>
      <c r="N32" s="52"/>
      <c r="O32" s="52"/>
      <c r="P32" s="52"/>
      <c r="Q32" s="52"/>
      <c r="R32" s="453"/>
      <c r="S32" s="52"/>
      <c r="T32" s="52"/>
      <c r="U32" s="52"/>
    </row>
    <row r="33" spans="1:28">
      <c r="B33" s="520"/>
      <c r="C33" s="520"/>
      <c r="D33" s="156" t="str">
        <f ca="1">IEAData2!AF$24</f>
        <v>OILJTK</v>
      </c>
      <c r="E33" s="82"/>
      <c r="F33" s="82"/>
      <c r="G33" s="62">
        <f ca="1">VLOOKUP(D33,IEAData2!$AE$48:$AO$76,11,0)/Calibration2!M$104</f>
        <v>0</v>
      </c>
      <c r="H33" s="62">
        <f ca="1">VLOOKUP($D33,AuxData2!$AE$48:$AO$76,11,0)/Calibrati22!$M$104</f>
        <v>0</v>
      </c>
      <c r="I33" s="158"/>
      <c r="J33" s="158"/>
      <c r="K33" s="49"/>
      <c r="L33" s="49"/>
      <c r="M33" s="55">
        <f ca="1">ROUND(G33,2)</f>
        <v>0</v>
      </c>
      <c r="N33" s="52"/>
      <c r="O33" s="52"/>
      <c r="P33" s="52"/>
      <c r="Q33" s="52"/>
      <c r="R33" s="453"/>
      <c r="S33" s="52"/>
      <c r="T33" s="52"/>
      <c r="U33" s="52"/>
    </row>
    <row r="34" spans="1:28">
      <c r="B34" s="150"/>
      <c r="C34" s="150"/>
      <c r="D34" s="150"/>
      <c r="E34" s="150" t="str">
        <f ca="1">IEAData2!L38</f>
        <v>INDOIL</v>
      </c>
      <c r="F34" s="150" t="s">
        <v>143</v>
      </c>
      <c r="G34" s="463"/>
      <c r="H34" s="463"/>
      <c r="I34" s="466"/>
      <c r="J34" s="466"/>
      <c r="K34" s="121"/>
      <c r="L34" s="121"/>
      <c r="M34" s="121"/>
      <c r="N34" s="117"/>
      <c r="O34" s="117"/>
      <c r="P34" s="117"/>
      <c r="Q34" s="117"/>
      <c r="R34" s="477"/>
      <c r="S34" s="117"/>
      <c r="T34" s="117"/>
      <c r="U34" s="117"/>
    </row>
    <row r="35" spans="1:28">
      <c r="B35" s="151" t="str">
        <f>CONCATENATE("FT-",E37,"0")</f>
        <v>FT-INDETH0</v>
      </c>
      <c r="C35" s="151" t="s">
        <v>664</v>
      </c>
      <c r="D35" s="155" t="str">
        <f ca="1">IEAData2!U$24</f>
        <v>GASETH</v>
      </c>
      <c r="E35" s="9"/>
      <c r="F35" s="9"/>
      <c r="G35" s="62"/>
      <c r="H35" s="62"/>
      <c r="I35" s="157">
        <v>1</v>
      </c>
      <c r="J35" s="157">
        <v>1</v>
      </c>
      <c r="K35" s="49"/>
      <c r="L35" s="49"/>
      <c r="M35" s="55">
        <v>1</v>
      </c>
      <c r="N35" s="59">
        <f ca="1">VLOOKUP(MID(B35,4,6),IEAData2!$BI$49:$BK$63,3,0)*$N$2^0.3</f>
        <v>0</v>
      </c>
      <c r="O35" s="59">
        <f ca="1">VLOOKUP(MID(B35,4,6),AuxData2!$BI$49:$BK$63,3,0)*$N$2^0.3</f>
        <v>0</v>
      </c>
      <c r="P35" s="59">
        <f ca="1">MAX(N35:O35)*$N$2</f>
        <v>0</v>
      </c>
      <c r="Q35" s="59">
        <f ca="1">P35*$N$2</f>
        <v>0</v>
      </c>
      <c r="R35" s="452">
        <f ca="1">VLOOKUP(MID(B35,4,6),IEAData2!$BI$49:$BK$63,3,0)*0.995</f>
        <v>0</v>
      </c>
      <c r="S35" s="59">
        <f ca="1">VLOOKUP(MID(B35,4,6),AuxData2!$BI$49:$BK$63,3,0)*0.995</f>
        <v>0</v>
      </c>
      <c r="T35" s="59">
        <v>11</v>
      </c>
      <c r="U35" s="59"/>
    </row>
    <row r="36" spans="1:28">
      <c r="B36" s="300"/>
      <c r="C36" s="300"/>
      <c r="D36" s="156" t="str">
        <f ca="1">IEAData2!N$24</f>
        <v>GASRFG</v>
      </c>
      <c r="E36" s="9"/>
      <c r="F36" s="9"/>
      <c r="G36" s="62">
        <f ca="1">VLOOKUP(D36,IEAData2!$AE$48:$AO$76,11,0)</f>
        <v>0</v>
      </c>
      <c r="H36" s="62">
        <f ca="1">VLOOKUP($D36,AuxData2!$AE$48:$AO$76,11,0)</f>
        <v>0</v>
      </c>
      <c r="I36" s="115"/>
      <c r="J36" s="115"/>
      <c r="K36" s="49"/>
      <c r="L36" s="49"/>
      <c r="M36" s="55">
        <v>1</v>
      </c>
      <c r="N36" s="52"/>
      <c r="O36" s="52"/>
      <c r="P36" s="52"/>
      <c r="Q36" s="52"/>
      <c r="R36" s="453"/>
      <c r="S36" s="52"/>
      <c r="T36" s="52"/>
      <c r="U36" s="52"/>
    </row>
    <row r="37" spans="1:28">
      <c r="B37" s="300"/>
      <c r="C37" s="300"/>
      <c r="D37" s="150"/>
      <c r="E37" s="150" t="str">
        <f ca="1">IEAData2!M38</f>
        <v>INDETH</v>
      </c>
      <c r="F37" s="150" t="s">
        <v>665</v>
      </c>
      <c r="G37" s="152"/>
      <c r="H37" s="152"/>
      <c r="I37" s="115"/>
      <c r="J37" s="115"/>
      <c r="K37" s="121"/>
      <c r="L37" s="121"/>
      <c r="M37" s="121"/>
      <c r="N37" s="117"/>
      <c r="O37" s="117"/>
      <c r="P37" s="117"/>
      <c r="Q37" s="117"/>
      <c r="R37" s="477"/>
      <c r="S37" s="117"/>
      <c r="T37" s="117"/>
      <c r="U37" s="117"/>
    </row>
    <row r="38" spans="1:28">
      <c r="B38" s="151" t="str">
        <f>CONCATENATE("FT-",E39,"0")</f>
        <v>FT-INDNAP0</v>
      </c>
      <c r="C38" s="151" t="s">
        <v>666</v>
      </c>
      <c r="D38" s="155" t="str">
        <f ca="1">IEAData2!V$24</f>
        <v>OILNAP</v>
      </c>
      <c r="E38" s="9"/>
      <c r="F38" s="9"/>
      <c r="G38" s="154"/>
      <c r="H38" s="154"/>
      <c r="I38" s="157">
        <v>1</v>
      </c>
      <c r="J38" s="157">
        <v>1</v>
      </c>
      <c r="K38" s="49"/>
      <c r="L38" s="49"/>
      <c r="M38" s="49"/>
      <c r="N38" s="59">
        <f ca="1">VLOOKUP(MID(B38,4,6),IEAData2!$BI$49:$BK$63,3,0)*$N$2^0.3</f>
        <v>0</v>
      </c>
      <c r="O38" s="59">
        <f ca="1">VLOOKUP(MID(B38,4,6),AuxData2!$BI$49:$BK$63,3,0)*$N$2^0.3</f>
        <v>0.22497485327756198</v>
      </c>
      <c r="P38" s="59">
        <f ca="1">MAX(N38:O38)*$N$2</f>
        <v>0.26996982393307434</v>
      </c>
      <c r="Q38" s="59">
        <f ca="1">P38*$N$2</f>
        <v>0.32396378871968917</v>
      </c>
      <c r="R38" s="452">
        <f ca="1">VLOOKUP(MID(B38,4,6),IEAData2!$BI$49:$BK$63,3,0)*0.995</f>
        <v>0</v>
      </c>
      <c r="S38" s="59">
        <f ca="1">VLOOKUP(MID(B38,4,6),AuxData2!$BI$49:$BK$63,3,0)*0.995</f>
        <v>0.21193499999999998</v>
      </c>
      <c r="T38" s="59">
        <v>11</v>
      </c>
      <c r="U38" s="59"/>
    </row>
    <row r="39" spans="1:28">
      <c r="B39" s="519"/>
      <c r="C39" s="519"/>
      <c r="D39" s="117"/>
      <c r="E39" s="150" t="str">
        <f ca="1">IEAData2!N38</f>
        <v>INDNAP</v>
      </c>
      <c r="F39" s="150" t="s">
        <v>667</v>
      </c>
      <c r="G39" s="119"/>
      <c r="H39" s="119"/>
      <c r="I39" s="120"/>
      <c r="J39" s="120"/>
      <c r="K39" s="121"/>
      <c r="L39" s="121"/>
      <c r="M39" s="121"/>
      <c r="N39" s="117"/>
      <c r="O39" s="117"/>
      <c r="P39" s="117"/>
      <c r="Q39" s="117"/>
      <c r="R39" s="477"/>
      <c r="S39" s="117"/>
      <c r="T39" s="117"/>
      <c r="U39" s="117"/>
    </row>
    <row r="40" spans="1:28">
      <c r="B40" s="151" t="str">
        <f>CONCATENATE("FT-",E41,"0")</f>
        <v>FT-INDPTC0</v>
      </c>
      <c r="C40" s="151" t="s">
        <v>668</v>
      </c>
      <c r="D40" s="155" t="str">
        <f ca="1">IEAData2!W$24</f>
        <v>OILPTC</v>
      </c>
      <c r="E40" s="9"/>
      <c r="F40" s="9"/>
      <c r="G40" s="154"/>
      <c r="H40" s="154"/>
      <c r="I40" s="115">
        <v>1</v>
      </c>
      <c r="J40" s="115">
        <v>1</v>
      </c>
      <c r="K40" s="49"/>
      <c r="L40" s="49"/>
      <c r="M40" s="49"/>
      <c r="N40" s="59">
        <f ca="1">VLOOKUP(MID(B40,4,6),IEAData2!$BI$49:$BK$63,3,0)*$N$2^0.3</f>
        <v>5.703587829571994E-2</v>
      </c>
      <c r="O40" s="59">
        <f ca="1">VLOOKUP(MID(B40,4,6),AuxData2!$BI$49:$BK$63,3,0)*$N$2^0.3</f>
        <v>5.2810998421962907E-2</v>
      </c>
      <c r="P40" s="358">
        <f ca="1">MAX(N40:O40)*$N$2</f>
        <v>6.8443053954863928E-2</v>
      </c>
      <c r="Q40" s="358">
        <f ca="1">P40*$N$2</f>
        <v>8.2131664745836705E-2</v>
      </c>
      <c r="R40" s="454"/>
      <c r="S40" s="358"/>
      <c r="T40" s="358"/>
      <c r="U40" s="358"/>
    </row>
    <row r="41" spans="1:28">
      <c r="B41" s="519"/>
      <c r="C41" s="519"/>
      <c r="D41" s="117"/>
      <c r="E41" s="150" t="str">
        <f ca="1">IEAData2!O38</f>
        <v>INDPTC</v>
      </c>
      <c r="F41" s="150" t="s">
        <v>669</v>
      </c>
      <c r="G41" s="119"/>
      <c r="H41" s="119"/>
      <c r="I41" s="120"/>
      <c r="J41" s="120"/>
      <c r="K41" s="121"/>
      <c r="L41" s="121"/>
      <c r="M41" s="121"/>
      <c r="N41" s="117"/>
      <c r="O41" s="117"/>
      <c r="P41" s="117"/>
      <c r="Q41" s="117"/>
      <c r="R41" s="477"/>
      <c r="S41" s="117"/>
      <c r="T41" s="117"/>
      <c r="U41" s="117"/>
    </row>
    <row r="42" spans="1:28">
      <c r="B42" s="151" t="str">
        <f>CONCATENATE("FT-",E47,"0")</f>
        <v>FT-INDBIO0</v>
      </c>
      <c r="C42" s="151" t="s">
        <v>670</v>
      </c>
      <c r="D42" s="155" t="s">
        <v>1281</v>
      </c>
      <c r="E42" s="169"/>
      <c r="F42" s="169"/>
      <c r="G42" s="62">
        <v>1</v>
      </c>
      <c r="H42" s="62">
        <v>1</v>
      </c>
      <c r="I42" s="157">
        <v>1</v>
      </c>
      <c r="J42" s="157">
        <v>1</v>
      </c>
      <c r="K42" s="49"/>
      <c r="L42" s="49"/>
      <c r="M42" s="55">
        <v>1</v>
      </c>
      <c r="N42" s="59">
        <f ca="1">VLOOKUP(MID(B42,4,6),IEAData2!$BI$49:$BK$63,3,0)*$N$2^0.3</f>
        <v>1.352486793757393</v>
      </c>
      <c r="O42" s="59">
        <f ca="1">VLOOKUP(MID(B42,4,6),AuxData2!$BI$49:$BK$63,3,0)*$N$2^0.3</f>
        <v>1.0813521078404034</v>
      </c>
      <c r="P42" s="59">
        <f ca="1">O42*$N$2^1.3</f>
        <v>1.3705748270578992</v>
      </c>
      <c r="Q42" s="59">
        <f ca="1">P42*$N$2^1.5</f>
        <v>1.8016673988680481</v>
      </c>
      <c r="R42" s="452"/>
      <c r="S42" s="59"/>
      <c r="T42" s="59"/>
      <c r="U42" s="59"/>
    </row>
    <row r="43" spans="1:28">
      <c r="B43" s="520"/>
      <c r="C43" s="520"/>
      <c r="D43" s="156" t="s">
        <v>1315</v>
      </c>
      <c r="E43" s="52"/>
      <c r="F43" s="52"/>
      <c r="G43" s="62">
        <v>0.1</v>
      </c>
      <c r="H43" s="62">
        <v>0.1</v>
      </c>
      <c r="I43" s="52"/>
      <c r="J43" s="52"/>
      <c r="K43" s="49"/>
      <c r="L43" s="49"/>
      <c r="M43" s="55">
        <v>0.2</v>
      </c>
      <c r="N43" s="52"/>
      <c r="O43" s="52"/>
      <c r="P43" s="52"/>
      <c r="Q43" s="52"/>
      <c r="R43" s="453"/>
      <c r="S43" s="52"/>
      <c r="T43" s="52"/>
      <c r="U43" s="52"/>
    </row>
    <row r="44" spans="1:28" ht="14.25">
      <c r="A44" s="114"/>
      <c r="B44" s="82"/>
      <c r="C44" s="82"/>
      <c r="D44" s="156" t="str">
        <f ca="1">IEAData2!AA$24</f>
        <v>BIOGAS</v>
      </c>
      <c r="E44" s="52"/>
      <c r="F44" s="82"/>
      <c r="G44" s="62">
        <f ca="1">VLOOKUP(D44,IEAData2!$AE$48:$AO$76,11,0)</f>
        <v>2.7708219426556595E-2</v>
      </c>
      <c r="H44" s="62">
        <f ca="1">VLOOKUP($D44,AuxData2!$AE$48:$AO$76,11,0)</f>
        <v>1.0281622186106922E-2</v>
      </c>
      <c r="I44" s="52"/>
      <c r="J44" s="52"/>
      <c r="K44" s="49"/>
      <c r="L44" s="49"/>
      <c r="M44" s="55">
        <f ca="1">ROUND(G44,3)</f>
        <v>2.8000000000000001E-2</v>
      </c>
      <c r="N44" s="52"/>
      <c r="O44" s="52"/>
      <c r="P44" s="52"/>
      <c r="Q44" s="52"/>
      <c r="R44" s="453"/>
      <c r="S44" s="52"/>
      <c r="T44" s="52"/>
      <c r="U44" s="52"/>
    </row>
    <row r="45" spans="1:28" ht="14.25">
      <c r="A45" s="114"/>
      <c r="B45" s="82"/>
      <c r="C45" s="82"/>
      <c r="D45" s="156" t="str">
        <f ca="1">IEAData2!AB$24</f>
        <v>BIOBMU</v>
      </c>
      <c r="E45" s="82"/>
      <c r="F45" s="82"/>
      <c r="G45" s="62">
        <f ca="1">VLOOKUP(D45,IEAData2!$AE$48:$AO$76,11,0)</f>
        <v>0.58650403675567986</v>
      </c>
      <c r="H45" s="62">
        <f ca="1">VLOOKUP($D45,AuxData2!$AE$48:$AO$76,11,0)</f>
        <v>6.10646783079914E-2</v>
      </c>
      <c r="I45" s="82"/>
      <c r="J45" s="82"/>
      <c r="K45" s="163"/>
      <c r="L45" s="163"/>
      <c r="M45" s="55">
        <f ca="1">ROUND(G45,3)</f>
        <v>0.58699999999999997</v>
      </c>
      <c r="N45" s="82"/>
      <c r="O45" s="82"/>
      <c r="P45" s="446"/>
      <c r="Q45" s="82"/>
      <c r="R45" s="455"/>
      <c r="S45" s="82"/>
      <c r="T45" s="82"/>
      <c r="U45" s="446"/>
      <c r="Y45" s="80"/>
      <c r="Z45" s="80"/>
      <c r="AA45" s="80"/>
      <c r="AB45" s="80"/>
    </row>
    <row r="46" spans="1:28" ht="14.25">
      <c r="A46" s="114"/>
      <c r="B46" s="82"/>
      <c r="C46" s="82"/>
      <c r="D46" s="156" t="str">
        <f ca="1">IEAData2!AC$24</f>
        <v>BIOBIN</v>
      </c>
      <c r="E46" s="52"/>
      <c r="F46" s="52"/>
      <c r="G46" s="62"/>
      <c r="H46" s="62"/>
      <c r="I46" s="159"/>
      <c r="J46" s="159"/>
      <c r="K46" s="49"/>
      <c r="L46" s="49"/>
      <c r="M46" s="55"/>
      <c r="N46" s="52"/>
      <c r="O46" s="52"/>
      <c r="P46" s="52"/>
      <c r="Q46" s="52"/>
      <c r="R46" s="453"/>
      <c r="S46" s="52"/>
      <c r="T46" s="52"/>
      <c r="U46" s="52"/>
      <c r="Y46" s="80"/>
      <c r="Z46" s="80"/>
      <c r="AA46" s="80"/>
      <c r="AB46" s="80"/>
    </row>
    <row r="47" spans="1:28" ht="14.25">
      <c r="A47" s="114"/>
      <c r="B47" s="519"/>
      <c r="C47" s="519"/>
      <c r="D47" s="150"/>
      <c r="E47" s="150" t="str">
        <f ca="1">IEAData2!P38</f>
        <v>INDBIO</v>
      </c>
      <c r="F47" s="150" t="s">
        <v>671</v>
      </c>
      <c r="G47" s="119"/>
      <c r="H47" s="119"/>
      <c r="I47" s="120"/>
      <c r="J47" s="120"/>
      <c r="K47" s="121"/>
      <c r="L47" s="121"/>
      <c r="M47" s="121"/>
      <c r="N47" s="117"/>
      <c r="O47" s="117"/>
      <c r="P47" s="117"/>
      <c r="Q47" s="117"/>
      <c r="R47" s="477"/>
      <c r="S47" s="117"/>
      <c r="T47" s="117"/>
      <c r="U47" s="117"/>
      <c r="Y47" s="80"/>
      <c r="Z47" s="80"/>
      <c r="AA47" s="80"/>
      <c r="AB47" s="80"/>
    </row>
    <row r="48" spans="1:28">
      <c r="B48" s="151" t="str">
        <f>CONCATENATE("FT-",E49,"0")</f>
        <v>FT-INDGEO0</v>
      </c>
      <c r="C48" s="151" t="s">
        <v>672</v>
      </c>
      <c r="D48" s="155" t="str">
        <f ca="1">IEAData2!AE$24</f>
        <v>GEO</v>
      </c>
      <c r="E48" s="9"/>
      <c r="F48" s="9"/>
      <c r="G48" s="154"/>
      <c r="H48" s="154"/>
      <c r="I48" s="157">
        <v>1</v>
      </c>
      <c r="J48" s="157">
        <v>1</v>
      </c>
      <c r="K48" s="49"/>
      <c r="L48" s="49"/>
      <c r="M48" s="49"/>
      <c r="N48" s="59">
        <f ca="1">VLOOKUP(MID(B48,4,6),IEAData2!$BI$49:$BK$63,3,0)*$N$2^0.3</f>
        <v>0</v>
      </c>
      <c r="O48" s="59">
        <f ca="1">VLOOKUP(MID(B48,4,6),AuxData2!$BI$49:$BK$63,3,0)*$N$2^0.3</f>
        <v>0</v>
      </c>
      <c r="P48" s="59">
        <f ca="1">MAX(N48:O48)*$N$2</f>
        <v>0</v>
      </c>
      <c r="Q48" s="59">
        <f ca="1">P48*$N$2</f>
        <v>0</v>
      </c>
      <c r="R48" s="452"/>
      <c r="S48" s="59"/>
      <c r="T48" s="59"/>
      <c r="U48" s="59"/>
      <c r="Y48" s="80"/>
      <c r="Z48" s="80"/>
      <c r="AA48" s="80"/>
      <c r="AB48" s="80"/>
    </row>
    <row r="49" spans="1:28">
      <c r="B49" s="300"/>
      <c r="C49" s="300"/>
      <c r="D49" s="150"/>
      <c r="E49" s="150" t="str">
        <f ca="1">IEAData2!Q38</f>
        <v>INDGEO</v>
      </c>
      <c r="F49" s="150" t="s">
        <v>673</v>
      </c>
      <c r="G49" s="62"/>
      <c r="H49" s="115"/>
      <c r="I49" s="115"/>
      <c r="J49" s="115"/>
      <c r="K49" s="121"/>
      <c r="L49" s="121"/>
      <c r="M49" s="121"/>
      <c r="N49" s="117"/>
      <c r="O49" s="117"/>
      <c r="P49" s="117"/>
      <c r="Q49" s="117"/>
      <c r="R49" s="477"/>
      <c r="S49" s="117"/>
      <c r="T49" s="117"/>
      <c r="U49" s="117"/>
      <c r="Y49" s="80"/>
      <c r="Z49" s="80"/>
      <c r="AA49" s="80"/>
      <c r="AB49" s="80"/>
    </row>
    <row r="50" spans="1:28"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P50" s="161"/>
      <c r="Q50" s="161"/>
      <c r="X50" s="80"/>
      <c r="Y50" s="80"/>
      <c r="Z50" s="80"/>
      <c r="AA50" s="80"/>
    </row>
    <row r="51" spans="1:28"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P51" s="80"/>
      <c r="Q51" s="80"/>
      <c r="X51" s="80"/>
      <c r="Y51" s="80"/>
      <c r="Z51" s="80"/>
      <c r="AA51" s="80"/>
    </row>
    <row r="52" spans="1:28">
      <c r="F52" s="221"/>
      <c r="G52" s="16"/>
      <c r="H52" s="18"/>
      <c r="I52" s="18"/>
      <c r="J52" s="113"/>
      <c r="K52" s="14"/>
      <c r="L52" s="14"/>
      <c r="M52" s="14"/>
    </row>
    <row r="53" spans="1:28" ht="18">
      <c r="B53" s="185" t="s">
        <v>1413</v>
      </c>
      <c r="C53" s="171"/>
      <c r="D53" s="91"/>
      <c r="E53" s="14"/>
      <c r="F53" s="225" t="str">
        <f>"~FI_T: "&amp;Region&amp;"~EUR10"</f>
        <v>~FI_T: FIM~EUR10</v>
      </c>
      <c r="G53" s="16"/>
      <c r="H53" s="18"/>
      <c r="I53" s="18"/>
      <c r="J53" s="113"/>
      <c r="K53" s="14"/>
      <c r="L53" s="14"/>
      <c r="M53" s="14"/>
    </row>
    <row r="54" spans="1:28" ht="39" thickBot="1">
      <c r="A54" s="114"/>
      <c r="B54" s="149" t="s">
        <v>649</v>
      </c>
      <c r="C54" s="149" t="s">
        <v>650</v>
      </c>
      <c r="D54" s="149" t="s">
        <v>648</v>
      </c>
      <c r="E54" s="149" t="s">
        <v>651</v>
      </c>
      <c r="F54" s="149" t="s">
        <v>773</v>
      </c>
      <c r="G54" s="149" t="s">
        <v>848</v>
      </c>
      <c r="H54" s="149" t="s">
        <v>827</v>
      </c>
      <c r="I54" s="149" t="s">
        <v>828</v>
      </c>
      <c r="J54" s="149" t="s">
        <v>388</v>
      </c>
      <c r="K54" s="149" t="s">
        <v>55</v>
      </c>
      <c r="L54" s="149" t="s">
        <v>50</v>
      </c>
      <c r="M54" s="149" t="s">
        <v>872</v>
      </c>
      <c r="N54" s="45" t="s">
        <v>556</v>
      </c>
      <c r="O54" s="149" t="s">
        <v>53</v>
      </c>
      <c r="P54" s="149" t="s">
        <v>52</v>
      </c>
      <c r="Q54" s="149" t="s">
        <v>51</v>
      </c>
      <c r="R54" s="45" t="s">
        <v>1093</v>
      </c>
      <c r="S54" s="45" t="s">
        <v>658</v>
      </c>
      <c r="T54" s="45" t="s">
        <v>659</v>
      </c>
      <c r="U54" s="149" t="s">
        <v>1379</v>
      </c>
    </row>
    <row r="55" spans="1:28">
      <c r="B55" s="84" t="str">
        <f>CONCATENATE("FT-",E57,"0")</f>
        <v>FT-INDELC0</v>
      </c>
      <c r="C55" s="84" t="s">
        <v>700</v>
      </c>
      <c r="D55" s="196" t="s">
        <v>1231</v>
      </c>
      <c r="E55" s="84"/>
      <c r="F55" s="84"/>
      <c r="G55" s="524">
        <v>1</v>
      </c>
      <c r="H55" s="164"/>
      <c r="I55" s="164"/>
      <c r="J55" s="521"/>
      <c r="K55" s="165"/>
      <c r="L55" s="524">
        <v>1</v>
      </c>
      <c r="M55" s="527">
        <v>1</v>
      </c>
      <c r="N55" s="521"/>
      <c r="O55" s="521"/>
      <c r="P55" s="521"/>
      <c r="Q55" s="521">
        <v>1</v>
      </c>
      <c r="R55" s="166"/>
      <c r="S55" s="166"/>
      <c r="T55" s="166"/>
      <c r="U55" s="166"/>
    </row>
    <row r="56" spans="1:28">
      <c r="B56" s="82"/>
      <c r="C56" s="82"/>
      <c r="D56" s="197" t="s">
        <v>958</v>
      </c>
      <c r="E56" s="9"/>
      <c r="F56" s="9"/>
      <c r="G56" s="525"/>
      <c r="H56" s="167"/>
      <c r="I56" s="167"/>
      <c r="J56" s="410"/>
      <c r="K56" s="62"/>
      <c r="L56" s="62"/>
      <c r="M56" s="528"/>
      <c r="N56" s="410"/>
      <c r="O56" s="410"/>
      <c r="P56" s="410"/>
      <c r="Q56" s="410"/>
      <c r="R56" s="12"/>
      <c r="S56" s="12"/>
      <c r="T56" s="12"/>
      <c r="U56" s="12"/>
    </row>
    <row r="57" spans="1:28">
      <c r="B57" s="519"/>
      <c r="C57" s="519"/>
      <c r="D57" s="117"/>
      <c r="E57" s="150" t="str">
        <f ca="1">IEAData2!B38</f>
        <v>INDELC</v>
      </c>
      <c r="F57" s="150" t="s">
        <v>701</v>
      </c>
      <c r="G57" s="526"/>
      <c r="H57" s="117"/>
      <c r="I57" s="117"/>
      <c r="J57" s="522"/>
      <c r="K57" s="152"/>
      <c r="L57" s="152"/>
      <c r="M57" s="526"/>
      <c r="N57" s="522"/>
      <c r="O57" s="522"/>
      <c r="P57" s="522"/>
      <c r="Q57" s="522"/>
      <c r="R57" s="121"/>
      <c r="S57" s="121"/>
      <c r="T57" s="121"/>
      <c r="U57" s="121"/>
    </row>
    <row r="58" spans="1:28">
      <c r="B58" s="520" t="s">
        <v>1255</v>
      </c>
      <c r="C58" s="520" t="s">
        <v>1458</v>
      </c>
      <c r="D58" s="52" t="str">
        <f>E57</f>
        <v>INDELC</v>
      </c>
      <c r="E58" s="82"/>
      <c r="F58" s="82"/>
      <c r="G58" s="386"/>
      <c r="H58" s="52"/>
      <c r="I58" s="52"/>
      <c r="J58" s="434">
        <v>1</v>
      </c>
      <c r="K58" s="153"/>
      <c r="L58" s="153"/>
      <c r="M58" s="386"/>
      <c r="N58" s="434"/>
      <c r="O58" s="434"/>
      <c r="P58" s="434"/>
      <c r="Q58" s="434"/>
      <c r="R58" s="49"/>
      <c r="S58" s="49"/>
      <c r="T58" s="49"/>
      <c r="U58" s="49"/>
    </row>
    <row r="59" spans="1:28">
      <c r="B59" s="218"/>
      <c r="C59" s="52"/>
      <c r="D59" s="52"/>
      <c r="E59" s="82" t="s">
        <v>1245</v>
      </c>
      <c r="F59" s="82" t="s">
        <v>1250</v>
      </c>
      <c r="G59" s="386"/>
      <c r="H59" s="52"/>
      <c r="I59" s="52"/>
      <c r="J59" s="434"/>
      <c r="K59" s="153"/>
      <c r="L59" s="153"/>
      <c r="M59" s="386"/>
      <c r="N59" s="434"/>
      <c r="O59" s="434"/>
      <c r="P59" s="434"/>
      <c r="Q59" s="434"/>
      <c r="R59" s="49"/>
      <c r="S59" s="49"/>
      <c r="T59" s="49"/>
      <c r="U59" s="49"/>
    </row>
    <row r="60" spans="1:28">
      <c r="B60" s="218"/>
      <c r="C60" s="52"/>
      <c r="D60" s="52"/>
      <c r="E60" s="82" t="s">
        <v>1246</v>
      </c>
      <c r="F60" s="82" t="s">
        <v>1254</v>
      </c>
      <c r="G60" s="386"/>
      <c r="H60" s="52"/>
      <c r="I60" s="52"/>
      <c r="J60" s="434"/>
      <c r="K60" s="153"/>
      <c r="L60" s="153"/>
      <c r="M60" s="386"/>
      <c r="N60" s="434"/>
      <c r="O60" s="434"/>
      <c r="P60" s="434"/>
      <c r="Q60" s="434"/>
      <c r="R60" s="49"/>
      <c r="S60" s="49"/>
      <c r="T60" s="49"/>
      <c r="U60" s="49"/>
    </row>
    <row r="61" spans="1:28">
      <c r="B61" s="218"/>
      <c r="C61" s="52"/>
      <c r="D61" s="52"/>
      <c r="E61" s="82" t="s">
        <v>1248</v>
      </c>
      <c r="F61" s="82" t="s">
        <v>1253</v>
      </c>
      <c r="G61" s="386"/>
      <c r="H61" s="52"/>
      <c r="I61" s="52"/>
      <c r="J61" s="434"/>
      <c r="K61" s="153"/>
      <c r="L61" s="153"/>
      <c r="M61" s="386"/>
      <c r="N61" s="434"/>
      <c r="O61" s="434"/>
      <c r="P61" s="434"/>
      <c r="Q61" s="434"/>
      <c r="R61" s="49"/>
      <c r="S61" s="49"/>
      <c r="T61" s="49"/>
      <c r="U61" s="49"/>
    </row>
    <row r="62" spans="1:28">
      <c r="B62" s="218"/>
      <c r="C62" s="52"/>
      <c r="D62" s="52"/>
      <c r="E62" s="82" t="s">
        <v>1247</v>
      </c>
      <c r="F62" s="82" t="s">
        <v>1252</v>
      </c>
      <c r="G62" s="386"/>
      <c r="H62" s="52"/>
      <c r="I62" s="52"/>
      <c r="J62" s="434"/>
      <c r="K62" s="153"/>
      <c r="L62" s="153"/>
      <c r="M62" s="386"/>
      <c r="N62" s="434"/>
      <c r="O62" s="434"/>
      <c r="P62" s="434"/>
      <c r="Q62" s="434"/>
      <c r="R62" s="49"/>
      <c r="S62" s="49"/>
      <c r="T62" s="49"/>
      <c r="U62" s="49"/>
    </row>
    <row r="63" spans="1:28">
      <c r="B63" s="218"/>
      <c r="C63" s="52"/>
      <c r="D63" s="52"/>
      <c r="E63" s="446" t="s">
        <v>1249</v>
      </c>
      <c r="F63" s="446" t="s">
        <v>1251</v>
      </c>
      <c r="G63" s="386"/>
      <c r="H63" s="52"/>
      <c r="I63" s="52"/>
      <c r="J63" s="434"/>
      <c r="K63" s="153"/>
      <c r="L63" s="153"/>
      <c r="M63" s="386"/>
      <c r="N63" s="434"/>
      <c r="O63" s="434"/>
      <c r="P63" s="434"/>
      <c r="Q63" s="434"/>
      <c r="R63" s="49"/>
      <c r="S63" s="49"/>
      <c r="T63" s="49"/>
      <c r="U63" s="49"/>
    </row>
    <row r="64" spans="1:28">
      <c r="B64" s="218"/>
      <c r="C64" s="52"/>
      <c r="D64" s="52"/>
      <c r="E64" s="446" t="s">
        <v>1349</v>
      </c>
      <c r="F64" s="446" t="s">
        <v>1350</v>
      </c>
      <c r="G64" s="386"/>
      <c r="H64" s="52"/>
      <c r="I64" s="52"/>
      <c r="J64" s="434"/>
      <c r="K64" s="153"/>
      <c r="L64" s="153"/>
      <c r="M64" s="386"/>
      <c r="N64" s="434"/>
      <c r="O64" s="434"/>
      <c r="P64" s="434"/>
      <c r="Q64" s="434"/>
      <c r="R64" s="49"/>
      <c r="S64" s="49"/>
      <c r="T64" s="49"/>
      <c r="U64" s="49"/>
    </row>
    <row r="65" spans="1:27">
      <c r="B65" s="117"/>
      <c r="C65" s="117"/>
      <c r="D65" s="117"/>
      <c r="E65" s="117" t="s">
        <v>1351</v>
      </c>
      <c r="F65" s="117" t="s">
        <v>1352</v>
      </c>
      <c r="G65" s="526"/>
      <c r="H65" s="117"/>
      <c r="I65" s="117"/>
      <c r="J65" s="522"/>
      <c r="K65" s="152"/>
      <c r="L65" s="152"/>
      <c r="M65" s="526"/>
      <c r="N65" s="522"/>
      <c r="O65" s="522"/>
      <c r="P65" s="522"/>
      <c r="Q65" s="522"/>
      <c r="R65" s="121"/>
      <c r="S65" s="121"/>
      <c r="T65" s="121"/>
      <c r="U65" s="121"/>
    </row>
    <row r="66" spans="1:27">
      <c r="B66" s="9" t="str">
        <f>CONCATENATE("FT-",E67,"0")</f>
        <v>FT-INDHET0</v>
      </c>
      <c r="C66" s="9" t="s">
        <v>1414</v>
      </c>
      <c r="D66" s="9" t="str">
        <f ca="1">IEAData2!AD$24</f>
        <v>HET</v>
      </c>
      <c r="E66" s="9"/>
      <c r="F66" s="9"/>
      <c r="G66" s="304">
        <v>1</v>
      </c>
      <c r="H66" s="9"/>
      <c r="I66" s="9"/>
      <c r="J66" s="523">
        <v>1</v>
      </c>
      <c r="K66" s="9"/>
      <c r="L66" s="9"/>
      <c r="M66" s="529">
        <v>1</v>
      </c>
      <c r="N66" s="410"/>
      <c r="O66" s="410"/>
      <c r="P66" s="410"/>
      <c r="Q66" s="410"/>
      <c r="R66" s="59">
        <f ca="1">MAX(0,IEAData2!$BG$40-IEAData2!BB$41-IEAData2!BB$69+Calibration2!S96)*IND_Fuels2!$N$2</f>
        <v>0.73558221377527178</v>
      </c>
      <c r="S66" s="59">
        <f>R66*$N$2</f>
        <v>0.88269865653032609</v>
      </c>
      <c r="T66" s="59">
        <f>S66*$N$2</f>
        <v>1.0592383878363913</v>
      </c>
      <c r="U66" s="410">
        <v>1</v>
      </c>
    </row>
    <row r="67" spans="1:27" ht="14.25">
      <c r="A67" s="114"/>
      <c r="B67" s="150"/>
      <c r="C67" s="150"/>
      <c r="D67" s="150"/>
      <c r="E67" s="150" t="str">
        <f ca="1">IEAData2!R38</f>
        <v>INDHET</v>
      </c>
      <c r="F67" s="150" t="s">
        <v>703</v>
      </c>
      <c r="G67" s="305"/>
      <c r="H67" s="152"/>
      <c r="I67" s="152"/>
      <c r="J67" s="305"/>
      <c r="K67" s="152"/>
      <c r="L67" s="152"/>
      <c r="M67" s="526"/>
      <c r="N67" s="522"/>
      <c r="O67" s="522"/>
      <c r="P67" s="522"/>
      <c r="Q67" s="522"/>
      <c r="R67" s="117"/>
      <c r="S67" s="117"/>
      <c r="T67" s="117"/>
      <c r="U67" s="121"/>
    </row>
    <row r="68" spans="1:27" ht="14.25">
      <c r="A68" s="114"/>
      <c r="B68" s="9" t="str">
        <f>CONCATENATE("FT-",E69,"0")</f>
        <v>FT-INDLTH0</v>
      </c>
      <c r="C68" s="9" t="s">
        <v>1</v>
      </c>
      <c r="D68" s="9" t="s">
        <v>844</v>
      </c>
      <c r="E68" s="457" t="s">
        <v>1363</v>
      </c>
      <c r="F68" s="9"/>
      <c r="G68" s="401"/>
      <c r="H68" s="153"/>
      <c r="I68" s="153"/>
      <c r="J68" s="578"/>
      <c r="K68" s="62">
        <f ca="1">7/SUM(AuxData2!$T$69)</f>
        <v>4.1491584829958397</v>
      </c>
      <c r="L68" s="525">
        <v>1</v>
      </c>
      <c r="M68" s="386">
        <v>0.3</v>
      </c>
      <c r="N68" s="434">
        <v>70</v>
      </c>
      <c r="O68" s="434">
        <v>15</v>
      </c>
      <c r="P68" s="434"/>
      <c r="Q68" s="434"/>
      <c r="R68" s="52"/>
      <c r="S68" s="52"/>
      <c r="T68" s="52"/>
      <c r="U68" s="49"/>
    </row>
    <row r="69" spans="1:27" ht="14.25">
      <c r="A69" s="114"/>
      <c r="B69" s="150"/>
      <c r="C69" s="150"/>
      <c r="D69" s="150"/>
      <c r="E69" s="150" t="s">
        <v>993</v>
      </c>
      <c r="F69" s="150" t="s">
        <v>1492</v>
      </c>
      <c r="G69" s="305"/>
      <c r="H69" s="152"/>
      <c r="I69" s="152"/>
      <c r="J69" s="305"/>
      <c r="K69" s="152"/>
      <c r="L69" s="152"/>
      <c r="M69" s="526"/>
      <c r="N69" s="522"/>
      <c r="O69" s="522"/>
      <c r="P69" s="522"/>
      <c r="Q69" s="522"/>
      <c r="R69" s="117"/>
      <c r="S69" s="117"/>
      <c r="T69" s="117"/>
      <c r="U69" s="121"/>
    </row>
    <row r="70" spans="1:27" ht="14.25">
      <c r="A70" s="114"/>
      <c r="B70" s="9" t="str">
        <f>CONCATENATE("FT-",E71,"0")</f>
        <v>FT-INDNUC0</v>
      </c>
      <c r="C70" s="9" t="s">
        <v>39</v>
      </c>
      <c r="D70" s="9" t="s">
        <v>4</v>
      </c>
      <c r="E70" s="9"/>
      <c r="F70" s="9"/>
      <c r="G70" s="304">
        <v>1</v>
      </c>
      <c r="H70" s="62"/>
      <c r="I70" s="62"/>
      <c r="J70" s="445">
        <f ca="1">1/IEAData2!BC64</f>
        <v>3.3333333333333335</v>
      </c>
      <c r="K70" s="62"/>
      <c r="L70" s="62"/>
      <c r="M70" s="530">
        <v>1</v>
      </c>
      <c r="N70" s="410"/>
      <c r="O70" s="410"/>
      <c r="P70" s="410"/>
      <c r="Q70" s="410">
        <v>5</v>
      </c>
      <c r="R70" s="12"/>
      <c r="S70" s="12"/>
      <c r="T70" s="12"/>
      <c r="U70" s="12"/>
    </row>
    <row r="71" spans="1:27" ht="14.25">
      <c r="A71" s="114"/>
      <c r="B71" s="150"/>
      <c r="C71" s="150"/>
      <c r="D71" s="150"/>
      <c r="E71" s="150" t="str">
        <f ca="1">IEAData2!AX64</f>
        <v>INDNUC</v>
      </c>
      <c r="F71" s="150" t="s">
        <v>40</v>
      </c>
      <c r="G71" s="305"/>
      <c r="H71" s="119"/>
      <c r="I71" s="119"/>
      <c r="J71" s="305"/>
      <c r="K71" s="119"/>
      <c r="L71" s="119"/>
      <c r="M71" s="531"/>
      <c r="N71" s="522"/>
      <c r="O71" s="522"/>
      <c r="P71" s="522"/>
      <c r="Q71" s="522"/>
      <c r="R71" s="121"/>
      <c r="S71" s="121"/>
      <c r="T71" s="121"/>
      <c r="U71" s="121"/>
      <c r="V71" s="15"/>
      <c r="W71" s="15"/>
      <c r="X71" s="15"/>
      <c r="Y71" s="15"/>
      <c r="Z71" s="15"/>
      <c r="AA71" s="15"/>
    </row>
    <row r="72" spans="1:27">
      <c r="B72" s="80"/>
      <c r="C72" s="80"/>
      <c r="D72" s="80"/>
      <c r="E72" s="80"/>
      <c r="F72" s="221"/>
      <c r="G72" s="80"/>
      <c r="H72" s="80"/>
      <c r="I72" s="80"/>
      <c r="J72" s="80"/>
      <c r="L72" s="80"/>
      <c r="M72" s="80"/>
      <c r="P72" s="80"/>
      <c r="Q72" s="80"/>
      <c r="R72" s="80"/>
      <c r="S72" s="80"/>
      <c r="T72" s="80"/>
      <c r="U72" s="80"/>
      <c r="V72" s="15"/>
      <c r="W72" s="15"/>
      <c r="X72" s="15"/>
      <c r="Y72" s="15"/>
      <c r="Z72" s="15"/>
    </row>
    <row r="73" spans="1:27">
      <c r="B73" s="80"/>
      <c r="C73" s="80"/>
      <c r="D73" s="80"/>
      <c r="E73" s="80"/>
      <c r="F73" s="221"/>
      <c r="G73" s="80"/>
      <c r="H73" s="80"/>
      <c r="I73" s="80"/>
      <c r="J73" s="80"/>
      <c r="K73" s="80"/>
      <c r="L73" s="80"/>
      <c r="M73" s="80"/>
      <c r="O73" s="80"/>
      <c r="P73" s="80"/>
      <c r="Q73" s="80"/>
      <c r="R73" s="80"/>
      <c r="S73" s="80"/>
      <c r="T73" s="80"/>
      <c r="U73" s="80"/>
      <c r="V73" s="15"/>
      <c r="W73" s="15"/>
      <c r="X73" s="15"/>
      <c r="Y73" s="15"/>
      <c r="Z73" s="15"/>
    </row>
    <row r="75" spans="1:27">
      <c r="F75" s="216"/>
    </row>
    <row r="76" spans="1:27" ht="18">
      <c r="B76" s="112" t="s">
        <v>197</v>
      </c>
      <c r="C76" s="86"/>
      <c r="D76" s="86"/>
      <c r="F76" s="225" t="str">
        <f>"~FI_T: "&amp;Region&amp;"~EUR10"</f>
        <v>~FI_T: FIM~EUR10</v>
      </c>
    </row>
    <row r="77" spans="1:27" ht="39" thickBot="1">
      <c r="B77" s="45" t="s">
        <v>649</v>
      </c>
      <c r="C77" s="45" t="s">
        <v>650</v>
      </c>
      <c r="D77" s="45" t="s">
        <v>648</v>
      </c>
      <c r="E77" s="45" t="s">
        <v>651</v>
      </c>
      <c r="F77" s="45" t="s">
        <v>773</v>
      </c>
      <c r="G77" s="45" t="s">
        <v>848</v>
      </c>
      <c r="H77" s="45" t="s">
        <v>1010</v>
      </c>
      <c r="I77" s="45" t="s">
        <v>50</v>
      </c>
      <c r="J77" s="45" t="s">
        <v>872</v>
      </c>
      <c r="K77" s="45" t="s">
        <v>556</v>
      </c>
      <c r="L77" s="45" t="s">
        <v>53</v>
      </c>
      <c r="M77" s="45" t="s">
        <v>526</v>
      </c>
      <c r="N77" s="45" t="s">
        <v>289</v>
      </c>
      <c r="O77" s="45" t="s">
        <v>1523</v>
      </c>
      <c r="P77" s="149" t="s">
        <v>931</v>
      </c>
      <c r="Q77" s="149" t="s">
        <v>499</v>
      </c>
      <c r="R77" s="149" t="s">
        <v>704</v>
      </c>
      <c r="S77" s="45" t="s">
        <v>1093</v>
      </c>
      <c r="T77" s="45" t="s">
        <v>658</v>
      </c>
    </row>
    <row r="78" spans="1:27">
      <c r="B78" s="84" t="s">
        <v>1397</v>
      </c>
      <c r="C78" s="300" t="s">
        <v>202</v>
      </c>
      <c r="D78" s="46" t="s">
        <v>951</v>
      </c>
      <c r="E78" s="9"/>
      <c r="F78" s="9"/>
      <c r="G78" s="46">
        <v>1</v>
      </c>
      <c r="H78" s="62">
        <f ca="1">IF(AuxData2!$C$34=0,1,AuxData2!C$18/AuxData2!$C$34)</f>
        <v>1</v>
      </c>
      <c r="I78" s="530">
        <v>1</v>
      </c>
      <c r="J78" s="530">
        <v>1</v>
      </c>
      <c r="K78" s="49">
        <v>50</v>
      </c>
      <c r="L78" s="49">
        <f>ROUND(PV(0.05,K78,-1.35)*1,0)</f>
        <v>25</v>
      </c>
      <c r="M78" s="49">
        <v>1</v>
      </c>
      <c r="N78" s="49"/>
      <c r="O78" s="49"/>
      <c r="P78" s="345"/>
      <c r="Q78" s="345"/>
      <c r="R78" s="52">
        <f ca="1">BaseYear+1</f>
        <v>2011</v>
      </c>
      <c r="S78" s="52"/>
      <c r="T78" s="52"/>
    </row>
    <row r="79" spans="1:27">
      <c r="B79" s="9"/>
      <c r="C79" s="300"/>
      <c r="D79" s="46" t="s">
        <v>1348</v>
      </c>
      <c r="E79" s="9"/>
      <c r="F79" s="9"/>
      <c r="G79" s="46"/>
      <c r="H79" s="62"/>
      <c r="I79" s="530"/>
      <c r="J79" s="530"/>
      <c r="K79" s="49"/>
      <c r="L79" s="49"/>
      <c r="M79" s="55">
        <v>0.05</v>
      </c>
      <c r="N79" s="55">
        <v>0.65</v>
      </c>
      <c r="O79" s="55">
        <v>0.9</v>
      </c>
      <c r="P79" s="304"/>
      <c r="Q79" s="304"/>
      <c r="R79" s="9"/>
      <c r="S79" s="9"/>
      <c r="T79" s="9"/>
    </row>
    <row r="80" spans="1:27">
      <c r="B80" s="9"/>
      <c r="C80" s="300"/>
      <c r="D80" s="46" t="s">
        <v>1449</v>
      </c>
      <c r="E80" s="9"/>
      <c r="F80" s="9"/>
      <c r="G80" s="46"/>
      <c r="H80" s="62"/>
      <c r="I80" s="530"/>
      <c r="J80" s="530"/>
      <c r="K80" s="49"/>
      <c r="L80" s="49"/>
      <c r="M80" s="55">
        <v>0.02</v>
      </c>
      <c r="N80" s="55">
        <v>0.15</v>
      </c>
      <c r="O80" s="55"/>
      <c r="P80" s="304"/>
      <c r="Q80" s="304"/>
      <c r="R80" s="9"/>
      <c r="S80" s="9"/>
      <c r="T80" s="9"/>
    </row>
    <row r="81" spans="2:20">
      <c r="B81" s="220"/>
      <c r="C81" s="220"/>
      <c r="D81" s="150"/>
      <c r="E81" s="150" t="s">
        <v>906</v>
      </c>
      <c r="F81" s="150" t="s">
        <v>99</v>
      </c>
      <c r="G81" s="162"/>
      <c r="H81" s="152"/>
      <c r="I81" s="576"/>
      <c r="J81" s="576"/>
      <c r="K81" s="121"/>
      <c r="L81" s="121"/>
      <c r="M81" s="121"/>
      <c r="N81" s="121"/>
      <c r="O81" s="121"/>
      <c r="P81" s="526"/>
      <c r="Q81" s="526"/>
      <c r="R81" s="117"/>
      <c r="S81" s="117"/>
      <c r="T81" s="117"/>
    </row>
    <row r="82" spans="2:20">
      <c r="B82" s="151" t="s">
        <v>1398</v>
      </c>
      <c r="C82" s="151" t="s">
        <v>204</v>
      </c>
      <c r="D82" s="155" t="s">
        <v>1084</v>
      </c>
      <c r="E82" s="151"/>
      <c r="F82" s="151"/>
      <c r="G82" s="155">
        <v>1</v>
      </c>
      <c r="H82" s="154"/>
      <c r="I82" s="577">
        <v>1</v>
      </c>
      <c r="J82" s="577">
        <v>1</v>
      </c>
      <c r="K82" s="49"/>
      <c r="L82" s="49"/>
      <c r="M82" s="49"/>
      <c r="N82" s="49"/>
      <c r="O82" s="49"/>
      <c r="P82" s="386">
        <v>0.5</v>
      </c>
      <c r="Q82" s="386"/>
      <c r="R82" s="52">
        <f ca="1">BaseYear+1</f>
        <v>2011</v>
      </c>
      <c r="S82" s="52"/>
      <c r="T82" s="52"/>
    </row>
    <row r="83" spans="2:20">
      <c r="B83" s="220"/>
      <c r="C83" s="150"/>
      <c r="D83" s="150"/>
      <c r="E83" s="150" t="s">
        <v>907</v>
      </c>
      <c r="F83" s="150" t="s">
        <v>101</v>
      </c>
      <c r="G83" s="162"/>
      <c r="H83" s="152"/>
      <c r="I83" s="576"/>
      <c r="J83" s="576"/>
      <c r="K83" s="121"/>
      <c r="L83" s="121"/>
      <c r="M83" s="121"/>
      <c r="N83" s="121"/>
      <c r="O83" s="121"/>
      <c r="P83" s="526"/>
      <c r="Q83" s="526"/>
      <c r="R83" s="117"/>
      <c r="S83" s="117"/>
      <c r="T83" s="117"/>
    </row>
    <row r="84" spans="2:20">
      <c r="B84" s="151" t="s">
        <v>1399</v>
      </c>
      <c r="C84" s="151" t="s">
        <v>1506</v>
      </c>
      <c r="D84" s="155" t="s">
        <v>953</v>
      </c>
      <c r="E84" s="151"/>
      <c r="F84" s="151"/>
      <c r="G84" s="155">
        <v>1</v>
      </c>
      <c r="H84" s="154"/>
      <c r="I84" s="577">
        <v>1</v>
      </c>
      <c r="J84" s="577">
        <v>1</v>
      </c>
      <c r="K84" s="49">
        <v>100</v>
      </c>
      <c r="L84" s="49"/>
      <c r="M84" s="49"/>
      <c r="N84" s="49"/>
      <c r="O84" s="49"/>
      <c r="P84" s="386">
        <f>0.65+0.5</f>
        <v>1.1499999999999999</v>
      </c>
      <c r="Q84" s="386"/>
      <c r="R84" s="52">
        <f ca="1">BaseYear+1</f>
        <v>2011</v>
      </c>
      <c r="S84" s="52"/>
      <c r="T84" s="52"/>
    </row>
    <row r="85" spans="2:20">
      <c r="B85" s="150"/>
      <c r="C85" s="150"/>
      <c r="D85" s="150"/>
      <c r="E85" s="150" t="s">
        <v>1150</v>
      </c>
      <c r="F85" s="150" t="s">
        <v>1152</v>
      </c>
      <c r="G85" s="162"/>
      <c r="H85" s="152"/>
      <c r="I85" s="576"/>
      <c r="J85" s="576"/>
      <c r="K85" s="121"/>
      <c r="L85" s="121"/>
      <c r="M85" s="121"/>
      <c r="N85" s="121"/>
      <c r="O85" s="121"/>
      <c r="P85" s="526"/>
      <c r="Q85" s="526"/>
      <c r="R85" s="117"/>
      <c r="S85" s="117"/>
      <c r="T85" s="117"/>
    </row>
    <row r="86" spans="2:20">
      <c r="B86" s="151" t="s">
        <v>1400</v>
      </c>
      <c r="C86" s="151" t="s">
        <v>206</v>
      </c>
      <c r="D86" s="155" t="s">
        <v>952</v>
      </c>
      <c r="E86" s="151"/>
      <c r="F86" s="151"/>
      <c r="G86" s="155">
        <v>1</v>
      </c>
      <c r="H86" s="154"/>
      <c r="I86" s="577">
        <v>1</v>
      </c>
      <c r="J86" s="577">
        <v>1</v>
      </c>
      <c r="K86" s="49">
        <v>100</v>
      </c>
      <c r="L86" s="49"/>
      <c r="M86" s="55"/>
      <c r="N86" s="55"/>
      <c r="O86" s="55"/>
      <c r="P86" s="606">
        <v>0.4</v>
      </c>
      <c r="Q86" s="606"/>
      <c r="R86" s="52">
        <f ca="1">BaseYear+1</f>
        <v>2011</v>
      </c>
      <c r="S86" s="52"/>
      <c r="T86" s="52"/>
    </row>
    <row r="87" spans="2:20">
      <c r="B87" s="220"/>
      <c r="C87" s="300"/>
      <c r="D87" s="150"/>
      <c r="E87" s="150" t="s">
        <v>909</v>
      </c>
      <c r="F87" s="150" t="s">
        <v>105</v>
      </c>
      <c r="G87" s="46"/>
      <c r="H87" s="152"/>
      <c r="I87" s="530"/>
      <c r="J87" s="530"/>
      <c r="K87" s="121"/>
      <c r="L87" s="121"/>
      <c r="M87" s="121"/>
      <c r="N87" s="121"/>
      <c r="O87" s="121"/>
      <c r="P87" s="526"/>
      <c r="Q87" s="526"/>
      <c r="R87" s="117"/>
      <c r="S87" s="117"/>
      <c r="T87" s="117"/>
    </row>
    <row r="88" spans="2:20">
      <c r="B88" s="151" t="s">
        <v>1401</v>
      </c>
      <c r="C88" s="151" t="s">
        <v>208</v>
      </c>
      <c r="D88" s="155" t="s">
        <v>954</v>
      </c>
      <c r="E88" s="151"/>
      <c r="F88" s="151"/>
      <c r="G88" s="155">
        <v>1</v>
      </c>
      <c r="H88" s="154"/>
      <c r="I88" s="577">
        <v>1</v>
      </c>
      <c r="J88" s="577">
        <v>1</v>
      </c>
      <c r="K88" s="49">
        <v>100</v>
      </c>
      <c r="L88" s="49"/>
      <c r="M88" s="49"/>
      <c r="N88" s="49"/>
      <c r="O88" s="49"/>
      <c r="P88" s="386"/>
      <c r="Q88" s="386"/>
      <c r="R88" s="52">
        <f ca="1">BaseYear+1</f>
        <v>2011</v>
      </c>
      <c r="S88" s="52"/>
      <c r="T88" s="52"/>
    </row>
    <row r="89" spans="2:20">
      <c r="B89" s="82"/>
      <c r="C89" s="82"/>
      <c r="D89" s="156" t="s">
        <v>846</v>
      </c>
      <c r="E89" s="82"/>
      <c r="F89" s="82"/>
      <c r="G89" s="156"/>
      <c r="H89" s="153"/>
      <c r="I89" s="528"/>
      <c r="J89" s="528"/>
      <c r="K89" s="49"/>
      <c r="L89" s="49"/>
      <c r="M89" s="49">
        <v>0</v>
      </c>
      <c r="N89" s="49">
        <v>0.5</v>
      </c>
      <c r="O89" s="49"/>
      <c r="P89" s="386"/>
      <c r="Q89" s="386">
        <v>0.2</v>
      </c>
      <c r="R89" s="52"/>
      <c r="S89" s="52"/>
      <c r="T89" s="52"/>
    </row>
    <row r="90" spans="2:20">
      <c r="B90" s="150"/>
      <c r="C90" s="150"/>
      <c r="D90" s="150"/>
      <c r="E90" s="150" t="s">
        <v>910</v>
      </c>
      <c r="F90" s="150" t="s">
        <v>120</v>
      </c>
      <c r="G90" s="162"/>
      <c r="H90" s="152"/>
      <c r="I90" s="576"/>
      <c r="J90" s="576"/>
      <c r="K90" s="121"/>
      <c r="L90" s="121"/>
      <c r="M90" s="121"/>
      <c r="N90" s="121"/>
      <c r="O90" s="121"/>
      <c r="P90" s="526"/>
      <c r="Q90" s="526"/>
      <c r="R90" s="117"/>
      <c r="S90" s="117"/>
      <c r="T90" s="117"/>
    </row>
    <row r="91" spans="2:20">
      <c r="B91" s="151" t="s">
        <v>1402</v>
      </c>
      <c r="C91" s="151" t="s">
        <v>210</v>
      </c>
      <c r="D91" s="155" t="s">
        <v>956</v>
      </c>
      <c r="E91" s="151"/>
      <c r="F91" s="151"/>
      <c r="G91" s="155">
        <v>1</v>
      </c>
      <c r="H91" s="154"/>
      <c r="I91" s="577">
        <v>1</v>
      </c>
      <c r="J91" s="577">
        <v>1</v>
      </c>
      <c r="K91" s="49">
        <v>100</v>
      </c>
      <c r="L91" s="49"/>
      <c r="M91" s="49"/>
      <c r="N91" s="49"/>
      <c r="O91" s="49"/>
      <c r="P91" s="386"/>
      <c r="Q91" s="386"/>
      <c r="R91" s="52">
        <f ca="1">BaseYear+1</f>
        <v>2011</v>
      </c>
      <c r="S91" s="52"/>
      <c r="T91" s="52"/>
    </row>
    <row r="92" spans="2:20">
      <c r="B92" s="220"/>
      <c r="C92" s="150"/>
      <c r="D92" s="150"/>
      <c r="E92" s="150" t="s">
        <v>911</v>
      </c>
      <c r="F92" s="150" t="s">
        <v>122</v>
      </c>
      <c r="G92" s="162"/>
      <c r="H92" s="152"/>
      <c r="I92" s="576"/>
      <c r="J92" s="576"/>
      <c r="K92" s="121"/>
      <c r="L92" s="121"/>
      <c r="M92" s="121"/>
      <c r="N92" s="121"/>
      <c r="O92" s="121"/>
      <c r="P92" s="526"/>
      <c r="Q92" s="526"/>
      <c r="R92" s="117"/>
      <c r="S92" s="117"/>
      <c r="T92" s="117"/>
    </row>
    <row r="93" spans="2:20" ht="14.25" customHeight="1">
      <c r="B93" s="151" t="s">
        <v>1403</v>
      </c>
      <c r="C93" s="151" t="s">
        <v>1366</v>
      </c>
      <c r="D93" s="155" t="s">
        <v>830</v>
      </c>
      <c r="E93" s="9"/>
      <c r="F93" s="9"/>
      <c r="G93" s="155">
        <v>1</v>
      </c>
      <c r="H93" s="154"/>
      <c r="I93" s="577">
        <v>1</v>
      </c>
      <c r="J93" s="577">
        <v>1</v>
      </c>
      <c r="K93" s="49">
        <v>100</v>
      </c>
      <c r="L93" s="49"/>
      <c r="M93" s="55"/>
      <c r="N93" s="55"/>
      <c r="O93" s="55"/>
      <c r="P93" s="386"/>
      <c r="Q93" s="386"/>
      <c r="R93" s="52">
        <f ca="1">BaseYear+1</f>
        <v>2011</v>
      </c>
      <c r="S93" s="52"/>
      <c r="T93" s="52"/>
    </row>
    <row r="94" spans="2:20">
      <c r="B94" s="150"/>
      <c r="C94" s="519"/>
      <c r="D94" s="117"/>
      <c r="E94" s="150" t="s">
        <v>912</v>
      </c>
      <c r="F94" s="150" t="s">
        <v>124</v>
      </c>
      <c r="G94" s="118"/>
      <c r="H94" s="119"/>
      <c r="I94" s="531"/>
      <c r="J94" s="531"/>
      <c r="K94" s="121"/>
      <c r="L94" s="121"/>
      <c r="M94" s="121"/>
      <c r="N94" s="121"/>
      <c r="O94" s="121"/>
      <c r="P94" s="526"/>
      <c r="Q94" s="526"/>
      <c r="R94" s="117"/>
      <c r="S94" s="117"/>
      <c r="T94" s="117"/>
    </row>
    <row r="95" spans="2:20">
      <c r="B95" s="151" t="s">
        <v>1404</v>
      </c>
      <c r="C95" s="151" t="s">
        <v>293</v>
      </c>
      <c r="D95" s="155" t="s">
        <v>835</v>
      </c>
      <c r="E95" s="9"/>
      <c r="F95" s="9"/>
      <c r="G95" s="155">
        <v>1</v>
      </c>
      <c r="H95" s="154"/>
      <c r="I95" s="577">
        <v>1</v>
      </c>
      <c r="J95" s="577">
        <v>1</v>
      </c>
      <c r="K95" s="49">
        <v>100</v>
      </c>
      <c r="L95" s="49"/>
      <c r="M95" s="55"/>
      <c r="N95" s="55"/>
      <c r="O95" s="55"/>
      <c r="P95" s="606">
        <v>0.3</v>
      </c>
      <c r="Q95" s="606"/>
      <c r="R95" s="52">
        <f ca="1">BaseYear+1</f>
        <v>2011</v>
      </c>
      <c r="S95" s="52"/>
      <c r="T95" s="52"/>
    </row>
    <row r="96" spans="2:20">
      <c r="B96" s="220"/>
      <c r="C96" s="150"/>
      <c r="D96" s="150"/>
      <c r="E96" s="150" t="s">
        <v>913</v>
      </c>
      <c r="F96" s="150" t="s">
        <v>141</v>
      </c>
      <c r="G96" s="162"/>
      <c r="H96" s="152"/>
      <c r="I96" s="576"/>
      <c r="J96" s="576"/>
      <c r="K96" s="121"/>
      <c r="L96" s="121"/>
      <c r="M96" s="121"/>
      <c r="N96" s="121"/>
      <c r="O96" s="121"/>
      <c r="P96" s="526"/>
      <c r="Q96" s="526"/>
      <c r="R96" s="117"/>
      <c r="S96" s="117"/>
      <c r="T96" s="117"/>
    </row>
    <row r="97" spans="2:20">
      <c r="B97" s="151" t="s">
        <v>1405</v>
      </c>
      <c r="C97" s="151" t="s">
        <v>295</v>
      </c>
      <c r="D97" s="155" t="s">
        <v>836</v>
      </c>
      <c r="E97" s="151"/>
      <c r="F97" s="151"/>
      <c r="G97" s="155">
        <v>1</v>
      </c>
      <c r="H97" s="154">
        <f ca="1">IF(AuxData2!$L$34=0,1,AuxData2!Q$18/AuxData2!$L$34)</f>
        <v>0.99550706815429491</v>
      </c>
      <c r="I97" s="577">
        <v>1</v>
      </c>
      <c r="J97" s="577">
        <v>1</v>
      </c>
      <c r="K97" s="49">
        <v>100</v>
      </c>
      <c r="L97" s="49"/>
      <c r="M97" s="55">
        <v>1</v>
      </c>
      <c r="N97" s="55"/>
      <c r="O97" s="55"/>
      <c r="P97" s="386">
        <v>0.3</v>
      </c>
      <c r="Q97" s="386"/>
      <c r="R97" s="52">
        <f ca="1">BaseYear+1</f>
        <v>2011</v>
      </c>
      <c r="S97" s="52"/>
      <c r="T97" s="52"/>
    </row>
    <row r="98" spans="2:20">
      <c r="B98" s="82"/>
      <c r="C98" s="82"/>
      <c r="D98" s="156" t="s">
        <v>837</v>
      </c>
      <c r="E98" s="9"/>
      <c r="F98" s="9"/>
      <c r="G98" s="156"/>
      <c r="H98" s="153">
        <f ca="1">IF(AuxData2!$L$34=0,0,AuxData2!R$18/AuxData2!$L$34)</f>
        <v>0</v>
      </c>
      <c r="I98" s="528"/>
      <c r="J98" s="528"/>
      <c r="K98" s="49"/>
      <c r="L98" s="49"/>
      <c r="M98" s="55">
        <v>1</v>
      </c>
      <c r="N98" s="55"/>
      <c r="O98" s="55"/>
      <c r="P98" s="386"/>
      <c r="Q98" s="386"/>
      <c r="R98" s="52"/>
      <c r="S98" s="52"/>
      <c r="T98" s="52"/>
    </row>
    <row r="99" spans="2:20">
      <c r="B99" s="9"/>
      <c r="C99" s="300"/>
      <c r="D99" s="156" t="s">
        <v>1289</v>
      </c>
      <c r="E99" s="9"/>
      <c r="F99" s="9"/>
      <c r="G99" s="46"/>
      <c r="H99" s="153">
        <f ca="1">IF(AuxData2!$L$34=0,0,AuxData2!S$18/AuxData2!$L$34)</f>
        <v>4.4929318457050844E-3</v>
      </c>
      <c r="I99" s="530"/>
      <c r="J99" s="530"/>
      <c r="K99" s="49"/>
      <c r="L99" s="49"/>
      <c r="M99" s="55">
        <v>0.02</v>
      </c>
      <c r="N99" s="55">
        <v>0.6</v>
      </c>
      <c r="O99" s="55">
        <v>0.9</v>
      </c>
      <c r="P99" s="386"/>
      <c r="Q99" s="386"/>
      <c r="R99" s="52"/>
      <c r="S99" s="52"/>
      <c r="T99" s="52"/>
    </row>
    <row r="100" spans="2:20">
      <c r="B100" s="150"/>
      <c r="C100" s="150"/>
      <c r="D100" s="150"/>
      <c r="E100" s="150" t="s">
        <v>826</v>
      </c>
      <c r="F100" s="150" t="s">
        <v>143</v>
      </c>
      <c r="G100" s="162"/>
      <c r="H100" s="152"/>
      <c r="I100" s="576"/>
      <c r="J100" s="576"/>
      <c r="K100" s="121"/>
      <c r="L100" s="121"/>
      <c r="M100" s="121"/>
      <c r="N100" s="121"/>
      <c r="O100" s="121"/>
      <c r="P100" s="526"/>
      <c r="Q100" s="526"/>
      <c r="R100" s="117"/>
      <c r="S100" s="117"/>
      <c r="T100" s="117"/>
    </row>
    <row r="101" spans="2:20">
      <c r="B101" s="151" t="s">
        <v>1406</v>
      </c>
      <c r="C101" s="151" t="s">
        <v>1290</v>
      </c>
      <c r="D101" s="156" t="s">
        <v>1289</v>
      </c>
      <c r="E101" s="82"/>
      <c r="F101" s="82"/>
      <c r="G101" s="156">
        <v>1</v>
      </c>
      <c r="H101" s="153"/>
      <c r="I101" s="528">
        <v>1</v>
      </c>
      <c r="J101" s="528"/>
      <c r="K101" s="49"/>
      <c r="L101" s="49"/>
      <c r="M101" s="49"/>
      <c r="N101" s="49"/>
      <c r="O101" s="49"/>
      <c r="P101" s="386">
        <f>P97</f>
        <v>0.3</v>
      </c>
      <c r="Q101" s="386"/>
      <c r="R101" s="52">
        <f ca="1">BaseYear+1</f>
        <v>2011</v>
      </c>
      <c r="S101" s="52"/>
      <c r="T101" s="52"/>
    </row>
    <row r="102" spans="2:20">
      <c r="B102" s="82"/>
      <c r="C102" s="82"/>
      <c r="D102" s="82" t="s">
        <v>1291</v>
      </c>
      <c r="E102" s="82"/>
      <c r="F102" s="82"/>
      <c r="G102" s="416"/>
      <c r="H102" s="153"/>
      <c r="I102" s="528"/>
      <c r="J102" s="528"/>
      <c r="K102" s="49"/>
      <c r="L102" s="49"/>
      <c r="M102" s="49"/>
      <c r="N102" s="49"/>
      <c r="O102" s="49"/>
      <c r="P102" s="386"/>
      <c r="Q102" s="386"/>
      <c r="R102" s="52"/>
      <c r="S102" s="52"/>
      <c r="T102" s="52"/>
    </row>
    <row r="103" spans="2:20">
      <c r="B103" s="150"/>
      <c r="C103" s="150"/>
      <c r="D103" s="150"/>
      <c r="E103" s="150" t="s">
        <v>1292</v>
      </c>
      <c r="F103" s="150" t="s">
        <v>1293</v>
      </c>
      <c r="G103" s="162"/>
      <c r="H103" s="152"/>
      <c r="I103" s="576"/>
      <c r="J103" s="576"/>
      <c r="K103" s="121"/>
      <c r="L103" s="121"/>
      <c r="M103" s="121"/>
      <c r="N103" s="121"/>
      <c r="O103" s="121"/>
      <c r="P103" s="526"/>
      <c r="Q103" s="526"/>
      <c r="R103" s="117"/>
      <c r="S103" s="117"/>
      <c r="T103" s="117"/>
    </row>
    <row r="104" spans="2:20">
      <c r="B104" s="151" t="s">
        <v>1407</v>
      </c>
      <c r="C104" s="151" t="s">
        <v>297</v>
      </c>
      <c r="D104" s="155" t="s">
        <v>843</v>
      </c>
      <c r="E104" s="9"/>
      <c r="F104" s="9"/>
      <c r="G104" s="155">
        <v>1</v>
      </c>
      <c r="H104" s="154">
        <f ca="1">IF(AuxData2!$M$34=0,1,AuxData2!U$18/AuxData2!$M$34)</f>
        <v>1</v>
      </c>
      <c r="I104" s="577">
        <v>1</v>
      </c>
      <c r="J104" s="577">
        <v>1</v>
      </c>
      <c r="K104" s="49">
        <v>100</v>
      </c>
      <c r="L104" s="49"/>
      <c r="M104" s="55"/>
      <c r="N104" s="55"/>
      <c r="O104" s="55"/>
      <c r="P104" s="386"/>
      <c r="Q104" s="386"/>
      <c r="R104" s="52">
        <f ca="1">BaseYear+1</f>
        <v>2011</v>
      </c>
      <c r="S104" s="52"/>
      <c r="T104" s="52"/>
    </row>
    <row r="105" spans="2:20">
      <c r="B105" s="9"/>
      <c r="C105" s="300"/>
      <c r="D105" s="156" t="s">
        <v>833</v>
      </c>
      <c r="E105" s="9"/>
      <c r="F105" s="9"/>
      <c r="G105" s="46"/>
      <c r="H105" s="153">
        <f ca="1">IF(AuxData2!$M$34=0,0,AuxData2!N$18/AuxData2!$M$34)</f>
        <v>0</v>
      </c>
      <c r="I105" s="530"/>
      <c r="J105" s="530"/>
      <c r="K105" s="49"/>
      <c r="L105" s="49"/>
      <c r="M105" s="55"/>
      <c r="N105" s="55"/>
      <c r="O105" s="55"/>
      <c r="P105" s="386"/>
      <c r="Q105" s="386"/>
      <c r="R105" s="52"/>
      <c r="S105" s="52"/>
      <c r="T105" s="52"/>
    </row>
    <row r="106" spans="2:20">
      <c r="B106" s="9"/>
      <c r="C106" s="300"/>
      <c r="D106" s="150"/>
      <c r="E106" s="150" t="s">
        <v>914</v>
      </c>
      <c r="F106" s="150" t="s">
        <v>665</v>
      </c>
      <c r="G106" s="46"/>
      <c r="H106" s="152"/>
      <c r="I106" s="530"/>
      <c r="J106" s="530"/>
      <c r="K106" s="121"/>
      <c r="L106" s="121"/>
      <c r="M106" s="121"/>
      <c r="N106" s="121"/>
      <c r="O106" s="121"/>
      <c r="P106" s="526"/>
      <c r="Q106" s="526"/>
      <c r="R106" s="117"/>
      <c r="S106" s="117"/>
      <c r="T106" s="117"/>
    </row>
    <row r="107" spans="2:20">
      <c r="B107" s="151" t="s">
        <v>1408</v>
      </c>
      <c r="C107" s="151" t="s">
        <v>299</v>
      </c>
      <c r="D107" s="155" t="s">
        <v>841</v>
      </c>
      <c r="E107" s="9"/>
      <c r="F107" s="9"/>
      <c r="G107" s="155">
        <v>1</v>
      </c>
      <c r="H107" s="154"/>
      <c r="I107" s="577">
        <v>1</v>
      </c>
      <c r="J107" s="577">
        <v>1</v>
      </c>
      <c r="K107" s="49">
        <v>100</v>
      </c>
      <c r="L107" s="49"/>
      <c r="M107" s="49"/>
      <c r="N107" s="49"/>
      <c r="O107" s="49"/>
      <c r="P107" s="386"/>
      <c r="Q107" s="386"/>
      <c r="R107" s="52">
        <f ca="1">BaseYear+1</f>
        <v>2011</v>
      </c>
      <c r="S107" s="52"/>
      <c r="T107" s="52"/>
    </row>
    <row r="108" spans="2:20">
      <c r="B108" s="150"/>
      <c r="C108" s="519"/>
      <c r="D108" s="117"/>
      <c r="E108" s="150" t="s">
        <v>915</v>
      </c>
      <c r="F108" s="150" t="s">
        <v>667</v>
      </c>
      <c r="G108" s="118"/>
      <c r="H108" s="119"/>
      <c r="I108" s="531"/>
      <c r="J108" s="531"/>
      <c r="K108" s="121"/>
      <c r="L108" s="121"/>
      <c r="M108" s="121"/>
      <c r="N108" s="121"/>
      <c r="O108" s="121"/>
      <c r="P108" s="526"/>
      <c r="Q108" s="526"/>
      <c r="R108" s="117"/>
      <c r="S108" s="117"/>
      <c r="T108" s="117"/>
    </row>
    <row r="109" spans="2:20">
      <c r="B109" s="151" t="s">
        <v>1409</v>
      </c>
      <c r="C109" s="151" t="s">
        <v>1368</v>
      </c>
      <c r="D109" s="155" t="s">
        <v>836</v>
      </c>
      <c r="E109" s="9"/>
      <c r="F109" s="9"/>
      <c r="G109" s="155">
        <v>1</v>
      </c>
      <c r="H109" s="461"/>
      <c r="I109" s="530">
        <v>1</v>
      </c>
      <c r="J109" s="530">
        <v>1</v>
      </c>
      <c r="K109" s="49"/>
      <c r="L109" s="49"/>
      <c r="M109" s="49"/>
      <c r="N109" s="49"/>
      <c r="O109" s="49"/>
      <c r="P109" s="386">
        <v>0.45</v>
      </c>
      <c r="Q109" s="386"/>
      <c r="R109" s="52">
        <f ca="1">BaseYear</f>
        <v>2010</v>
      </c>
      <c r="S109" s="52"/>
      <c r="T109" s="52"/>
    </row>
    <row r="110" spans="2:20">
      <c r="B110" s="82"/>
      <c r="C110" s="82"/>
      <c r="D110" s="156" t="s">
        <v>837</v>
      </c>
      <c r="E110" s="9"/>
      <c r="F110" s="9"/>
      <c r="G110" s="156"/>
      <c r="H110" s="462">
        <f>H98</f>
        <v>0</v>
      </c>
      <c r="I110" s="530"/>
      <c r="J110" s="530"/>
      <c r="K110" s="49"/>
      <c r="L110" s="49"/>
      <c r="M110" s="55">
        <f>MAX(0.2,H110^0.5)</f>
        <v>0.2</v>
      </c>
      <c r="N110" s="49"/>
      <c r="O110" s="49"/>
      <c r="P110" s="386"/>
      <c r="Q110" s="386"/>
      <c r="R110" s="52"/>
      <c r="S110" s="52"/>
      <c r="T110" s="52"/>
    </row>
    <row r="111" spans="2:20">
      <c r="B111" s="9"/>
      <c r="C111" s="300"/>
      <c r="D111" s="156" t="s">
        <v>1289</v>
      </c>
      <c r="E111" s="9"/>
      <c r="F111" s="9"/>
      <c r="G111" s="46"/>
      <c r="H111" s="462"/>
      <c r="I111" s="530"/>
      <c r="J111" s="530"/>
      <c r="K111" s="49"/>
      <c r="L111" s="49"/>
      <c r="M111" s="55">
        <v>0.02</v>
      </c>
      <c r="N111" s="55">
        <v>0.6</v>
      </c>
      <c r="O111" s="55">
        <v>0.9</v>
      </c>
      <c r="P111" s="386"/>
      <c r="Q111" s="386"/>
      <c r="R111" s="52"/>
      <c r="S111" s="52"/>
      <c r="T111" s="52"/>
    </row>
    <row r="112" spans="2:20">
      <c r="B112" s="9"/>
      <c r="C112" s="300"/>
      <c r="D112" s="150"/>
      <c r="E112" s="150" t="s">
        <v>1365</v>
      </c>
      <c r="F112" s="150" t="s">
        <v>1369</v>
      </c>
      <c r="G112" s="46"/>
      <c r="H112" s="463"/>
      <c r="I112" s="531"/>
      <c r="J112" s="531"/>
      <c r="K112" s="121"/>
      <c r="L112" s="121"/>
      <c r="M112" s="121"/>
      <c r="N112" s="121"/>
      <c r="O112" s="121"/>
      <c r="P112" s="526"/>
      <c r="Q112" s="526"/>
      <c r="R112" s="117"/>
      <c r="S112" s="117"/>
      <c r="T112" s="117"/>
    </row>
    <row r="113" spans="2:20">
      <c r="B113" s="151" t="s">
        <v>1410</v>
      </c>
      <c r="C113" s="151" t="s">
        <v>301</v>
      </c>
      <c r="D113" s="155" t="s">
        <v>1281</v>
      </c>
      <c r="E113" s="169"/>
      <c r="F113" s="169"/>
      <c r="G113" s="155">
        <v>1</v>
      </c>
      <c r="H113" s="154">
        <f ca="1">IF(AuxData2!$P$34=0,1,AuxData2!X$18/AuxData2!$P$34)</f>
        <v>0.92563299227014029</v>
      </c>
      <c r="I113" s="577">
        <v>1</v>
      </c>
      <c r="J113" s="577">
        <v>1</v>
      </c>
      <c r="K113" s="49">
        <v>50</v>
      </c>
      <c r="L113" s="49">
        <f>ROUND(PV(0.05,K113,-1.65)*1,0)</f>
        <v>30</v>
      </c>
      <c r="M113" s="55">
        <v>1</v>
      </c>
      <c r="N113" s="55"/>
      <c r="O113" s="55"/>
      <c r="P113" s="386"/>
      <c r="Q113" s="386"/>
      <c r="R113" s="52">
        <f ca="1">BaseYear</f>
        <v>2010</v>
      </c>
      <c r="S113" s="52"/>
      <c r="T113" s="52"/>
    </row>
    <row r="114" spans="2:20">
      <c r="B114" s="82"/>
      <c r="C114" s="520"/>
      <c r="D114" s="156" t="s">
        <v>1315</v>
      </c>
      <c r="E114" s="52"/>
      <c r="F114" s="52"/>
      <c r="G114" s="52"/>
      <c r="H114" s="153"/>
      <c r="I114" s="386"/>
      <c r="J114" s="386"/>
      <c r="K114" s="49"/>
      <c r="L114" s="49"/>
      <c r="M114" s="55">
        <f>1/9</f>
        <v>0.1111111111111111</v>
      </c>
      <c r="N114" s="55">
        <f>1/3</f>
        <v>0.33333333333333331</v>
      </c>
      <c r="O114" s="55"/>
      <c r="P114" s="386"/>
      <c r="Q114" s="386">
        <v>0.3</v>
      </c>
      <c r="R114" s="52"/>
      <c r="S114" s="52"/>
      <c r="T114" s="52"/>
    </row>
    <row r="115" spans="2:20">
      <c r="B115" s="220"/>
      <c r="C115" s="519"/>
      <c r="D115" s="150"/>
      <c r="E115" s="150" t="s">
        <v>917</v>
      </c>
      <c r="F115" s="150" t="s">
        <v>671</v>
      </c>
      <c r="G115" s="170"/>
      <c r="H115" s="119"/>
      <c r="I115" s="531"/>
      <c r="J115" s="531"/>
      <c r="K115" s="121"/>
      <c r="L115" s="121"/>
      <c r="M115" s="121"/>
      <c r="N115" s="121"/>
      <c r="O115" s="121"/>
      <c r="P115" s="526"/>
      <c r="Q115" s="526"/>
      <c r="R115" s="117"/>
      <c r="S115" s="117"/>
      <c r="T115" s="117"/>
    </row>
    <row r="116" spans="2:20">
      <c r="B116" s="155" t="str">
        <f>CONCATENATE("FT-",E117,"0")</f>
        <v>FT-INDBSL0</v>
      </c>
      <c r="C116" s="155" t="s">
        <v>657</v>
      </c>
      <c r="D116" s="155" t="s">
        <v>1281</v>
      </c>
      <c r="E116" s="303"/>
      <c r="F116" s="303"/>
      <c r="G116" s="389">
        <v>1</v>
      </c>
      <c r="H116" s="303"/>
      <c r="I116" s="303">
        <v>1</v>
      </c>
      <c r="J116" s="303">
        <v>1</v>
      </c>
      <c r="K116" s="49"/>
      <c r="L116" s="49"/>
      <c r="M116" s="49"/>
      <c r="N116" s="49"/>
      <c r="O116" s="49"/>
      <c r="P116" s="303"/>
      <c r="Q116" s="303"/>
      <c r="R116" s="303"/>
      <c r="S116" s="303"/>
      <c r="T116" s="303"/>
    </row>
    <row r="117" spans="2:20">
      <c r="B117" s="150"/>
      <c r="C117" s="150"/>
      <c r="D117" s="150" t="s">
        <v>528</v>
      </c>
      <c r="E117" s="150" t="s">
        <v>655</v>
      </c>
      <c r="F117" s="150" t="s">
        <v>656</v>
      </c>
      <c r="G117" s="150"/>
      <c r="H117" s="150"/>
      <c r="I117" s="305"/>
      <c r="J117" s="305"/>
      <c r="K117" s="121"/>
      <c r="L117" s="121"/>
      <c r="M117" s="121"/>
      <c r="N117" s="121"/>
      <c r="O117" s="121"/>
      <c r="P117" s="305"/>
      <c r="Q117" s="305"/>
      <c r="R117" s="150"/>
      <c r="S117" s="150"/>
      <c r="T117" s="150"/>
    </row>
    <row r="118" spans="2:20">
      <c r="B118" s="9" t="s">
        <v>1412</v>
      </c>
      <c r="C118" s="9" t="s">
        <v>1233</v>
      </c>
      <c r="D118" s="9" t="s">
        <v>607</v>
      </c>
      <c r="E118" s="9"/>
      <c r="F118" s="9"/>
      <c r="G118" s="9">
        <v>1</v>
      </c>
      <c r="H118" s="9"/>
      <c r="I118" s="304">
        <v>1</v>
      </c>
      <c r="J118" s="304">
        <v>1</v>
      </c>
      <c r="K118" s="49"/>
      <c r="L118" s="49"/>
      <c r="M118" s="49"/>
      <c r="N118" s="49"/>
      <c r="O118" s="49"/>
      <c r="P118" s="304"/>
      <c r="Q118" s="304"/>
      <c r="R118" s="9"/>
      <c r="S118" s="9"/>
      <c r="T118" s="9"/>
    </row>
    <row r="119" spans="2:20">
      <c r="B119" s="150"/>
      <c r="C119" s="150"/>
      <c r="D119" s="150"/>
      <c r="E119" s="150" t="s">
        <v>1164</v>
      </c>
      <c r="F119" s="150" t="s">
        <v>1234</v>
      </c>
      <c r="G119" s="150"/>
      <c r="H119" s="150"/>
      <c r="I119" s="305"/>
      <c r="J119" s="305"/>
      <c r="K119" s="121"/>
      <c r="L119" s="121"/>
      <c r="M119" s="121"/>
      <c r="N119" s="121"/>
      <c r="O119" s="121"/>
      <c r="P119" s="305"/>
      <c r="Q119" s="305"/>
      <c r="R119" s="150"/>
      <c r="S119" s="150"/>
      <c r="T119" s="150"/>
    </row>
    <row r="120" spans="2:20">
      <c r="B120" s="151" t="s">
        <v>1454</v>
      </c>
      <c r="C120" s="151" t="s">
        <v>1453</v>
      </c>
      <c r="D120" s="155" t="s">
        <v>847</v>
      </c>
      <c r="E120" s="9"/>
      <c r="F120" s="9"/>
      <c r="G120" s="155">
        <v>1</v>
      </c>
      <c r="H120" s="154"/>
      <c r="I120" s="577">
        <v>1</v>
      </c>
      <c r="J120" s="577">
        <v>1</v>
      </c>
      <c r="K120" s="49"/>
      <c r="L120" s="49"/>
      <c r="M120" s="49"/>
      <c r="N120" s="49"/>
      <c r="O120" s="49"/>
      <c r="P120" s="386"/>
      <c r="Q120" s="386"/>
      <c r="R120" s="52">
        <f ca="1">BaseYear+1</f>
        <v>2011</v>
      </c>
      <c r="S120" s="52"/>
      <c r="T120" s="52"/>
    </row>
    <row r="121" spans="2:20">
      <c r="B121" s="9"/>
      <c r="C121" s="300"/>
      <c r="D121" s="150"/>
      <c r="E121" s="150" t="s">
        <v>1455</v>
      </c>
      <c r="F121" s="150" t="s">
        <v>1456</v>
      </c>
      <c r="G121" s="46"/>
      <c r="H121" s="62"/>
      <c r="I121" s="530"/>
      <c r="J121" s="530"/>
      <c r="K121" s="121"/>
      <c r="L121" s="121"/>
      <c r="M121" s="121"/>
      <c r="N121" s="121"/>
      <c r="O121" s="121"/>
      <c r="P121" s="526"/>
      <c r="Q121" s="526"/>
      <c r="R121" s="117"/>
      <c r="S121" s="117"/>
      <c r="T121" s="117"/>
    </row>
    <row r="122" spans="2:20">
      <c r="B122" s="151" t="s">
        <v>1501</v>
      </c>
      <c r="C122" s="151" t="s">
        <v>1504</v>
      </c>
      <c r="D122" s="155" t="s">
        <v>186</v>
      </c>
      <c r="E122" s="9"/>
      <c r="F122" s="9"/>
      <c r="G122" s="155">
        <v>1</v>
      </c>
      <c r="H122" s="154"/>
      <c r="I122" s="577">
        <v>1</v>
      </c>
      <c r="J122" s="577">
        <v>1</v>
      </c>
      <c r="K122" s="49"/>
      <c r="L122" s="49"/>
      <c r="M122" s="49"/>
      <c r="N122" s="49"/>
      <c r="O122" s="49"/>
      <c r="P122" s="386"/>
      <c r="Q122" s="386"/>
      <c r="R122" s="52">
        <f ca="1">BaseYear+1</f>
        <v>2011</v>
      </c>
      <c r="S122" s="52"/>
      <c r="T122" s="52"/>
    </row>
    <row r="123" spans="2:20">
      <c r="B123" s="9"/>
      <c r="C123" s="300"/>
      <c r="D123" s="150"/>
      <c r="E123" s="150" t="s">
        <v>1502</v>
      </c>
      <c r="F123" s="150" t="s">
        <v>1503</v>
      </c>
      <c r="G123" s="46"/>
      <c r="H123" s="62"/>
      <c r="I123" s="530"/>
      <c r="J123" s="530"/>
      <c r="K123" s="121"/>
      <c r="L123" s="121"/>
      <c r="M123" s="121"/>
      <c r="N123" s="121"/>
      <c r="O123" s="121"/>
      <c r="P123" s="526"/>
      <c r="Q123" s="526"/>
      <c r="R123" s="117"/>
      <c r="S123" s="117"/>
      <c r="T123" s="117"/>
    </row>
    <row r="124" spans="2:20">
      <c r="B124" s="155" t="s">
        <v>1411</v>
      </c>
      <c r="C124" s="155" t="s">
        <v>303</v>
      </c>
      <c r="D124" s="155" t="s">
        <v>845</v>
      </c>
      <c r="E124" s="9"/>
      <c r="F124" s="9"/>
      <c r="G124" s="155">
        <v>1</v>
      </c>
      <c r="H124" s="154"/>
      <c r="I124" s="577">
        <v>1</v>
      </c>
      <c r="J124" s="577">
        <v>1</v>
      </c>
      <c r="K124" s="49">
        <v>50</v>
      </c>
      <c r="L124" s="49">
        <v>100</v>
      </c>
      <c r="M124" s="49"/>
      <c r="N124" s="49"/>
      <c r="O124" s="49"/>
      <c r="P124" s="386"/>
      <c r="Q124" s="386"/>
      <c r="R124" s="52">
        <f ca="1">BaseYear+1</f>
        <v>2011</v>
      </c>
      <c r="S124" s="52">
        <v>100</v>
      </c>
      <c r="T124" s="52">
        <v>100</v>
      </c>
    </row>
    <row r="125" spans="2:20">
      <c r="B125" s="150"/>
      <c r="C125" s="150"/>
      <c r="D125" s="150"/>
      <c r="E125" s="150" t="s">
        <v>950</v>
      </c>
      <c r="F125" s="150" t="s">
        <v>673</v>
      </c>
      <c r="G125" s="150"/>
      <c r="H125" s="150"/>
      <c r="I125" s="305"/>
      <c r="J125" s="305"/>
      <c r="K125" s="121"/>
      <c r="L125" s="121"/>
      <c r="M125" s="121"/>
      <c r="N125" s="121"/>
      <c r="O125" s="121"/>
      <c r="P125" s="305"/>
      <c r="Q125" s="305"/>
      <c r="R125" s="150"/>
      <c r="S125" s="150"/>
      <c r="T125" s="150"/>
    </row>
    <row r="129" spans="2:25">
      <c r="F129" s="221"/>
    </row>
    <row r="130" spans="2:25" ht="18">
      <c r="B130" s="112" t="s">
        <v>1499</v>
      </c>
      <c r="C130" s="90"/>
      <c r="D130" s="90"/>
      <c r="E130" s="78"/>
      <c r="G130" s="225" t="str">
        <f>"~FI_T: "&amp;Region&amp;"~EUR10"</f>
        <v>~FI_T: FIM~EUR10</v>
      </c>
      <c r="H130" s="78"/>
      <c r="I130" s="78"/>
      <c r="J130" s="78"/>
      <c r="K130" s="78"/>
      <c r="L130" s="78"/>
      <c r="M130" s="78"/>
    </row>
    <row r="131" spans="2:25" ht="39" thickBot="1">
      <c r="B131" s="45" t="s">
        <v>649</v>
      </c>
      <c r="C131" s="45" t="s">
        <v>650</v>
      </c>
      <c r="D131" s="45" t="s">
        <v>648</v>
      </c>
      <c r="E131" s="45" t="s">
        <v>651</v>
      </c>
      <c r="F131" s="45" t="s">
        <v>773</v>
      </c>
      <c r="G131" s="45" t="s">
        <v>139</v>
      </c>
      <c r="H131" s="149" t="s">
        <v>50</v>
      </c>
      <c r="I131" s="149" t="s">
        <v>872</v>
      </c>
      <c r="J131" s="149" t="s">
        <v>556</v>
      </c>
      <c r="K131" s="306" t="s">
        <v>51</v>
      </c>
      <c r="L131" s="307" t="s">
        <v>53</v>
      </c>
      <c r="M131" s="306" t="s">
        <v>55</v>
      </c>
      <c r="N131" s="45" t="s">
        <v>1093</v>
      </c>
      <c r="O131" s="45" t="str">
        <f ca="1">"ACT_BND~UP~"&amp;AuxYear</f>
        <v>ACT_BND~UP~2017</v>
      </c>
      <c r="P131" s="45" t="s">
        <v>1279</v>
      </c>
      <c r="Q131" s="45" t="s">
        <v>659</v>
      </c>
      <c r="R131" s="398" t="s">
        <v>1208</v>
      </c>
      <c r="S131" s="149" t="str">
        <f ca="1">"INPUT~"&amp;AuxYear</f>
        <v>INPUT~2017</v>
      </c>
      <c r="T131" s="149" t="str">
        <f ca="1">"INPUT~"&amp;CEILING(AuxYear+27,5)</f>
        <v>INPUT~2045</v>
      </c>
      <c r="U131" s="149" t="s">
        <v>499</v>
      </c>
      <c r="V131" s="149" t="s">
        <v>1267</v>
      </c>
      <c r="W131" s="149" t="s">
        <v>526</v>
      </c>
      <c r="X131" s="149" t="s">
        <v>498</v>
      </c>
      <c r="Y131" s="149" t="s">
        <v>849</v>
      </c>
    </row>
    <row r="132" spans="2:25">
      <c r="B132" s="9" t="str">
        <f>CONCATENATE(E133,"000")</f>
        <v>SYNMET000</v>
      </c>
      <c r="C132" s="9" t="s">
        <v>1423</v>
      </c>
      <c r="D132" s="155" t="s">
        <v>354</v>
      </c>
      <c r="E132" s="389" t="s">
        <v>319</v>
      </c>
      <c r="F132" s="303"/>
      <c r="G132" s="304"/>
      <c r="H132" s="304">
        <v>20</v>
      </c>
      <c r="I132" s="304">
        <v>1</v>
      </c>
      <c r="J132" s="304"/>
      <c r="K132" s="12"/>
      <c r="L132" s="410"/>
      <c r="M132" s="9">
        <f>44/32/0.02</f>
        <v>68.75</v>
      </c>
      <c r="N132" s="9"/>
      <c r="O132" s="9"/>
      <c r="P132" s="9"/>
      <c r="Q132" s="9"/>
      <c r="R132" s="417"/>
      <c r="S132" s="9"/>
      <c r="T132" s="9"/>
      <c r="U132" s="9"/>
      <c r="V132" s="9"/>
      <c r="W132" s="9"/>
      <c r="X132" s="9"/>
      <c r="Y132" s="9"/>
    </row>
    <row r="133" spans="2:25">
      <c r="B133" s="150"/>
      <c r="C133" s="150"/>
      <c r="D133" s="150"/>
      <c r="E133" s="150" t="s">
        <v>186</v>
      </c>
      <c r="F133" s="150" t="s">
        <v>187</v>
      </c>
      <c r="G133" s="305"/>
      <c r="H133" s="305"/>
      <c r="I133" s="305"/>
      <c r="J133" s="305"/>
      <c r="K133" s="308"/>
      <c r="L133" s="479"/>
      <c r="M133" s="308"/>
      <c r="N133" s="150"/>
      <c r="O133" s="150"/>
      <c r="P133" s="150"/>
      <c r="Q133" s="150"/>
      <c r="R133" s="418"/>
      <c r="S133" s="150"/>
      <c r="T133" s="150"/>
      <c r="U133" s="150"/>
      <c r="V133" s="150"/>
      <c r="W133" s="150"/>
      <c r="X133" s="150"/>
      <c r="Y133" s="150"/>
    </row>
    <row r="134" spans="2:25">
      <c r="B134" s="9" t="s">
        <v>825</v>
      </c>
      <c r="C134" s="9" t="s">
        <v>3</v>
      </c>
      <c r="D134" s="9" t="s">
        <v>570</v>
      </c>
      <c r="E134" s="9"/>
      <c r="F134" s="9"/>
      <c r="G134" s="304"/>
      <c r="H134" s="304">
        <v>1</v>
      </c>
      <c r="I134" s="304">
        <v>1</v>
      </c>
      <c r="J134" s="304">
        <v>100</v>
      </c>
      <c r="K134" s="12"/>
      <c r="L134" s="410"/>
      <c r="M134" s="12"/>
      <c r="N134" s="62">
        <f ca="1">IEAData2!BD40*1.01+0.2</f>
        <v>0.21988491477347885</v>
      </c>
      <c r="O134" s="62">
        <f ca="1">AuxData2!BD40*1.01+0.2</f>
        <v>0.2</v>
      </c>
      <c r="P134" s="62">
        <f ca="1">IEAData2!$BE$9</f>
        <v>4.3999999999999997E-2</v>
      </c>
      <c r="Q134" s="62">
        <f>P134</f>
        <v>4.3999999999999997E-2</v>
      </c>
      <c r="R134" s="321"/>
      <c r="S134" s="9"/>
      <c r="T134" s="9"/>
      <c r="U134" s="9"/>
      <c r="V134" s="9"/>
      <c r="W134" s="9"/>
      <c r="X134" s="9"/>
      <c r="Y134" s="9"/>
    </row>
    <row r="135" spans="2:25">
      <c r="B135" s="150"/>
      <c r="C135" s="150"/>
      <c r="D135" s="150"/>
      <c r="E135" s="150" t="s">
        <v>1276</v>
      </c>
      <c r="F135" s="150" t="s">
        <v>1277</v>
      </c>
      <c r="G135" s="305"/>
      <c r="H135" s="305"/>
      <c r="I135" s="305"/>
      <c r="J135" s="305"/>
      <c r="K135" s="308"/>
      <c r="L135" s="479"/>
      <c r="M135" s="308"/>
      <c r="N135" s="150"/>
      <c r="O135" s="150"/>
      <c r="P135" s="150"/>
      <c r="Q135" s="150"/>
      <c r="R135" s="418"/>
      <c r="S135" s="447"/>
      <c r="T135" s="150"/>
      <c r="U135" s="150"/>
      <c r="V135" s="150"/>
      <c r="W135" s="150"/>
      <c r="X135" s="150"/>
      <c r="Y135" s="447"/>
    </row>
    <row r="136" spans="2:25">
      <c r="B136" s="82" t="s">
        <v>1273</v>
      </c>
      <c r="C136" s="9" t="s">
        <v>1274</v>
      </c>
      <c r="D136" s="82" t="s">
        <v>577</v>
      </c>
      <c r="E136" s="82"/>
      <c r="F136" s="82"/>
      <c r="G136" s="304"/>
      <c r="H136" s="401">
        <v>1</v>
      </c>
      <c r="I136" s="401"/>
      <c r="J136" s="401"/>
      <c r="K136" s="163"/>
      <c r="L136" s="480"/>
      <c r="M136" s="163"/>
      <c r="N136" s="414">
        <f ca="1">MAX((IEAData2!BB$41+IEAData2!BB$69)*0.15,IEAData2!BB$41+IEAData2!BB$69-IEAData2!$BG$40-Calibration2!S96)*1.01+0.2</f>
        <v>0.42754440554022072</v>
      </c>
      <c r="O136" s="414">
        <f ca="1">MAX((AuxData2!BB$41+AuxData2!BB$69)*0.15,AuxData2!BB$41+AuxData2!BB$69-AuxData2!$BG$40-Calibrati22!S96)*1.01+0.2</f>
        <v>0.2329334811253288</v>
      </c>
      <c r="P136" s="82"/>
      <c r="Q136" s="414">
        <f>N136</f>
        <v>0.42754440554022072</v>
      </c>
      <c r="R136" s="419"/>
      <c r="S136" s="446"/>
      <c r="T136" s="82"/>
      <c r="U136" s="82"/>
      <c r="V136" s="82"/>
      <c r="W136" s="82"/>
      <c r="X136" s="82"/>
      <c r="Y136" s="446"/>
    </row>
    <row r="137" spans="2:25">
      <c r="B137" s="82"/>
      <c r="C137" s="9"/>
      <c r="D137" s="82" t="s">
        <v>570</v>
      </c>
      <c r="E137" s="82"/>
      <c r="F137" s="82"/>
      <c r="G137" s="401"/>
      <c r="H137" s="401"/>
      <c r="I137" s="401"/>
      <c r="J137" s="401"/>
      <c r="K137" s="163"/>
      <c r="L137" s="480"/>
      <c r="M137" s="163"/>
      <c r="N137" s="82"/>
      <c r="O137" s="82"/>
      <c r="P137" s="82"/>
      <c r="Q137" s="82"/>
      <c r="R137" s="420"/>
      <c r="S137" s="446"/>
      <c r="T137" s="82"/>
      <c r="U137" s="82"/>
      <c r="V137" s="82"/>
      <c r="W137" s="82"/>
      <c r="X137" s="82"/>
      <c r="Y137" s="446"/>
    </row>
    <row r="138" spans="2:25">
      <c r="B138" s="82"/>
      <c r="C138" s="82"/>
      <c r="D138" s="82" t="s">
        <v>979</v>
      </c>
      <c r="E138" s="82"/>
      <c r="F138" s="82"/>
      <c r="G138" s="401"/>
      <c r="H138" s="401"/>
      <c r="I138" s="401"/>
      <c r="J138" s="401"/>
      <c r="K138" s="163"/>
      <c r="L138" s="480"/>
      <c r="M138" s="163"/>
      <c r="N138" s="82"/>
      <c r="O138" s="82"/>
      <c r="P138" s="82"/>
      <c r="Q138" s="82"/>
      <c r="R138" s="420"/>
      <c r="S138" s="446"/>
      <c r="T138" s="82"/>
      <c r="U138" s="82"/>
      <c r="V138" s="82"/>
      <c r="W138" s="82"/>
      <c r="X138" s="82"/>
      <c r="Y138" s="446"/>
    </row>
    <row r="139" spans="2:25">
      <c r="B139" s="150"/>
      <c r="C139" s="150"/>
      <c r="D139" s="459" t="s">
        <v>1363</v>
      </c>
      <c r="E139" s="150" t="s">
        <v>844</v>
      </c>
      <c r="F139" s="150" t="s">
        <v>1275</v>
      </c>
      <c r="G139" s="305"/>
      <c r="H139" s="305"/>
      <c r="I139" s="305"/>
      <c r="J139" s="305"/>
      <c r="K139" s="308"/>
      <c r="L139" s="479"/>
      <c r="M139" s="308"/>
      <c r="N139" s="150"/>
      <c r="O139" s="150"/>
      <c r="P139" s="150"/>
      <c r="Q139" s="150"/>
      <c r="R139" s="418"/>
      <c r="S139" s="458">
        <v>0.45</v>
      </c>
      <c r="T139" s="150"/>
      <c r="U139" s="150"/>
      <c r="V139" s="150"/>
      <c r="W139" s="150"/>
      <c r="X139" s="150"/>
      <c r="Y139" s="447"/>
    </row>
    <row r="140" spans="2:25">
      <c r="B140" s="9" t="s">
        <v>110</v>
      </c>
      <c r="C140" s="9" t="s">
        <v>392</v>
      </c>
      <c r="D140" s="155"/>
      <c r="E140" s="390" t="s">
        <v>528</v>
      </c>
      <c r="F140" s="303"/>
      <c r="G140" s="304"/>
      <c r="H140" s="304">
        <v>1</v>
      </c>
      <c r="I140" s="304">
        <v>1</v>
      </c>
      <c r="J140" s="304"/>
      <c r="K140" s="12"/>
      <c r="L140" s="410"/>
      <c r="M140" s="62">
        <f ca="1">Drivers2!$P$109</f>
        <v>0.73167969326058102</v>
      </c>
      <c r="N140" s="9">
        <f ca="1">Drivers2!$L$109</f>
        <v>0.4</v>
      </c>
      <c r="O140" s="46">
        <f ca="1">Driver22!$L$109</f>
        <v>0.4</v>
      </c>
      <c r="P140" s="9">
        <f ca="1">Drivers2!$L$110</f>
        <v>0.5</v>
      </c>
      <c r="Q140" s="9">
        <f>P140</f>
        <v>0.5</v>
      </c>
      <c r="R140" s="417"/>
      <c r="S140" s="9"/>
      <c r="T140" s="9"/>
      <c r="U140" s="9"/>
      <c r="V140" s="9"/>
      <c r="W140" s="9"/>
      <c r="X140" s="9"/>
      <c r="Y140" s="9"/>
    </row>
    <row r="141" spans="2:25">
      <c r="B141" s="9"/>
      <c r="C141" s="9"/>
      <c r="D141" s="156"/>
      <c r="E141" s="390" t="s">
        <v>1229</v>
      </c>
      <c r="F141" s="303"/>
      <c r="G141" s="390" t="s">
        <v>459</v>
      </c>
      <c r="H141" s="304"/>
      <c r="I141" s="304"/>
      <c r="J141" s="304"/>
      <c r="K141" s="12"/>
      <c r="L141" s="410"/>
      <c r="M141" s="12"/>
      <c r="N141" s="9"/>
      <c r="O141" s="9"/>
      <c r="P141" s="9"/>
      <c r="Q141" s="9"/>
      <c r="R141" s="417"/>
      <c r="S141" s="9"/>
      <c r="T141" s="9"/>
      <c r="U141" s="304"/>
      <c r="V141" s="445">
        <f ca="1">Drivers2!$P$111</f>
        <v>1.3321025641025641</v>
      </c>
      <c r="W141" s="304"/>
      <c r="X141" s="304"/>
      <c r="Y141" s="9"/>
    </row>
    <row r="142" spans="2:25">
      <c r="B142" s="9"/>
      <c r="C142" s="9"/>
      <c r="D142" s="156"/>
      <c r="E142" s="390" t="s">
        <v>1343</v>
      </c>
      <c r="F142" s="82" t="s">
        <v>1345</v>
      </c>
      <c r="G142" s="304"/>
      <c r="H142" s="304"/>
      <c r="I142" s="304"/>
      <c r="J142" s="304"/>
      <c r="K142" s="12"/>
      <c r="L142" s="410"/>
      <c r="M142" s="12"/>
      <c r="N142" s="9"/>
      <c r="O142" s="9"/>
      <c r="P142" s="9"/>
      <c r="Q142" s="9"/>
      <c r="R142" s="417"/>
      <c r="S142" s="9"/>
      <c r="T142" s="9"/>
      <c r="U142" s="304"/>
      <c r="V142" s="445"/>
      <c r="W142" s="445">
        <f ca="1">($V$141-Drivers2!$P$110)/(Drivers2!$P$110/(Drivers2!$P$110+7.2)+$V141-Drivers2!$P$110-1)</f>
        <v>0.44742509540182113</v>
      </c>
      <c r="X142" s="445">
        <f ca="1">(Drivers2!$P$110+7.2)</f>
        <v>9.1679999999999993</v>
      </c>
      <c r="Y142" s="9"/>
    </row>
    <row r="143" spans="2:25">
      <c r="B143" s="150"/>
      <c r="C143" s="150"/>
      <c r="D143" s="150"/>
      <c r="E143" s="150" t="s">
        <v>459</v>
      </c>
      <c r="F143" s="150" t="s">
        <v>656</v>
      </c>
      <c r="G143" s="305"/>
      <c r="H143" s="305"/>
      <c r="I143" s="305"/>
      <c r="J143" s="305"/>
      <c r="K143" s="308"/>
      <c r="L143" s="479"/>
      <c r="M143" s="308"/>
      <c r="N143" s="150"/>
      <c r="O143" s="150"/>
      <c r="P143" s="150"/>
      <c r="Q143" s="150"/>
      <c r="R143" s="418"/>
      <c r="S143" s="150"/>
      <c r="T143" s="150"/>
      <c r="U143" s="305">
        <v>44</v>
      </c>
      <c r="V143" s="305"/>
      <c r="W143" s="305"/>
      <c r="X143" s="305"/>
      <c r="Y143" s="150"/>
    </row>
    <row r="144" spans="2:25">
      <c r="B144" s="9" t="s">
        <v>1210</v>
      </c>
      <c r="C144" s="9" t="s">
        <v>1211</v>
      </c>
      <c r="D144" s="82"/>
      <c r="E144" s="390" t="s">
        <v>528</v>
      </c>
      <c r="F144" s="82"/>
      <c r="G144" s="304"/>
      <c r="H144" s="304">
        <v>1</v>
      </c>
      <c r="I144" s="304">
        <v>1</v>
      </c>
      <c r="J144" s="304"/>
      <c r="K144" s="12">
        <v>50</v>
      </c>
      <c r="L144" s="480"/>
      <c r="M144" s="153">
        <f ca="1">Drivers2!$P$109</f>
        <v>0.73167969326058102</v>
      </c>
      <c r="N144" s="82"/>
      <c r="O144" s="82"/>
      <c r="P144" s="82"/>
      <c r="Q144" s="82"/>
      <c r="R144" s="322">
        <f ca="1">Drivers2!$L$111</f>
        <v>0</v>
      </c>
      <c r="S144" s="82"/>
      <c r="T144" s="82"/>
      <c r="U144" s="82"/>
      <c r="V144" s="82"/>
      <c r="W144" s="82"/>
      <c r="X144" s="82"/>
      <c r="Y144" s="82"/>
    </row>
    <row r="145" spans="2:25">
      <c r="B145" s="150"/>
      <c r="C145" s="150"/>
      <c r="D145" s="150"/>
      <c r="E145" s="150" t="s">
        <v>459</v>
      </c>
      <c r="F145" s="150" t="s">
        <v>656</v>
      </c>
      <c r="G145" s="305"/>
      <c r="H145" s="305"/>
      <c r="I145" s="305"/>
      <c r="J145" s="305"/>
      <c r="K145" s="308"/>
      <c r="L145" s="479"/>
      <c r="M145" s="308"/>
      <c r="N145" s="150"/>
      <c r="O145" s="150"/>
      <c r="P145" s="150"/>
      <c r="Q145" s="150"/>
      <c r="R145" s="418"/>
      <c r="S145" s="150"/>
      <c r="T145" s="150"/>
      <c r="U145" s="150"/>
      <c r="V145" s="150"/>
      <c r="W145" s="150"/>
      <c r="X145" s="150"/>
      <c r="Y145" s="150"/>
    </row>
    <row r="146" spans="2:25">
      <c r="B146" s="9" t="s">
        <v>109</v>
      </c>
      <c r="C146" s="82" t="s">
        <v>192</v>
      </c>
      <c r="D146" s="82"/>
      <c r="E146" s="82"/>
      <c r="F146" s="82"/>
      <c r="G146" s="401"/>
      <c r="H146" s="401">
        <v>1</v>
      </c>
      <c r="I146" s="401">
        <v>1</v>
      </c>
      <c r="J146" s="401"/>
      <c r="K146" s="163">
        <v>90</v>
      </c>
      <c r="L146" s="480"/>
      <c r="M146" s="163"/>
      <c r="N146" s="82"/>
      <c r="O146" s="82"/>
      <c r="P146" s="82"/>
      <c r="Q146" s="82"/>
      <c r="R146" s="420"/>
      <c r="S146" s="82"/>
      <c r="T146" s="82"/>
      <c r="U146" s="82"/>
      <c r="V146" s="82"/>
      <c r="W146" s="82"/>
      <c r="X146" s="82"/>
      <c r="Y146" s="82"/>
    </row>
    <row r="147" spans="2:25">
      <c r="B147" s="150"/>
      <c r="C147" s="150"/>
      <c r="D147" s="150"/>
      <c r="E147" s="150" t="s">
        <v>463</v>
      </c>
      <c r="F147" s="150" t="s">
        <v>444</v>
      </c>
      <c r="G147" s="305"/>
      <c r="H147" s="305"/>
      <c r="I147" s="305"/>
      <c r="J147" s="305"/>
      <c r="K147" s="308"/>
      <c r="L147" s="479"/>
      <c r="M147" s="308"/>
      <c r="N147" s="150"/>
      <c r="O147" s="150"/>
      <c r="P147" s="150"/>
      <c r="Q147" s="150"/>
      <c r="R147" s="418"/>
      <c r="S147" s="150"/>
      <c r="T147" s="150"/>
      <c r="U147" s="150"/>
      <c r="V147" s="150"/>
      <c r="W147" s="150"/>
      <c r="X147" s="150"/>
      <c r="Y147" s="150"/>
    </row>
    <row r="150" spans="2:25">
      <c r="N150" s="2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6"/>
  <dimension ref="A1:N59"/>
  <sheetViews>
    <sheetView zoomScale="75" workbookViewId="0">
      <selection activeCell="M3" sqref="M3"/>
    </sheetView>
  </sheetViews>
  <sheetFormatPr defaultColWidth="8.85546875" defaultRowHeight="12.75"/>
  <cols>
    <col min="1" max="1" width="8.85546875" style="76" customWidth="1"/>
    <col min="2" max="4" width="10.42578125" style="76" customWidth="1"/>
    <col min="9" max="9" width="12.42578125" customWidth="1"/>
    <col min="10" max="10" width="12.28515625" customWidth="1"/>
    <col min="11" max="11" width="10.42578125" customWidth="1"/>
  </cols>
  <sheetData>
    <row r="1" spans="1:14">
      <c r="D1" s="274"/>
      <c r="E1" s="76"/>
      <c r="F1" s="76"/>
      <c r="G1" s="76"/>
      <c r="H1" s="76"/>
    </row>
    <row r="3" spans="1:14" ht="18">
      <c r="A3" s="122" t="s">
        <v>12</v>
      </c>
      <c r="B3" s="86"/>
      <c r="C3" s="86"/>
      <c r="D3" s="86"/>
      <c r="F3" s="433">
        <f>1.54/310*1000*0.5</f>
        <v>2.4838709677419355</v>
      </c>
      <c r="I3" s="539"/>
      <c r="J3" s="478" t="s">
        <v>1376</v>
      </c>
      <c r="K3" s="216" t="s">
        <v>1445</v>
      </c>
    </row>
    <row r="4" spans="1:14" ht="24.75" thickBot="1">
      <c r="A4" s="553" t="s">
        <v>975</v>
      </c>
      <c r="B4" s="229" t="s">
        <v>319</v>
      </c>
      <c r="C4" s="229" t="s">
        <v>320</v>
      </c>
      <c r="D4" s="229" t="s">
        <v>321</v>
      </c>
      <c r="E4" s="229" t="s">
        <v>1323</v>
      </c>
      <c r="F4" s="229" t="s">
        <v>1324</v>
      </c>
      <c r="I4" s="280" t="s">
        <v>649</v>
      </c>
      <c r="J4" s="280" t="s">
        <v>650</v>
      </c>
      <c r="K4" s="280" t="s">
        <v>139</v>
      </c>
      <c r="L4" s="229" t="s">
        <v>319</v>
      </c>
      <c r="M4" s="229" t="s">
        <v>320</v>
      </c>
      <c r="N4" s="229" t="s">
        <v>321</v>
      </c>
    </row>
    <row r="5" spans="1:14">
      <c r="A5" s="554" t="s">
        <v>952</v>
      </c>
      <c r="B5" s="179">
        <v>94.6</v>
      </c>
      <c r="C5" s="69">
        <v>1</v>
      </c>
      <c r="D5" s="69">
        <v>3</v>
      </c>
      <c r="E5" s="430">
        <v>130</v>
      </c>
      <c r="F5" s="69">
        <f>D5+E5*F$3/1000</f>
        <v>3.3229032258064515</v>
      </c>
      <c r="G5" s="6"/>
      <c r="I5" s="460" t="s">
        <v>1436</v>
      </c>
      <c r="J5" s="9"/>
      <c r="K5" s="9" t="s">
        <v>951</v>
      </c>
      <c r="L5" s="12">
        <f t="shared" ref="L5:L26" si="0">VLOOKUP($K5,$A$5:$F$47,2,0)</f>
        <v>56.1</v>
      </c>
      <c r="M5" s="31">
        <f t="shared" ref="M5:M26" si="1">VLOOKUP($K5,$A$5:$F$47,3,0)</f>
        <v>1.5</v>
      </c>
      <c r="N5" s="31">
        <f t="shared" ref="N5:N26" si="2">VLOOKUP($K5,$A$5:$F$47,6,0)</f>
        <v>1.1241935483870968</v>
      </c>
    </row>
    <row r="6" spans="1:14">
      <c r="A6" s="555" t="s">
        <v>953</v>
      </c>
      <c r="B6" s="179">
        <v>104.5</v>
      </c>
      <c r="C6" s="70">
        <v>3</v>
      </c>
      <c r="D6" s="70">
        <v>3</v>
      </c>
      <c r="E6" s="431">
        <v>130</v>
      </c>
      <c r="F6" s="70">
        <f t="shared" ref="F6:F40" si="3">D6+E6*F$3/1000</f>
        <v>3.3229032258064515</v>
      </c>
      <c r="G6" s="6"/>
      <c r="I6" s="460"/>
      <c r="J6" s="9"/>
      <c r="K6" s="9" t="s">
        <v>832</v>
      </c>
      <c r="L6" s="12">
        <f t="shared" si="0"/>
        <v>44.4</v>
      </c>
      <c r="M6" s="31">
        <f t="shared" si="1"/>
        <v>1.5</v>
      </c>
      <c r="N6" s="31">
        <f t="shared" si="2"/>
        <v>0.22419354838709676</v>
      </c>
    </row>
    <row r="7" spans="1:14">
      <c r="A7" s="556" t="s">
        <v>954</v>
      </c>
      <c r="B7" s="179">
        <f>107*0.98</f>
        <v>104.86</v>
      </c>
      <c r="C7" s="70">
        <v>1</v>
      </c>
      <c r="D7" s="70">
        <v>3</v>
      </c>
      <c r="E7" s="431">
        <v>80</v>
      </c>
      <c r="F7" s="70">
        <f t="shared" si="3"/>
        <v>3.1987096774193549</v>
      </c>
      <c r="I7" s="460" t="s">
        <v>1434</v>
      </c>
      <c r="J7" s="9"/>
      <c r="K7" s="9" t="s">
        <v>1084</v>
      </c>
      <c r="L7" s="12">
        <f t="shared" si="0"/>
        <v>63.1</v>
      </c>
      <c r="M7" s="31">
        <f t="shared" si="1"/>
        <v>1.18</v>
      </c>
      <c r="N7" s="31">
        <f t="shared" si="2"/>
        <v>1.2483870967741935</v>
      </c>
    </row>
    <row r="8" spans="1:14">
      <c r="A8" s="556" t="s">
        <v>955</v>
      </c>
      <c r="B8" s="179">
        <f>107*0.98</f>
        <v>104.86</v>
      </c>
      <c r="C8" s="70">
        <v>1</v>
      </c>
      <c r="D8" s="70">
        <v>3</v>
      </c>
      <c r="E8" s="431">
        <v>80</v>
      </c>
      <c r="F8" s="70">
        <f t="shared" si="3"/>
        <v>3.1987096774193549</v>
      </c>
      <c r="I8" s="460" t="s">
        <v>1437</v>
      </c>
      <c r="J8" s="9"/>
      <c r="K8" s="9" t="s">
        <v>756</v>
      </c>
      <c r="L8" s="12">
        <f t="shared" si="0"/>
        <v>64.2</v>
      </c>
      <c r="M8" s="31">
        <f t="shared" si="1"/>
        <v>1.34110247872734</v>
      </c>
      <c r="N8" s="31">
        <f t="shared" si="2"/>
        <v>0.9925806451612903</v>
      </c>
    </row>
    <row r="9" spans="1:14">
      <c r="A9" s="556" t="s">
        <v>830</v>
      </c>
      <c r="B9" s="179">
        <v>0</v>
      </c>
      <c r="C9" s="70">
        <v>1</v>
      </c>
      <c r="D9" s="70">
        <v>0.1</v>
      </c>
      <c r="E9" s="431">
        <v>80</v>
      </c>
      <c r="F9" s="70">
        <f t="shared" si="3"/>
        <v>0.29870967741935484</v>
      </c>
      <c r="I9" s="460" t="s">
        <v>1428</v>
      </c>
      <c r="J9" s="9"/>
      <c r="K9" s="9" t="s">
        <v>952</v>
      </c>
      <c r="L9" s="12">
        <f t="shared" si="0"/>
        <v>94.6</v>
      </c>
      <c r="M9" s="31">
        <f t="shared" si="1"/>
        <v>1</v>
      </c>
      <c r="N9" s="31">
        <f t="shared" si="2"/>
        <v>3.3229032258064515</v>
      </c>
    </row>
    <row r="10" spans="1:14">
      <c r="A10" s="556" t="s">
        <v>831</v>
      </c>
      <c r="B10" s="179">
        <f>182*0</f>
        <v>0</v>
      </c>
      <c r="C10" s="70">
        <v>1</v>
      </c>
      <c r="D10" s="70">
        <v>0.1</v>
      </c>
      <c r="E10" s="431">
        <v>80</v>
      </c>
      <c r="F10" s="70">
        <f t="shared" si="3"/>
        <v>0.29870967741935484</v>
      </c>
      <c r="I10" s="460" t="s">
        <v>1430</v>
      </c>
      <c r="J10" s="9"/>
      <c r="K10" s="9" t="s">
        <v>954</v>
      </c>
      <c r="L10" s="178">
        <f t="shared" si="0"/>
        <v>104.86</v>
      </c>
      <c r="M10" s="31">
        <f t="shared" si="1"/>
        <v>1</v>
      </c>
      <c r="N10" s="31">
        <f t="shared" si="2"/>
        <v>3.1987096774193549</v>
      </c>
    </row>
    <row r="11" spans="1:14">
      <c r="A11" s="557" t="s">
        <v>842</v>
      </c>
      <c r="B11" s="180">
        <v>97.5</v>
      </c>
      <c r="C11" s="73">
        <v>1</v>
      </c>
      <c r="D11" s="73">
        <v>1.80505415162455</v>
      </c>
      <c r="E11" s="432">
        <v>80</v>
      </c>
      <c r="F11" s="73">
        <f t="shared" si="3"/>
        <v>2.0037638290439048</v>
      </c>
      <c r="I11" s="460" t="s">
        <v>1429</v>
      </c>
      <c r="J11" s="9"/>
      <c r="K11" s="9" t="s">
        <v>956</v>
      </c>
      <c r="L11" s="12">
        <f t="shared" si="0"/>
        <v>44.4</v>
      </c>
      <c r="M11" s="31">
        <f t="shared" si="1"/>
        <v>5</v>
      </c>
      <c r="N11" s="31">
        <f t="shared" si="2"/>
        <v>0.29870967741935484</v>
      </c>
    </row>
    <row r="12" spans="1:14">
      <c r="A12" s="558" t="s">
        <v>304</v>
      </c>
      <c r="B12" s="179">
        <v>73.3</v>
      </c>
      <c r="C12" s="69">
        <v>0.15580368735393399</v>
      </c>
      <c r="D12" s="69">
        <v>0.33757465593352398</v>
      </c>
      <c r="E12" s="430">
        <v>150</v>
      </c>
      <c r="F12" s="69">
        <f t="shared" si="3"/>
        <v>0.71015530109481428</v>
      </c>
      <c r="I12" s="460" t="s">
        <v>1425</v>
      </c>
      <c r="J12" s="9"/>
      <c r="K12" s="9" t="s">
        <v>830</v>
      </c>
      <c r="L12" s="12">
        <f t="shared" si="0"/>
        <v>0</v>
      </c>
      <c r="M12" s="31">
        <f t="shared" si="1"/>
        <v>1</v>
      </c>
      <c r="N12" s="31">
        <f t="shared" si="2"/>
        <v>0.29870967741935484</v>
      </c>
    </row>
    <row r="13" spans="1:14">
      <c r="A13" s="559" t="s">
        <v>305</v>
      </c>
      <c r="B13" s="179">
        <v>73.3</v>
      </c>
      <c r="C13" s="70">
        <v>2.9339853300733498</v>
      </c>
      <c r="D13" s="70">
        <v>0.31784841075794601</v>
      </c>
      <c r="E13" s="431">
        <v>150</v>
      </c>
      <c r="F13" s="70">
        <f t="shared" si="3"/>
        <v>0.69042905591923631</v>
      </c>
      <c r="I13" s="460"/>
      <c r="J13" s="9"/>
      <c r="K13" s="9" t="s">
        <v>831</v>
      </c>
      <c r="L13" s="12">
        <f t="shared" si="0"/>
        <v>0</v>
      </c>
      <c r="M13" s="31">
        <f t="shared" si="1"/>
        <v>1</v>
      </c>
      <c r="N13" s="31">
        <f t="shared" si="2"/>
        <v>0.29870967741935484</v>
      </c>
    </row>
    <row r="14" spans="1:14">
      <c r="A14" s="556" t="s">
        <v>834</v>
      </c>
      <c r="B14" s="179">
        <v>73.3</v>
      </c>
      <c r="C14" s="70">
        <v>1.5448945087136401</v>
      </c>
      <c r="D14" s="70">
        <v>0.327711533345735</v>
      </c>
      <c r="E14" s="431">
        <v>150</v>
      </c>
      <c r="F14" s="70">
        <f t="shared" si="3"/>
        <v>0.7002921785070253</v>
      </c>
      <c r="I14" s="460"/>
      <c r="J14" s="9"/>
      <c r="K14" s="9" t="s">
        <v>955</v>
      </c>
      <c r="L14" s="178">
        <f t="shared" si="0"/>
        <v>104.86</v>
      </c>
      <c r="M14" s="31">
        <f t="shared" si="1"/>
        <v>1</v>
      </c>
      <c r="N14" s="31">
        <f t="shared" si="2"/>
        <v>3.1987096774193549</v>
      </c>
    </row>
    <row r="15" spans="1:14">
      <c r="A15" s="556" t="s">
        <v>756</v>
      </c>
      <c r="B15" s="179">
        <v>64.2</v>
      </c>
      <c r="C15" s="70">
        <v>1.34110247872734</v>
      </c>
      <c r="D15" s="71">
        <v>0.62</v>
      </c>
      <c r="E15" s="431">
        <v>150</v>
      </c>
      <c r="F15" s="70">
        <f t="shared" si="3"/>
        <v>0.9925806451612903</v>
      </c>
      <c r="I15" s="460" t="s">
        <v>1424</v>
      </c>
      <c r="J15" s="9"/>
      <c r="K15" s="9" t="s">
        <v>953</v>
      </c>
      <c r="L15" s="12">
        <f t="shared" si="0"/>
        <v>104.5</v>
      </c>
      <c r="M15" s="31">
        <f t="shared" si="1"/>
        <v>3</v>
      </c>
      <c r="N15" s="31">
        <f t="shared" si="2"/>
        <v>3.3229032258064515</v>
      </c>
    </row>
    <row r="16" spans="1:14">
      <c r="A16" s="559" t="s">
        <v>306</v>
      </c>
      <c r="B16" s="179">
        <v>73.3</v>
      </c>
      <c r="C16" s="70">
        <v>0.15580368735393399</v>
      </c>
      <c r="D16" s="70">
        <v>0.33757465593352398</v>
      </c>
      <c r="E16" s="431">
        <v>150</v>
      </c>
      <c r="F16" s="70">
        <f t="shared" si="3"/>
        <v>0.71015530109481428</v>
      </c>
      <c r="I16" s="460" t="s">
        <v>1433</v>
      </c>
      <c r="J16" s="9"/>
      <c r="K16" s="9" t="s">
        <v>835</v>
      </c>
      <c r="L16" s="12">
        <f t="shared" si="0"/>
        <v>77.400000000000006</v>
      </c>
      <c r="M16" s="31">
        <f t="shared" si="1"/>
        <v>2.6</v>
      </c>
      <c r="N16" s="31">
        <f t="shared" si="2"/>
        <v>2.3725806451612903</v>
      </c>
    </row>
    <row r="17" spans="1:14">
      <c r="A17" s="559" t="s">
        <v>307</v>
      </c>
      <c r="B17" s="179">
        <v>73.3</v>
      </c>
      <c r="C17" s="70">
        <v>0.15580368735393399</v>
      </c>
      <c r="D17" s="70">
        <v>0.33757465593352398</v>
      </c>
      <c r="E17" s="431">
        <v>150</v>
      </c>
      <c r="F17" s="70">
        <f t="shared" si="3"/>
        <v>0.71015530109481428</v>
      </c>
      <c r="I17" s="460"/>
      <c r="J17" s="9"/>
      <c r="K17" s="9" t="s">
        <v>834</v>
      </c>
      <c r="L17" s="12">
        <f t="shared" si="0"/>
        <v>73.3</v>
      </c>
      <c r="M17" s="31">
        <f t="shared" si="1"/>
        <v>1.5448945087136401</v>
      </c>
      <c r="N17" s="31">
        <f t="shared" si="2"/>
        <v>0.7002921785070253</v>
      </c>
    </row>
    <row r="18" spans="1:14">
      <c r="A18" s="556" t="s">
        <v>839</v>
      </c>
      <c r="B18" s="179">
        <v>73.3</v>
      </c>
      <c r="C18" s="70">
        <v>0.15580368735393399</v>
      </c>
      <c r="D18" s="70">
        <v>0.33757465593352398</v>
      </c>
      <c r="E18" s="431">
        <v>150</v>
      </c>
      <c r="F18" s="70">
        <f t="shared" si="3"/>
        <v>0.71015530109481428</v>
      </c>
      <c r="I18" s="460"/>
      <c r="J18" s="9"/>
      <c r="K18" s="9" t="s">
        <v>839</v>
      </c>
      <c r="L18" s="12">
        <f t="shared" si="0"/>
        <v>73.3</v>
      </c>
      <c r="M18" s="31">
        <f t="shared" si="1"/>
        <v>0.15580368735393399</v>
      </c>
      <c r="N18" s="31">
        <f t="shared" si="2"/>
        <v>0.71015530109481428</v>
      </c>
    </row>
    <row r="19" spans="1:14">
      <c r="A19" s="556" t="s">
        <v>840</v>
      </c>
      <c r="B19" s="180">
        <v>73.3</v>
      </c>
      <c r="C19" s="70">
        <v>0.15580368735393399</v>
      </c>
      <c r="D19" s="70">
        <v>0.33757465593352398</v>
      </c>
      <c r="E19" s="431">
        <v>150</v>
      </c>
      <c r="F19" s="70">
        <f t="shared" si="3"/>
        <v>0.71015530109481428</v>
      </c>
      <c r="I19" s="460" t="s">
        <v>1422</v>
      </c>
      <c r="J19" s="9"/>
      <c r="K19" s="9" t="s">
        <v>836</v>
      </c>
      <c r="L19" s="12">
        <f t="shared" si="0"/>
        <v>74.099999999999994</v>
      </c>
      <c r="M19" s="31">
        <f t="shared" si="1"/>
        <v>2.6</v>
      </c>
      <c r="N19" s="31">
        <f t="shared" si="2"/>
        <v>1.9725806451612904</v>
      </c>
    </row>
    <row r="20" spans="1:14">
      <c r="A20" s="554" t="s">
        <v>838</v>
      </c>
      <c r="B20" s="179">
        <v>69.3</v>
      </c>
      <c r="C20" s="69">
        <v>3</v>
      </c>
      <c r="D20" s="69">
        <v>2</v>
      </c>
      <c r="E20" s="430">
        <v>150</v>
      </c>
      <c r="F20" s="69">
        <f t="shared" si="3"/>
        <v>2.3725806451612903</v>
      </c>
      <c r="I20" s="460"/>
      <c r="J20" s="9"/>
      <c r="K20" s="9" t="s">
        <v>837</v>
      </c>
      <c r="L20" s="12">
        <f t="shared" si="0"/>
        <v>71.900000000000006</v>
      </c>
      <c r="M20" s="31">
        <f t="shared" si="1"/>
        <v>3</v>
      </c>
      <c r="N20" s="31">
        <f t="shared" si="2"/>
        <v>1.9725806451612904</v>
      </c>
    </row>
    <row r="21" spans="1:14">
      <c r="A21" s="559" t="s">
        <v>308</v>
      </c>
      <c r="B21" s="179">
        <v>70</v>
      </c>
      <c r="C21" s="70">
        <v>3</v>
      </c>
      <c r="D21" s="70">
        <v>2</v>
      </c>
      <c r="E21" s="431">
        <v>150</v>
      </c>
      <c r="F21" s="70">
        <f t="shared" si="3"/>
        <v>2.3725806451612903</v>
      </c>
      <c r="I21" s="460"/>
      <c r="J21" s="9"/>
      <c r="K21" s="9" t="s">
        <v>838</v>
      </c>
      <c r="L21" s="12">
        <f t="shared" si="0"/>
        <v>69.3</v>
      </c>
      <c r="M21" s="31">
        <f t="shared" si="1"/>
        <v>3</v>
      </c>
      <c r="N21" s="31">
        <f t="shared" si="2"/>
        <v>2.3725806451612903</v>
      </c>
    </row>
    <row r="22" spans="1:14">
      <c r="A22" s="559" t="s">
        <v>309</v>
      </c>
      <c r="B22" s="179">
        <v>70</v>
      </c>
      <c r="C22" s="70">
        <v>2</v>
      </c>
      <c r="D22" s="70">
        <v>2</v>
      </c>
      <c r="E22" s="431">
        <v>150</v>
      </c>
      <c r="F22" s="70">
        <f t="shared" si="3"/>
        <v>2.3725806451612903</v>
      </c>
      <c r="I22" s="460"/>
      <c r="J22" s="9"/>
      <c r="K22" s="9" t="s">
        <v>757</v>
      </c>
      <c r="L22" s="12">
        <f t="shared" si="0"/>
        <v>71.5</v>
      </c>
      <c r="M22" s="31">
        <f t="shared" si="1"/>
        <v>3</v>
      </c>
      <c r="N22" s="31">
        <f t="shared" si="2"/>
        <v>2.3725806451612903</v>
      </c>
    </row>
    <row r="23" spans="1:14">
      <c r="A23" s="556" t="s">
        <v>757</v>
      </c>
      <c r="B23" s="179">
        <v>71.5</v>
      </c>
      <c r="C23" s="70">
        <v>3</v>
      </c>
      <c r="D23" s="70">
        <v>2</v>
      </c>
      <c r="E23" s="431">
        <v>150</v>
      </c>
      <c r="F23" s="70">
        <f t="shared" si="3"/>
        <v>2.3725806451612903</v>
      </c>
      <c r="I23" s="460" t="s">
        <v>1431</v>
      </c>
      <c r="J23" s="9"/>
      <c r="K23" s="9" t="s">
        <v>843</v>
      </c>
      <c r="L23" s="12">
        <f t="shared" si="0"/>
        <v>61.6</v>
      </c>
      <c r="M23" s="31">
        <f t="shared" si="1"/>
        <v>1</v>
      </c>
      <c r="N23" s="31">
        <f t="shared" si="2"/>
        <v>1.1241935483870968</v>
      </c>
    </row>
    <row r="24" spans="1:14">
      <c r="A24" s="556" t="s">
        <v>837</v>
      </c>
      <c r="B24" s="179">
        <v>71.900000000000006</v>
      </c>
      <c r="C24" s="70">
        <v>3</v>
      </c>
      <c r="D24" s="70">
        <v>1.6</v>
      </c>
      <c r="E24" s="431">
        <v>150</v>
      </c>
      <c r="F24" s="70">
        <f t="shared" si="3"/>
        <v>1.9725806451612904</v>
      </c>
      <c r="I24" s="460"/>
      <c r="J24" s="9"/>
      <c r="K24" s="9" t="s">
        <v>833</v>
      </c>
      <c r="L24" s="12">
        <f t="shared" si="0"/>
        <v>57.6</v>
      </c>
      <c r="M24" s="31">
        <f t="shared" si="1"/>
        <v>1</v>
      </c>
      <c r="N24" s="31">
        <f t="shared" si="2"/>
        <v>1.1241935483870968</v>
      </c>
    </row>
    <row r="25" spans="1:14">
      <c r="A25" s="556" t="s">
        <v>836</v>
      </c>
      <c r="B25" s="179">
        <v>74.099999999999994</v>
      </c>
      <c r="C25" s="70">
        <v>2.6</v>
      </c>
      <c r="D25" s="70">
        <v>1.6</v>
      </c>
      <c r="E25" s="431">
        <v>150</v>
      </c>
      <c r="F25" s="70">
        <f t="shared" si="3"/>
        <v>1.9725806451612904</v>
      </c>
      <c r="I25" s="460" t="s">
        <v>1435</v>
      </c>
      <c r="J25" s="9"/>
      <c r="K25" s="9" t="s">
        <v>841</v>
      </c>
      <c r="L25" s="12">
        <f t="shared" si="0"/>
        <v>73.3</v>
      </c>
      <c r="M25" s="31">
        <f t="shared" si="1"/>
        <v>3</v>
      </c>
      <c r="N25" s="31">
        <f t="shared" si="2"/>
        <v>3.7325806451612902</v>
      </c>
    </row>
    <row r="26" spans="1:14">
      <c r="A26" s="556" t="s">
        <v>835</v>
      </c>
      <c r="B26" s="179">
        <v>77.400000000000006</v>
      </c>
      <c r="C26" s="70">
        <v>2.6</v>
      </c>
      <c r="D26" s="70">
        <v>2</v>
      </c>
      <c r="E26" s="431">
        <v>150</v>
      </c>
      <c r="F26" s="70">
        <f t="shared" si="3"/>
        <v>2.3725806451612903</v>
      </c>
      <c r="I26" s="460" t="s">
        <v>1439</v>
      </c>
      <c r="J26" s="9"/>
      <c r="K26" s="9" t="s">
        <v>842</v>
      </c>
      <c r="L26" s="12">
        <f t="shared" si="0"/>
        <v>97.5</v>
      </c>
      <c r="M26" s="31">
        <f t="shared" si="1"/>
        <v>1</v>
      </c>
      <c r="N26" s="31">
        <f t="shared" si="2"/>
        <v>2.0037638290439048</v>
      </c>
    </row>
    <row r="27" spans="1:14">
      <c r="A27" s="556" t="s">
        <v>841</v>
      </c>
      <c r="B27" s="179">
        <v>73.3</v>
      </c>
      <c r="C27" s="70">
        <v>3</v>
      </c>
      <c r="D27" s="70">
        <v>3.36</v>
      </c>
      <c r="E27" s="431">
        <v>150</v>
      </c>
      <c r="F27" s="70">
        <f t="shared" si="3"/>
        <v>3.7325806451612902</v>
      </c>
      <c r="I27" s="460" t="s">
        <v>1426</v>
      </c>
      <c r="J27" s="9"/>
      <c r="K27" s="9" t="s">
        <v>1281</v>
      </c>
      <c r="L27" s="12">
        <f>B$40</f>
        <v>0</v>
      </c>
      <c r="M27" s="12">
        <f>C$40</f>
        <v>5</v>
      </c>
      <c r="N27" s="31">
        <f>F$40</f>
        <v>2.3235483870967744</v>
      </c>
    </row>
    <row r="28" spans="1:14">
      <c r="A28" s="559" t="s">
        <v>310</v>
      </c>
      <c r="B28" s="179">
        <v>73.3</v>
      </c>
      <c r="C28" s="70">
        <v>3</v>
      </c>
      <c r="D28" s="70">
        <v>3.36</v>
      </c>
      <c r="E28" s="431">
        <v>150</v>
      </c>
      <c r="F28" s="70">
        <f t="shared" si="3"/>
        <v>3.7325806451612902</v>
      </c>
      <c r="I28" s="9"/>
      <c r="J28" s="9"/>
      <c r="K28" s="9" t="s">
        <v>1315</v>
      </c>
      <c r="L28" s="12">
        <f>B$40</f>
        <v>0</v>
      </c>
      <c r="M28" s="12">
        <f>C$40</f>
        <v>5</v>
      </c>
      <c r="N28" s="31">
        <f>F$40</f>
        <v>2.3235483870967744</v>
      </c>
    </row>
    <row r="29" spans="1:14">
      <c r="A29" s="559" t="s">
        <v>311</v>
      </c>
      <c r="B29" s="181">
        <v>37.049999999999997</v>
      </c>
      <c r="C29" s="70">
        <v>3</v>
      </c>
      <c r="D29" s="70">
        <v>3.36</v>
      </c>
      <c r="E29" s="431">
        <v>150</v>
      </c>
      <c r="F29" s="70">
        <f t="shared" si="3"/>
        <v>3.7325806451612902</v>
      </c>
      <c r="I29" s="9"/>
      <c r="J29" s="9"/>
      <c r="K29" s="9" t="s">
        <v>847</v>
      </c>
      <c r="L29" s="12">
        <f>VLOOKUP($K29,$A$5:$F$47,2,0)</f>
        <v>0</v>
      </c>
      <c r="M29" s="31">
        <f>VLOOKUP($K29,$A$5:$F$47,3,0)</f>
        <v>5</v>
      </c>
      <c r="N29" s="31">
        <f>VLOOKUP($K29,$A$5:$F$47,6,0)</f>
        <v>1.0241935483870968</v>
      </c>
    </row>
    <row r="30" spans="1:14">
      <c r="A30" s="559" t="s">
        <v>312</v>
      </c>
      <c r="B30" s="181">
        <v>0</v>
      </c>
      <c r="C30" s="70">
        <v>3</v>
      </c>
      <c r="D30" s="70">
        <v>3.36</v>
      </c>
      <c r="E30" s="431">
        <v>150</v>
      </c>
      <c r="F30" s="70">
        <f t="shared" si="3"/>
        <v>3.7325806451612902</v>
      </c>
      <c r="I30" s="9"/>
      <c r="J30" s="9"/>
      <c r="K30" s="9" t="s">
        <v>608</v>
      </c>
      <c r="L30" s="12">
        <f>VLOOKUP($K30,$A$5:$F$47,2,0)</f>
        <v>27.51</v>
      </c>
      <c r="M30" s="31">
        <f>VLOOKUP($K30,$A$5:$F$47,3,0)</f>
        <v>5</v>
      </c>
      <c r="N30" s="31">
        <f>VLOOKUP($K30,$A$5:$F$47,6,0)</f>
        <v>2.4725806451612904</v>
      </c>
    </row>
    <row r="31" spans="1:14">
      <c r="A31" s="559" t="s">
        <v>313</v>
      </c>
      <c r="B31" s="179">
        <v>80.7</v>
      </c>
      <c r="C31" s="70">
        <v>3</v>
      </c>
      <c r="D31" s="70">
        <v>3.36</v>
      </c>
      <c r="E31" s="431">
        <v>150</v>
      </c>
      <c r="F31" s="70">
        <f t="shared" si="3"/>
        <v>3.7325806451612902</v>
      </c>
      <c r="I31" s="9"/>
      <c r="J31" s="9"/>
      <c r="K31" s="9" t="s">
        <v>609</v>
      </c>
      <c r="L31" s="12">
        <f>VLOOKUP($K31,$A$5:$F$47,2,0)</f>
        <v>85.85</v>
      </c>
      <c r="M31" s="31">
        <f>VLOOKUP($K31,$A$5:$F$47,3,0)</f>
        <v>5</v>
      </c>
      <c r="N31" s="31">
        <f>VLOOKUP($K31,$A$5:$F$47,6,0)</f>
        <v>2.3235483870967744</v>
      </c>
    </row>
    <row r="32" spans="1:14">
      <c r="A32" s="560" t="s">
        <v>839</v>
      </c>
      <c r="B32" s="180">
        <v>73.3</v>
      </c>
      <c r="C32" s="73">
        <v>3</v>
      </c>
      <c r="D32" s="73">
        <v>3.36</v>
      </c>
      <c r="E32" s="432">
        <v>150</v>
      </c>
      <c r="F32" s="73">
        <f t="shared" si="3"/>
        <v>3.7325806451612902</v>
      </c>
      <c r="I32" s="460" t="s">
        <v>1397</v>
      </c>
      <c r="J32" s="9"/>
      <c r="K32" s="9" t="s">
        <v>951</v>
      </c>
      <c r="L32" s="12">
        <f>VLOOKUP($K32,$A$5:$F$47,2,0)</f>
        <v>56.1</v>
      </c>
      <c r="M32" s="31">
        <f>VLOOKUP($K32,$A$5:$F$47,3,0)</f>
        <v>1.5</v>
      </c>
      <c r="N32" s="31">
        <f>VLOOKUP($K32,$A$5:$F$47,6,0)</f>
        <v>1.1241935483870968</v>
      </c>
    </row>
    <row r="33" spans="1:14">
      <c r="A33" s="554" t="s">
        <v>833</v>
      </c>
      <c r="B33" s="179">
        <v>57.6</v>
      </c>
      <c r="C33" s="69">
        <v>1</v>
      </c>
      <c r="D33" s="69">
        <v>1</v>
      </c>
      <c r="E33" s="430">
        <v>50</v>
      </c>
      <c r="F33" s="69">
        <f t="shared" si="3"/>
        <v>1.1241935483870968</v>
      </c>
      <c r="I33" s="172"/>
      <c r="J33" s="9"/>
      <c r="K33" s="9" t="s">
        <v>1348</v>
      </c>
      <c r="L33" s="12">
        <f>B45</f>
        <v>0</v>
      </c>
      <c r="M33" s="31">
        <f>C35</f>
        <v>1.5</v>
      </c>
      <c r="N33" s="31">
        <f>F35</f>
        <v>1.1241935483870968</v>
      </c>
    </row>
    <row r="34" spans="1:14">
      <c r="A34" s="556" t="s">
        <v>843</v>
      </c>
      <c r="B34" s="179">
        <v>61.6</v>
      </c>
      <c r="C34" s="70">
        <v>1</v>
      </c>
      <c r="D34" s="70">
        <v>1</v>
      </c>
      <c r="E34" s="431">
        <v>50</v>
      </c>
      <c r="F34" s="70">
        <f t="shared" si="3"/>
        <v>1.1241935483870968</v>
      </c>
      <c r="I34" s="460" t="s">
        <v>1398</v>
      </c>
      <c r="J34" s="9"/>
      <c r="K34" s="9" t="s">
        <v>1084</v>
      </c>
      <c r="L34" s="12">
        <f>VLOOKUP($K34,$A$5:$F$47,2,0)</f>
        <v>63.1</v>
      </c>
      <c r="M34" s="31">
        <f>VLOOKUP($K34,$A$5:$F$47,3,0)</f>
        <v>1.18</v>
      </c>
      <c r="N34" s="31">
        <f>VLOOKUP($K34,$A$5:$F$47,6,0)</f>
        <v>1.2483870967741935</v>
      </c>
    </row>
    <row r="35" spans="1:14">
      <c r="A35" s="556" t="s">
        <v>951</v>
      </c>
      <c r="B35" s="179">
        <v>56.1</v>
      </c>
      <c r="C35" s="70">
        <v>1.5</v>
      </c>
      <c r="D35" s="70">
        <v>1</v>
      </c>
      <c r="E35" s="431">
        <v>50</v>
      </c>
      <c r="F35" s="70">
        <f t="shared" si="3"/>
        <v>1.1241935483870968</v>
      </c>
      <c r="I35" s="460" t="s">
        <v>1399</v>
      </c>
      <c r="J35" s="9"/>
      <c r="K35" s="9" t="s">
        <v>953</v>
      </c>
      <c r="L35" s="12">
        <f>VLOOKUP($K35,$A$5:$F$47,2,0)</f>
        <v>104.5</v>
      </c>
      <c r="M35" s="31">
        <f>VLOOKUP($K35,$A$5:$F$47,3,0)</f>
        <v>3</v>
      </c>
      <c r="N35" s="31">
        <f>VLOOKUP($K35,$A$5:$F$47,6,0)</f>
        <v>3.3229032258064515</v>
      </c>
    </row>
    <row r="36" spans="1:14">
      <c r="A36" s="556" t="s">
        <v>832</v>
      </c>
      <c r="B36" s="179">
        <v>44.4</v>
      </c>
      <c r="C36" s="70">
        <v>1.5</v>
      </c>
      <c r="D36" s="70">
        <v>0.1</v>
      </c>
      <c r="E36" s="431">
        <v>50</v>
      </c>
      <c r="F36" s="70">
        <f t="shared" si="3"/>
        <v>0.22419354838709676</v>
      </c>
      <c r="I36" s="460" t="s">
        <v>1400</v>
      </c>
      <c r="J36" s="9"/>
      <c r="K36" s="9" t="s">
        <v>952</v>
      </c>
      <c r="L36" s="12">
        <f>VLOOKUP($K36,$A$5:$F$47,2,0)</f>
        <v>94.6</v>
      </c>
      <c r="M36" s="31">
        <f>VLOOKUP($K36,$A$5:$F$47,3,0)</f>
        <v>1</v>
      </c>
      <c r="N36" s="31">
        <f>VLOOKUP($K36,$A$5:$F$47,6,0)</f>
        <v>3.3229032258064515</v>
      </c>
    </row>
    <row r="37" spans="1:14">
      <c r="A37" s="556" t="s">
        <v>956</v>
      </c>
      <c r="B37" s="179">
        <v>44.4</v>
      </c>
      <c r="C37" s="70">
        <v>5</v>
      </c>
      <c r="D37" s="70">
        <v>0.1</v>
      </c>
      <c r="E37" s="431">
        <v>80</v>
      </c>
      <c r="F37" s="70">
        <f t="shared" si="3"/>
        <v>0.29870967741935484</v>
      </c>
      <c r="I37" s="460" t="s">
        <v>1401</v>
      </c>
      <c r="J37" s="9"/>
      <c r="K37" s="9" t="s">
        <v>954</v>
      </c>
      <c r="L37" s="178">
        <f>VLOOKUP($K37,$A$5:$F$47,2,0)</f>
        <v>104.86</v>
      </c>
      <c r="M37" s="31">
        <f>VLOOKUP($K37,$A$5:$F$47,3,0)</f>
        <v>1</v>
      </c>
      <c r="N37" s="31">
        <f>VLOOKUP($K37,$A$5:$F$47,6,0)</f>
        <v>3.1987096774193549</v>
      </c>
    </row>
    <row r="38" spans="1:14">
      <c r="A38" s="557" t="s">
        <v>1084</v>
      </c>
      <c r="B38" s="179">
        <v>63.1</v>
      </c>
      <c r="C38" s="72">
        <v>1.18</v>
      </c>
      <c r="D38" s="73">
        <v>1</v>
      </c>
      <c r="E38" s="432">
        <v>100</v>
      </c>
      <c r="F38" s="73">
        <f t="shared" si="3"/>
        <v>1.2483870967741935</v>
      </c>
      <c r="I38" s="460"/>
      <c r="J38" s="9"/>
      <c r="K38" s="9" t="s">
        <v>846</v>
      </c>
      <c r="L38" s="178">
        <v>0</v>
      </c>
      <c r="M38" s="31">
        <f>M27</f>
        <v>5</v>
      </c>
      <c r="N38" s="31">
        <f>N27</f>
        <v>2.3235483870967744</v>
      </c>
    </row>
    <row r="39" spans="1:14">
      <c r="A39" s="554" t="s">
        <v>846</v>
      </c>
      <c r="B39" s="74">
        <v>0</v>
      </c>
      <c r="C39" s="449">
        <v>5</v>
      </c>
      <c r="D39" s="74">
        <v>2.1</v>
      </c>
      <c r="E39" s="74">
        <v>90</v>
      </c>
      <c r="F39" s="69">
        <f t="shared" si="3"/>
        <v>2.3235483870967744</v>
      </c>
      <c r="I39" s="460" t="s">
        <v>1402</v>
      </c>
      <c r="J39" s="9"/>
      <c r="K39" s="9" t="s">
        <v>956</v>
      </c>
      <c r="L39" s="12">
        <f>VLOOKUP($K39,$A$5:$F$47,2,0)</f>
        <v>44.4</v>
      </c>
      <c r="M39" s="31">
        <f>VLOOKUP($K39,$A$5:$F$47,3,0)</f>
        <v>5</v>
      </c>
      <c r="N39" s="31">
        <f>VLOOKUP($K39,$A$5:$F$47,6,0)</f>
        <v>0.29870967741935484</v>
      </c>
    </row>
    <row r="40" spans="1:14">
      <c r="A40" s="556" t="s">
        <v>606</v>
      </c>
      <c r="B40" s="71">
        <v>0</v>
      </c>
      <c r="C40" s="450">
        <v>5</v>
      </c>
      <c r="D40" s="71">
        <v>2.1</v>
      </c>
      <c r="E40" s="71">
        <v>90</v>
      </c>
      <c r="F40" s="70">
        <f t="shared" si="3"/>
        <v>2.3235483870967744</v>
      </c>
      <c r="I40" s="460" t="s">
        <v>1403</v>
      </c>
      <c r="J40" s="9"/>
      <c r="K40" s="9" t="s">
        <v>830</v>
      </c>
      <c r="L40" s="12">
        <f>VLOOKUP($K40,$A$5:$F$47,2,0)</f>
        <v>0</v>
      </c>
      <c r="M40" s="31">
        <f>VLOOKUP($K40,$A$5:$F$47,3,0)</f>
        <v>1</v>
      </c>
      <c r="N40" s="31">
        <f>VLOOKUP($K40,$A$5:$F$47,6,0)</f>
        <v>0.29870967741935484</v>
      </c>
    </row>
    <row r="41" spans="1:14">
      <c r="A41" s="556" t="s">
        <v>1289</v>
      </c>
      <c r="B41" s="71">
        <v>0</v>
      </c>
      <c r="C41" s="450">
        <v>5</v>
      </c>
      <c r="D41" s="71">
        <v>2.1</v>
      </c>
      <c r="E41" s="71">
        <v>90</v>
      </c>
      <c r="F41" s="70">
        <f t="shared" ref="F41:F47" si="4">D41+E41*F$3/1000</f>
        <v>2.3235483870967744</v>
      </c>
      <c r="I41" s="460" t="s">
        <v>1404</v>
      </c>
      <c r="J41" s="9"/>
      <c r="K41" s="9" t="s">
        <v>835</v>
      </c>
      <c r="L41" s="12">
        <f>VLOOKUP($K41,$A$5:$F$47,2,0)</f>
        <v>77.400000000000006</v>
      </c>
      <c r="M41" s="31">
        <f>VLOOKUP($K41,$A$5:$F$47,3,0)</f>
        <v>2.6</v>
      </c>
      <c r="N41" s="31">
        <f>VLOOKUP($K41,$A$5:$F$47,6,0)</f>
        <v>2.3725806451612903</v>
      </c>
    </row>
    <row r="42" spans="1:14">
      <c r="A42" s="556" t="s">
        <v>609</v>
      </c>
      <c r="B42" s="71">
        <v>85.85</v>
      </c>
      <c r="C42" s="450">
        <v>5</v>
      </c>
      <c r="D42" s="71">
        <v>2.1</v>
      </c>
      <c r="E42" s="71">
        <v>90</v>
      </c>
      <c r="F42" s="70">
        <f t="shared" si="4"/>
        <v>2.3235483870967744</v>
      </c>
      <c r="I42" s="460" t="s">
        <v>1405</v>
      </c>
      <c r="J42" s="9"/>
      <c r="K42" s="9" t="s">
        <v>836</v>
      </c>
      <c r="L42" s="12">
        <f>VLOOKUP($K42,$A$5:$F$47,2,0)</f>
        <v>74.099999999999994</v>
      </c>
      <c r="M42" s="31">
        <f>VLOOKUP($K42,$A$5:$F$47,3,0)</f>
        <v>2.6</v>
      </c>
      <c r="N42" s="31">
        <f>VLOOKUP($K42,$A$5:$F$47,6,0)</f>
        <v>1.9725806451612904</v>
      </c>
    </row>
    <row r="43" spans="1:14">
      <c r="A43" s="556" t="s">
        <v>608</v>
      </c>
      <c r="B43" s="71">
        <f>91.7*0.3</f>
        <v>27.51</v>
      </c>
      <c r="C43" s="450">
        <v>5</v>
      </c>
      <c r="D43" s="71">
        <v>2.1</v>
      </c>
      <c r="E43" s="71">
        <v>150</v>
      </c>
      <c r="F43" s="70">
        <f t="shared" si="4"/>
        <v>2.4725806451612904</v>
      </c>
      <c r="I43" s="9"/>
      <c r="J43" s="9"/>
      <c r="K43" s="9" t="s">
        <v>837</v>
      </c>
      <c r="L43" s="12">
        <f>VLOOKUP($K43,$A$5:$F$47,2,0)</f>
        <v>71.900000000000006</v>
      </c>
      <c r="M43" s="31">
        <f>VLOOKUP($K43,$A$5:$F$47,3,0)</f>
        <v>3</v>
      </c>
      <c r="N43" s="31">
        <f>VLOOKUP($K43,$A$5:$F$47,6,0)</f>
        <v>1.9725806451612904</v>
      </c>
    </row>
    <row r="44" spans="1:14">
      <c r="A44" s="556" t="s">
        <v>1281</v>
      </c>
      <c r="B44" s="71">
        <v>0</v>
      </c>
      <c r="C44" s="450">
        <v>5</v>
      </c>
      <c r="D44" s="71">
        <v>2.1</v>
      </c>
      <c r="E44" s="71">
        <f>E40</f>
        <v>90</v>
      </c>
      <c r="F44" s="70">
        <f t="shared" si="4"/>
        <v>2.3235483870967744</v>
      </c>
      <c r="I44" s="9"/>
      <c r="J44" s="9"/>
      <c r="K44" s="9" t="s">
        <v>1289</v>
      </c>
      <c r="L44" s="12">
        <f>B47</f>
        <v>0</v>
      </c>
      <c r="M44" s="12">
        <f>C47</f>
        <v>5</v>
      </c>
      <c r="N44" s="31">
        <f>F47</f>
        <v>1.0241935483870968</v>
      </c>
    </row>
    <row r="45" spans="1:14">
      <c r="A45" s="556" t="s">
        <v>847</v>
      </c>
      <c r="B45" s="71">
        <v>0</v>
      </c>
      <c r="C45" s="450">
        <v>5</v>
      </c>
      <c r="D45" s="71">
        <v>0.9</v>
      </c>
      <c r="E45" s="71">
        <v>50</v>
      </c>
      <c r="F45" s="70">
        <f t="shared" si="4"/>
        <v>1.0241935483870968</v>
      </c>
      <c r="I45" s="460" t="s">
        <v>1406</v>
      </c>
      <c r="J45" s="9"/>
      <c r="K45" s="9" t="s">
        <v>1289</v>
      </c>
      <c r="L45" s="12">
        <f>B47</f>
        <v>0</v>
      </c>
      <c r="M45" s="12">
        <f>C47</f>
        <v>5</v>
      </c>
      <c r="N45" s="31">
        <f>F47</f>
        <v>1.0241935483870968</v>
      </c>
    </row>
    <row r="46" spans="1:14">
      <c r="A46" s="559" t="s">
        <v>314</v>
      </c>
      <c r="B46" s="71">
        <v>0</v>
      </c>
      <c r="C46" s="450">
        <v>5</v>
      </c>
      <c r="D46" s="71">
        <v>0.9</v>
      </c>
      <c r="E46" s="71">
        <v>50</v>
      </c>
      <c r="F46" s="70">
        <f t="shared" si="4"/>
        <v>1.0241935483870968</v>
      </c>
      <c r="I46" s="9"/>
      <c r="J46" s="9"/>
      <c r="K46" s="9" t="s">
        <v>1291</v>
      </c>
      <c r="L46" s="12">
        <f>B47</f>
        <v>0</v>
      </c>
      <c r="M46" s="12">
        <f>C47</f>
        <v>5</v>
      </c>
      <c r="N46" s="31">
        <f>F47</f>
        <v>1.0241935483870968</v>
      </c>
    </row>
    <row r="47" spans="1:14">
      <c r="A47" s="560" t="s">
        <v>315</v>
      </c>
      <c r="B47" s="72">
        <v>0</v>
      </c>
      <c r="C47" s="451">
        <v>5</v>
      </c>
      <c r="D47" s="72">
        <v>0.9</v>
      </c>
      <c r="E47" s="72">
        <v>50</v>
      </c>
      <c r="F47" s="73">
        <f t="shared" si="4"/>
        <v>1.0241935483870968</v>
      </c>
      <c r="I47" s="460" t="s">
        <v>1407</v>
      </c>
      <c r="J47" s="9"/>
      <c r="K47" s="9" t="s">
        <v>843</v>
      </c>
      <c r="L47" s="12">
        <f>VLOOKUP($K47,$A$5:$F$47,2,0)</f>
        <v>61.6</v>
      </c>
      <c r="M47" s="31">
        <f>VLOOKUP($K47,$A$5:$F$47,3,0)</f>
        <v>1</v>
      </c>
      <c r="N47" s="31">
        <f>VLOOKUP($K47,$A$5:$F$47,6,0)</f>
        <v>1.1241935483870968</v>
      </c>
    </row>
    <row r="48" spans="1:14">
      <c r="A48" s="75" t="s">
        <v>318</v>
      </c>
      <c r="I48" s="9"/>
      <c r="J48" s="9"/>
      <c r="K48" s="9" t="s">
        <v>833</v>
      </c>
      <c r="L48" s="12">
        <f>VLOOKUP($K48,$A$5:$F$47,2,0)</f>
        <v>57.6</v>
      </c>
      <c r="M48" s="31">
        <f>VLOOKUP($K48,$A$5:$F$47,3,0)</f>
        <v>1</v>
      </c>
      <c r="N48" s="31">
        <f>VLOOKUP($K48,$A$5:$F$47,6,0)</f>
        <v>1.1241935483870968</v>
      </c>
    </row>
    <row r="49" spans="1:14">
      <c r="A49" s="76" t="s">
        <v>316</v>
      </c>
      <c r="I49" s="460" t="s">
        <v>1408</v>
      </c>
      <c r="J49" s="9"/>
      <c r="K49" s="9" t="s">
        <v>841</v>
      </c>
      <c r="L49" s="12">
        <f>VLOOKUP($K49,$A$5:$F$47,2,0)</f>
        <v>73.3</v>
      </c>
      <c r="M49" s="31">
        <f>VLOOKUP($K49,$A$5:$F$47,3,0)</f>
        <v>3</v>
      </c>
      <c r="N49" s="31">
        <f>VLOOKUP($K49,$A$5:$F$47,6,0)</f>
        <v>3.7325806451612902</v>
      </c>
    </row>
    <row r="50" spans="1:14" ht="14.25" customHeight="1">
      <c r="A50" s="76" t="s">
        <v>317</v>
      </c>
      <c r="I50" s="460" t="s">
        <v>1409</v>
      </c>
      <c r="J50" s="9"/>
      <c r="K50" s="9" t="s">
        <v>836</v>
      </c>
      <c r="L50" s="12">
        <f>VLOOKUP($K50,$A$5:$F$47,2,0)</f>
        <v>74.099999999999994</v>
      </c>
      <c r="M50" s="31">
        <f>VLOOKUP($K50,$A$5:$F$47,3,0)</f>
        <v>2.6</v>
      </c>
      <c r="N50" s="31">
        <f>VLOOKUP($K50,$A$5:$F$47,6,0)</f>
        <v>1.9725806451612904</v>
      </c>
    </row>
    <row r="51" spans="1:14" ht="12.75" customHeight="1">
      <c r="A51" s="182" t="s">
        <v>730</v>
      </c>
      <c r="I51" s="9"/>
      <c r="J51" s="9"/>
      <c r="K51" s="9" t="s">
        <v>837</v>
      </c>
      <c r="L51" s="12">
        <f>VLOOKUP($K51,$A$5:$F$47,2,0)</f>
        <v>71.900000000000006</v>
      </c>
      <c r="M51" s="31">
        <f>VLOOKUP($K51,$A$5:$F$47,3,0)</f>
        <v>3</v>
      </c>
      <c r="N51" s="31">
        <f>VLOOKUP($K51,$A$5:$F$47,6,0)</f>
        <v>1.9725806451612904</v>
      </c>
    </row>
    <row r="52" spans="1:14">
      <c r="A52"/>
      <c r="I52" s="9"/>
      <c r="J52" s="9"/>
      <c r="K52" s="9" t="s">
        <v>1289</v>
      </c>
      <c r="L52" s="12">
        <v>0</v>
      </c>
      <c r="M52" s="31">
        <f>C47</f>
        <v>5</v>
      </c>
      <c r="N52" s="31">
        <f>F47</f>
        <v>1.0241935483870968</v>
      </c>
    </row>
    <row r="53" spans="1:14">
      <c r="A53" t="s">
        <v>661</v>
      </c>
      <c r="I53" s="460" t="s">
        <v>1410</v>
      </c>
      <c r="J53" s="9"/>
      <c r="K53" s="9" t="s">
        <v>1281</v>
      </c>
      <c r="L53" s="12">
        <f>B$40</f>
        <v>0</v>
      </c>
      <c r="M53" s="31">
        <f>C$40</f>
        <v>5</v>
      </c>
      <c r="N53" s="31">
        <f>F$40</f>
        <v>2.3235483870967744</v>
      </c>
    </row>
    <row r="54" spans="1:14">
      <c r="A54" t="s">
        <v>731</v>
      </c>
      <c r="I54" s="9"/>
      <c r="J54" s="9"/>
      <c r="K54" s="9" t="s">
        <v>1315</v>
      </c>
      <c r="L54" s="12">
        <f>B$40</f>
        <v>0</v>
      </c>
      <c r="M54" s="31">
        <f>C$40</f>
        <v>5</v>
      </c>
      <c r="N54" s="31">
        <f>F$40</f>
        <v>2.3235483870967744</v>
      </c>
    </row>
    <row r="55" spans="1:14">
      <c r="A55" t="s">
        <v>729</v>
      </c>
      <c r="I55" s="460" t="s">
        <v>1427</v>
      </c>
      <c r="J55" s="9"/>
      <c r="K55" s="9" t="s">
        <v>1281</v>
      </c>
      <c r="L55" s="12">
        <f>VLOOKUP($K55,$A$5:$F$47,2,0)</f>
        <v>0</v>
      </c>
      <c r="M55" s="31">
        <f>VLOOKUP($K55,$A$5:$F$47,3,0)</f>
        <v>5</v>
      </c>
      <c r="N55" s="31">
        <f>VLOOKUP($K55,$A$5:$F$47,6,0)</f>
        <v>2.3235483870967744</v>
      </c>
    </row>
    <row r="56" spans="1:14">
      <c r="I56" s="460" t="s">
        <v>1412</v>
      </c>
      <c r="J56" s="9"/>
      <c r="K56" s="9" t="s">
        <v>607</v>
      </c>
      <c r="L56" s="12">
        <f>L55</f>
        <v>0</v>
      </c>
      <c r="M56" s="31">
        <v>2</v>
      </c>
      <c r="N56" s="31">
        <f>F46</f>
        <v>1.0241935483870968</v>
      </c>
    </row>
    <row r="57" spans="1:14">
      <c r="A57" s="76" t="s">
        <v>761</v>
      </c>
      <c r="I57" s="575" t="s">
        <v>1454</v>
      </c>
      <c r="J57" s="9"/>
      <c r="K57" s="9" t="s">
        <v>847</v>
      </c>
      <c r="L57" s="12">
        <f>VLOOKUP($K57,$A$5:$F$47,2,0)</f>
        <v>0</v>
      </c>
      <c r="M57" s="31">
        <f>VLOOKUP($K57,$A$5:$F$47,3,0)</f>
        <v>5</v>
      </c>
      <c r="N57" s="31">
        <f>VLOOKUP($K57,$A$5:$F$47,6,0)</f>
        <v>1.0241935483870968</v>
      </c>
    </row>
    <row r="58" spans="1:14">
      <c r="A58" s="76" t="s">
        <v>762</v>
      </c>
      <c r="I58" s="575" t="s">
        <v>1501</v>
      </c>
      <c r="J58" s="9"/>
      <c r="K58" s="9" t="s">
        <v>186</v>
      </c>
      <c r="L58" s="12">
        <v>0</v>
      </c>
      <c r="M58" s="31">
        <f>C$34</f>
        <v>1</v>
      </c>
      <c r="N58" s="31">
        <f>F$34</f>
        <v>1.1241935483870968</v>
      </c>
    </row>
    <row r="59" spans="1:14">
      <c r="A59" s="76" t="s">
        <v>763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7"/>
  <dimension ref="A1:AC114"/>
  <sheetViews>
    <sheetView topLeftCell="A27" zoomScale="75" workbookViewId="0">
      <selection activeCell="AA33" sqref="AA33"/>
    </sheetView>
  </sheetViews>
  <sheetFormatPr defaultColWidth="8.85546875" defaultRowHeight="12.75"/>
  <cols>
    <col min="1" max="1" width="8.85546875" customWidth="1"/>
    <col min="2" max="2" width="15.28515625" customWidth="1"/>
    <col min="3" max="3" width="32.28515625" bestFit="1" customWidth="1"/>
    <col min="6" max="6" width="8.85546875" customWidth="1"/>
  </cols>
  <sheetData>
    <row r="1" spans="1:24">
      <c r="F1" s="223"/>
    </row>
    <row r="2" spans="1:24">
      <c r="F2" s="224"/>
    </row>
    <row r="3" spans="1:24">
      <c r="B3" s="6"/>
      <c r="F3" s="224"/>
    </row>
    <row r="4" spans="1:24">
      <c r="F4" s="224"/>
    </row>
    <row r="5" spans="1:24" ht="18">
      <c r="B5" s="86" t="s">
        <v>87</v>
      </c>
      <c r="C5" s="88"/>
      <c r="D5" s="123"/>
      <c r="E5" s="91"/>
      <c r="F5" s="225" t="str">
        <f>"~FI_T: EUR10~"&amp;Region</f>
        <v>~FI_T: EUR10~FIM</v>
      </c>
    </row>
    <row r="6" spans="1:24" ht="39" thickBot="1">
      <c r="A6" s="7"/>
      <c r="B6" s="45" t="s">
        <v>649</v>
      </c>
      <c r="C6" s="45" t="s">
        <v>650</v>
      </c>
      <c r="D6" s="45" t="s">
        <v>648</v>
      </c>
      <c r="E6" s="45" t="s">
        <v>651</v>
      </c>
      <c r="F6" s="64" t="s">
        <v>773</v>
      </c>
      <c r="G6" s="64" t="s">
        <v>1377</v>
      </c>
      <c r="H6" s="64" t="s">
        <v>1378</v>
      </c>
      <c r="I6" s="64" t="s">
        <v>388</v>
      </c>
      <c r="J6" s="64" t="str">
        <f ca="1">"INPUT~"&amp;AuxYear</f>
        <v>INPUT~2017</v>
      </c>
      <c r="K6" s="64" t="str">
        <f ca="1">"RESID~"&amp;BaseYear</f>
        <v>RESID~2010</v>
      </c>
      <c r="L6" s="45" t="str">
        <f ca="1">"RESID~"&amp;AuxYear</f>
        <v>RESID~2017</v>
      </c>
      <c r="M6" s="79" t="str">
        <f ca="1">"RESID~"&amp;CEILING(AuxYear+35,5)</f>
        <v>RESID~2055</v>
      </c>
      <c r="N6" s="45" t="s">
        <v>79</v>
      </c>
      <c r="O6" s="45" t="s">
        <v>872</v>
      </c>
      <c r="P6" s="79" t="s">
        <v>848</v>
      </c>
      <c r="Q6" s="79" t="str">
        <f ca="1">"AFA~"&amp;CEILING(AuxYear+2,5)</f>
        <v>AFA~2020</v>
      </c>
      <c r="R6" s="64" t="s">
        <v>52</v>
      </c>
      <c r="S6" s="64" t="s">
        <v>51</v>
      </c>
      <c r="T6" s="79" t="s">
        <v>556</v>
      </c>
      <c r="U6" s="79" t="s">
        <v>1093</v>
      </c>
      <c r="V6" s="45" t="str">
        <f ca="1">"ACT_BND~UP~"&amp;AuxYear</f>
        <v>ACT_BND~UP~2017</v>
      </c>
      <c r="W6" s="79" t="s">
        <v>1223</v>
      </c>
      <c r="X6" s="79" t="s">
        <v>389</v>
      </c>
    </row>
    <row r="7" spans="1:24" ht="25.5">
      <c r="B7" s="35" t="s">
        <v>44</v>
      </c>
      <c r="C7" s="143" t="s">
        <v>45</v>
      </c>
      <c r="D7" s="84" t="str">
        <f ca="1">IND_Fuels2!E71</f>
        <v>INDNUC</v>
      </c>
      <c r="E7" s="52" t="str">
        <f ca="1">IEAData2!$B$38</f>
        <v>INDELC</v>
      </c>
      <c r="F7" s="9"/>
      <c r="G7" s="21">
        <f ca="1">IEAData2!BE64</f>
        <v>0</v>
      </c>
      <c r="H7" s="21">
        <f ca="1">AuxData2!BE64</f>
        <v>0</v>
      </c>
      <c r="I7" s="542">
        <f ca="1">IF(SUM($G$7:$G$7)=0,0,MAX(0,G7/SUM($G$7:$G$7)))</f>
        <v>0</v>
      </c>
      <c r="J7" s="9"/>
      <c r="K7" s="345">
        <f>SUM(G7:G7)/P7/N7</f>
        <v>0</v>
      </c>
      <c r="L7" s="9"/>
      <c r="M7" s="9">
        <v>0</v>
      </c>
      <c r="N7" s="12">
        <v>0.7</v>
      </c>
      <c r="O7" s="12"/>
      <c r="P7" s="9">
        <v>3.1536000000000002E-2</v>
      </c>
      <c r="Q7" s="9"/>
      <c r="R7" s="9"/>
      <c r="S7" s="62">
        <v>0.5</v>
      </c>
      <c r="T7" s="9">
        <v>50</v>
      </c>
      <c r="U7" s="9"/>
      <c r="V7" s="9"/>
      <c r="W7" s="9"/>
      <c r="X7" s="9"/>
    </row>
    <row r="8" spans="1:24">
      <c r="B8" s="263" t="str">
        <f t="shared" ref="B8:B23" si="0">"EAELC"&amp;MID(D8,4,3)&amp;"00"</f>
        <v>EAELCNGA00</v>
      </c>
      <c r="C8" s="144" t="str">
        <f t="shared" ref="C8:C23" si="1">"Autoprod of ELC with "&amp;MID(D8,4,3)</f>
        <v>Autoprod of ELC with NGA</v>
      </c>
      <c r="D8" s="9" t="str">
        <f ca="1">IEAData2!C$38</f>
        <v>INDNGA</v>
      </c>
      <c r="E8" s="9" t="str">
        <f ca="1">IEAData2!$B$38</f>
        <v>INDELC</v>
      </c>
      <c r="F8" s="9"/>
      <c r="G8" s="21">
        <f ca="1">IEAData2!BE49</f>
        <v>0</v>
      </c>
      <c r="H8" s="21">
        <f ca="1">AuxData2!BE49</f>
        <v>0</v>
      </c>
      <c r="I8" s="62">
        <f ca="1">IF(IEAData2!AY49=0,3,IEAData2!AY49/G8)</f>
        <v>3</v>
      </c>
      <c r="J8" s="62">
        <f ca="1">IF(AuxData2!AY49=0,3,AuxData2!AY49/H8)</f>
        <v>3</v>
      </c>
      <c r="K8" s="345">
        <f>G8/$P7/$N8</f>
        <v>0</v>
      </c>
      <c r="L8" s="345">
        <f t="shared" ref="L8:L22" si="2">H8/$P7/$N8</f>
        <v>0</v>
      </c>
      <c r="M8" s="9">
        <v>0</v>
      </c>
      <c r="N8" s="12">
        <v>0.7</v>
      </c>
      <c r="O8" s="12"/>
      <c r="P8" s="9">
        <v>3.1536000000000002E-2</v>
      </c>
      <c r="Q8" s="9"/>
      <c r="R8" s="9"/>
      <c r="S8" s="62">
        <v>0.61753730279990615</v>
      </c>
      <c r="T8" s="9">
        <v>50</v>
      </c>
      <c r="U8" s="9"/>
      <c r="V8" s="9"/>
      <c r="W8" s="9"/>
      <c r="X8" s="9"/>
    </row>
    <row r="9" spans="1:24">
      <c r="B9" s="263" t="str">
        <f t="shared" si="0"/>
        <v>EAELCLPG00</v>
      </c>
      <c r="C9" s="144" t="str">
        <f t="shared" si="1"/>
        <v>Autoprod of ELC with LPG</v>
      </c>
      <c r="D9" s="9" t="str">
        <f ca="1">IEAData2!D$38</f>
        <v>INDLPG</v>
      </c>
      <c r="E9" s="9" t="str">
        <f ca="1">IEAData2!$B$38</f>
        <v>INDELC</v>
      </c>
      <c r="F9" s="9"/>
      <c r="G9" s="21">
        <f ca="1">IEAData2!BE50</f>
        <v>0</v>
      </c>
      <c r="H9" s="21">
        <f ca="1">AuxData2!BE50</f>
        <v>0</v>
      </c>
      <c r="I9" s="62">
        <f ca="1">IF(IEAData2!AY50=0,3,IEAData2!AY50/G9)</f>
        <v>3</v>
      </c>
      <c r="J9" s="62">
        <f ca="1">IF(AuxData2!AY50=0,3,AuxData2!AY50/H9)</f>
        <v>3</v>
      </c>
      <c r="K9" s="345">
        <f t="shared" ref="K9:K22" si="3">G9/$P8/$N9</f>
        <v>0</v>
      </c>
      <c r="L9" s="345">
        <f t="shared" si="2"/>
        <v>0</v>
      </c>
      <c r="M9" s="9">
        <v>0</v>
      </c>
      <c r="N9" s="12">
        <v>0.7</v>
      </c>
      <c r="O9" s="12"/>
      <c r="P9" s="9">
        <v>3.1536000000000002E-2</v>
      </c>
      <c r="Q9" s="9"/>
      <c r="R9" s="9"/>
      <c r="S9" s="62">
        <v>0.61753730279990615</v>
      </c>
      <c r="T9" s="9">
        <v>50</v>
      </c>
      <c r="U9" s="9"/>
      <c r="V9" s="9"/>
      <c r="W9" s="9"/>
      <c r="X9" s="9"/>
    </row>
    <row r="10" spans="1:24">
      <c r="B10" s="263" t="str">
        <f t="shared" si="0"/>
        <v>EAELCNGL00</v>
      </c>
      <c r="C10" s="144" t="str">
        <f t="shared" si="1"/>
        <v>Autoprod of ELC with NGL</v>
      </c>
      <c r="D10" s="9" t="str">
        <f ca="1">IEAData2!E$38</f>
        <v>INDNGL</v>
      </c>
      <c r="E10" s="9" t="str">
        <f ca="1">IEAData2!$B$38</f>
        <v>INDELC</v>
      </c>
      <c r="F10" s="9"/>
      <c r="G10" s="21">
        <f ca="1">IEAData2!BE51</f>
        <v>0</v>
      </c>
      <c r="H10" s="21">
        <f ca="1">AuxData2!BE51</f>
        <v>0</v>
      </c>
      <c r="I10" s="62">
        <f ca="1">IF(IEAData2!AY51=0,3,IEAData2!AY51/G10)</f>
        <v>3</v>
      </c>
      <c r="J10" s="62">
        <f ca="1">IF(AuxData2!AY51=0,3,AuxData2!AY51/H10)</f>
        <v>3</v>
      </c>
      <c r="K10" s="345">
        <f t="shared" si="3"/>
        <v>0</v>
      </c>
      <c r="L10" s="345">
        <f t="shared" si="2"/>
        <v>0</v>
      </c>
      <c r="M10" s="9">
        <v>0</v>
      </c>
      <c r="N10" s="12">
        <v>0.7</v>
      </c>
      <c r="O10" s="12"/>
      <c r="P10" s="9">
        <v>3.1536000000000002E-2</v>
      </c>
      <c r="Q10" s="9"/>
      <c r="R10" s="9"/>
      <c r="S10" s="62">
        <v>0.61753730279990615</v>
      </c>
      <c r="T10" s="9">
        <v>50</v>
      </c>
      <c r="U10" s="9"/>
      <c r="V10" s="9"/>
      <c r="W10" s="9"/>
      <c r="X10" s="9"/>
    </row>
    <row r="11" spans="1:24">
      <c r="B11" s="263" t="str">
        <f t="shared" si="0"/>
        <v>EAELCCOA00</v>
      </c>
      <c r="C11" s="144" t="str">
        <f t="shared" si="1"/>
        <v>Autoprod of ELC with COA</v>
      </c>
      <c r="D11" s="9" t="str">
        <f ca="1">IEAData2!F$38</f>
        <v>INDCOA</v>
      </c>
      <c r="E11" s="9" t="str">
        <f ca="1">IEAData2!$B$38</f>
        <v>INDELC</v>
      </c>
      <c r="F11" s="9"/>
      <c r="G11" s="21">
        <f ca="1">IEAData2!BE52</f>
        <v>0</v>
      </c>
      <c r="H11" s="21">
        <f ca="1">AuxData2!BE52</f>
        <v>0</v>
      </c>
      <c r="I11" s="62">
        <f ca="1">IF(IEAData2!AY52=0,3,IEAData2!AY52/G11)</f>
        <v>3</v>
      </c>
      <c r="J11" s="62">
        <f ca="1">IF(AuxData2!AY52=0,3,AuxData2!AY52/H11)</f>
        <v>3</v>
      </c>
      <c r="K11" s="345">
        <f t="shared" si="3"/>
        <v>0</v>
      </c>
      <c r="L11" s="345">
        <f t="shared" si="2"/>
        <v>0</v>
      </c>
      <c r="M11" s="9">
        <v>0</v>
      </c>
      <c r="N11" s="12">
        <v>0.7</v>
      </c>
      <c r="O11" s="12"/>
      <c r="P11" s="9">
        <v>3.1536000000000002E-2</v>
      </c>
      <c r="Q11" s="9"/>
      <c r="R11" s="9"/>
      <c r="S11" s="62">
        <v>1.5896610096868875</v>
      </c>
      <c r="T11" s="9">
        <v>50</v>
      </c>
      <c r="U11" s="9"/>
      <c r="V11" s="9"/>
      <c r="W11" s="9"/>
      <c r="X11" s="9"/>
    </row>
    <row r="12" spans="1:24">
      <c r="B12" s="263" t="str">
        <f t="shared" si="0"/>
        <v>EAELCCOK00</v>
      </c>
      <c r="C12" s="144" t="str">
        <f t="shared" si="1"/>
        <v>Autoprod of ELC with COK</v>
      </c>
      <c r="D12" s="9" t="str">
        <f ca="1">IEAData2!G$38</f>
        <v>INDCOK</v>
      </c>
      <c r="E12" s="9" t="str">
        <f ca="1">IEAData2!$B$38</f>
        <v>INDELC</v>
      </c>
      <c r="F12" s="9"/>
      <c r="G12" s="21">
        <f ca="1">IEAData2!BE53</f>
        <v>0</v>
      </c>
      <c r="H12" s="21">
        <f ca="1">AuxData2!BE53</f>
        <v>0</v>
      </c>
      <c r="I12" s="62">
        <f ca="1">IF(IEAData2!AY53=0,3,IEAData2!AY53/G12)</f>
        <v>3</v>
      </c>
      <c r="J12" s="62">
        <f ca="1">IF(AuxData2!AY53=0,3,AuxData2!AY53/H12)</f>
        <v>3</v>
      </c>
      <c r="K12" s="345">
        <f t="shared" si="3"/>
        <v>0</v>
      </c>
      <c r="L12" s="345">
        <f t="shared" si="2"/>
        <v>0</v>
      </c>
      <c r="M12" s="9">
        <v>0</v>
      </c>
      <c r="N12" s="12">
        <v>0.7</v>
      </c>
      <c r="O12" s="12"/>
      <c r="P12" s="9">
        <v>3.1536000000000002E-2</v>
      </c>
      <c r="Q12" s="9"/>
      <c r="R12" s="9"/>
      <c r="S12" s="62">
        <v>1.5896610096868875</v>
      </c>
      <c r="T12" s="9">
        <v>50</v>
      </c>
      <c r="U12" s="9"/>
      <c r="V12" s="9"/>
      <c r="W12" s="9"/>
      <c r="X12" s="9"/>
    </row>
    <row r="13" spans="1:24">
      <c r="B13" s="263" t="str">
        <f t="shared" si="0"/>
        <v>EAELCCOG00</v>
      </c>
      <c r="C13" s="144" t="str">
        <f t="shared" si="1"/>
        <v>Autoprod of ELC with COG</v>
      </c>
      <c r="D13" s="9" t="str">
        <f ca="1">IEAData2!H$38</f>
        <v>INDCOG</v>
      </c>
      <c r="E13" s="9" t="str">
        <f ca="1">IEAData2!$B$38</f>
        <v>INDELC</v>
      </c>
      <c r="F13" s="9"/>
      <c r="G13" s="21">
        <f ca="1">IEAData2!BE54</f>
        <v>0</v>
      </c>
      <c r="H13" s="21">
        <f ca="1">AuxData2!BE54</f>
        <v>0</v>
      </c>
      <c r="I13" s="62">
        <f ca="1">IF(IEAData2!AY54=0,3,IEAData2!AY54/G13)</f>
        <v>3</v>
      </c>
      <c r="J13" s="62">
        <f ca="1">IF(AuxData2!AY54=0,3,AuxData2!AY54/H13)</f>
        <v>3</v>
      </c>
      <c r="K13" s="345">
        <f t="shared" si="3"/>
        <v>0</v>
      </c>
      <c r="L13" s="345">
        <f t="shared" si="2"/>
        <v>0</v>
      </c>
      <c r="M13" s="9">
        <v>0</v>
      </c>
      <c r="N13" s="12">
        <v>0.7</v>
      </c>
      <c r="O13" s="12"/>
      <c r="P13" s="9">
        <v>3.1536000000000002E-2</v>
      </c>
      <c r="Q13" s="9"/>
      <c r="R13" s="9"/>
      <c r="S13" s="62">
        <v>0.99079512124768554</v>
      </c>
      <c r="T13" s="9">
        <v>50</v>
      </c>
      <c r="U13" s="9"/>
      <c r="V13" s="9"/>
      <c r="W13" s="9"/>
      <c r="X13" s="9"/>
    </row>
    <row r="14" spans="1:24">
      <c r="B14" s="263" t="str">
        <f t="shared" si="0"/>
        <v>EAELCBFG00</v>
      </c>
      <c r="C14" s="144" t="str">
        <f t="shared" si="1"/>
        <v>Autoprod of ELC with BFG</v>
      </c>
      <c r="D14" s="9" t="str">
        <f ca="1">IEAData2!I$38</f>
        <v>INDBFG</v>
      </c>
      <c r="E14" s="9" t="str">
        <f ca="1">IEAData2!$B$38</f>
        <v>INDELC</v>
      </c>
      <c r="F14" s="9"/>
      <c r="G14" s="21">
        <f ca="1">IEAData2!BE55</f>
        <v>0</v>
      </c>
      <c r="H14" s="21">
        <f ca="1">AuxData2!BE55</f>
        <v>0</v>
      </c>
      <c r="I14" s="62">
        <f ca="1">IF(IEAData2!AY55=0,3,IEAData2!AY55/G14)</f>
        <v>3</v>
      </c>
      <c r="J14" s="62">
        <f ca="1">IF(AuxData2!AY55=0,3,AuxData2!AY55/H14)</f>
        <v>3</v>
      </c>
      <c r="K14" s="345">
        <f t="shared" si="3"/>
        <v>0</v>
      </c>
      <c r="L14" s="345">
        <f t="shared" si="2"/>
        <v>0</v>
      </c>
      <c r="M14" s="9">
        <v>0</v>
      </c>
      <c r="N14" s="12">
        <v>0.7</v>
      </c>
      <c r="O14" s="12"/>
      <c r="P14" s="9">
        <v>3.1536000000000002E-2</v>
      </c>
      <c r="Q14" s="9"/>
      <c r="R14" s="9"/>
      <c r="S14" s="62">
        <v>0.99079512124768554</v>
      </c>
      <c r="T14" s="9">
        <v>50</v>
      </c>
      <c r="U14" s="9"/>
      <c r="V14" s="9"/>
      <c r="W14" s="9"/>
      <c r="X14" s="9"/>
    </row>
    <row r="15" spans="1:24">
      <c r="B15" s="263" t="str">
        <f t="shared" si="0"/>
        <v>EAELCBCO00</v>
      </c>
      <c r="C15" s="144" t="str">
        <f t="shared" si="1"/>
        <v>Autoprod of ELC with BCO</v>
      </c>
      <c r="D15" s="9" t="str">
        <f ca="1">IEAData2!J$38</f>
        <v>INDBCO</v>
      </c>
      <c r="E15" s="9" t="str">
        <f ca="1">IEAData2!$B$38</f>
        <v>INDELC</v>
      </c>
      <c r="F15" s="9"/>
      <c r="G15" s="21">
        <f ca="1">IEAData2!BE56</f>
        <v>0</v>
      </c>
      <c r="H15" s="21">
        <f ca="1">AuxData2!BE56</f>
        <v>0</v>
      </c>
      <c r="I15" s="62">
        <f ca="1">IF(IEAData2!AY56=0,3,IEAData2!AY56/G15)</f>
        <v>3</v>
      </c>
      <c r="J15" s="62">
        <f ca="1">IF(AuxData2!AY56=0,3,AuxData2!AY56/H15)</f>
        <v>3</v>
      </c>
      <c r="K15" s="345">
        <f t="shared" si="3"/>
        <v>0</v>
      </c>
      <c r="L15" s="345">
        <f t="shared" si="2"/>
        <v>0</v>
      </c>
      <c r="M15" s="9">
        <v>0</v>
      </c>
      <c r="N15" s="12">
        <v>0.7</v>
      </c>
      <c r="O15" s="12"/>
      <c r="P15" s="9">
        <v>3.1536000000000002E-2</v>
      </c>
      <c r="Q15" s="9"/>
      <c r="R15" s="9"/>
      <c r="S15" s="62">
        <v>1.4243086643462475</v>
      </c>
      <c r="T15" s="9">
        <v>50</v>
      </c>
      <c r="U15" s="9"/>
      <c r="V15" s="9"/>
      <c r="W15" s="9"/>
      <c r="X15" s="9"/>
    </row>
    <row r="16" spans="1:24">
      <c r="B16" s="263" t="str">
        <f t="shared" si="0"/>
        <v>EAELCHFO00</v>
      </c>
      <c r="C16" s="144" t="str">
        <f t="shared" si="1"/>
        <v>Autoprod of ELC with HFO</v>
      </c>
      <c r="D16" s="9" t="str">
        <f ca="1">IEAData2!K$38</f>
        <v>INDHFO</v>
      </c>
      <c r="E16" s="9" t="str">
        <f ca="1">IEAData2!$B$38</f>
        <v>INDELC</v>
      </c>
      <c r="F16" s="9"/>
      <c r="G16" s="21">
        <f ca="1">IEAData2!BE57</f>
        <v>0</v>
      </c>
      <c r="H16" s="21">
        <f ca="1">AuxData2!BE57</f>
        <v>0</v>
      </c>
      <c r="I16" s="62">
        <f ca="1">IF(IEAData2!AY57=0,3,IEAData2!AY57/G16)</f>
        <v>3</v>
      </c>
      <c r="J16" s="62">
        <f ca="1">IF(AuxData2!AY57=0,3,AuxData2!AY57/H16)</f>
        <v>3</v>
      </c>
      <c r="K16" s="345">
        <f t="shared" si="3"/>
        <v>0</v>
      </c>
      <c r="L16" s="345">
        <f t="shared" si="2"/>
        <v>0</v>
      </c>
      <c r="M16" s="9">
        <v>0</v>
      </c>
      <c r="N16" s="12">
        <v>0.7</v>
      </c>
      <c r="O16" s="12"/>
      <c r="P16" s="9">
        <v>3.1536000000000002E-2</v>
      </c>
      <c r="Q16" s="9"/>
      <c r="R16" s="9"/>
      <c r="S16" s="62">
        <v>1.0861910001327286</v>
      </c>
      <c r="T16" s="9">
        <v>50</v>
      </c>
      <c r="U16" s="9"/>
      <c r="V16" s="9"/>
      <c r="W16" s="9"/>
      <c r="X16" s="9"/>
    </row>
    <row r="17" spans="2:29">
      <c r="B17" s="263" t="str">
        <f t="shared" si="0"/>
        <v>EAELCOIL00</v>
      </c>
      <c r="C17" s="144" t="str">
        <f t="shared" si="1"/>
        <v>Autoprod of ELC with OIL</v>
      </c>
      <c r="D17" s="9" t="str">
        <f ca="1">IEAData2!L$38</f>
        <v>INDOIL</v>
      </c>
      <c r="E17" s="9" t="str">
        <f ca="1">IEAData2!$B$38</f>
        <v>INDELC</v>
      </c>
      <c r="F17" s="9"/>
      <c r="G17" s="21">
        <f ca="1">IEAData2!BE58</f>
        <v>0</v>
      </c>
      <c r="H17" s="21">
        <f ca="1">AuxData2!BE58</f>
        <v>0</v>
      </c>
      <c r="I17" s="62">
        <f ca="1">IF(IEAData2!AY58=0,3,IEAData2!AY58/G17)</f>
        <v>3</v>
      </c>
      <c r="J17" s="62">
        <f ca="1">IF(AuxData2!AY58=0,3,AuxData2!AY58/H17)</f>
        <v>3</v>
      </c>
      <c r="K17" s="345">
        <f t="shared" si="3"/>
        <v>0</v>
      </c>
      <c r="L17" s="345">
        <f t="shared" si="2"/>
        <v>0</v>
      </c>
      <c r="M17" s="9">
        <v>0</v>
      </c>
      <c r="N17" s="12">
        <v>0.7</v>
      </c>
      <c r="O17" s="12"/>
      <c r="P17" s="9">
        <v>3.1536000000000002E-2</v>
      </c>
      <c r="Q17" s="9"/>
      <c r="R17" s="9"/>
      <c r="S17" s="62">
        <v>0.61753730279990615</v>
      </c>
      <c r="T17" s="9">
        <v>50</v>
      </c>
      <c r="U17" s="9"/>
      <c r="V17" s="9"/>
      <c r="W17" s="9"/>
      <c r="X17" s="9"/>
    </row>
    <row r="18" spans="2:29">
      <c r="B18" s="263" t="str">
        <f t="shared" si="0"/>
        <v>EAELCETH00</v>
      </c>
      <c r="C18" s="144" t="str">
        <f t="shared" si="1"/>
        <v>Autoprod of ELC with ETH</v>
      </c>
      <c r="D18" s="9" t="str">
        <f ca="1">IEAData2!M$38</f>
        <v>INDETH</v>
      </c>
      <c r="E18" s="9" t="str">
        <f ca="1">IEAData2!$B$38</f>
        <v>INDELC</v>
      </c>
      <c r="F18" s="9"/>
      <c r="G18" s="21">
        <f ca="1">IEAData2!BE59</f>
        <v>0</v>
      </c>
      <c r="H18" s="21">
        <f ca="1">AuxData2!BE59</f>
        <v>0</v>
      </c>
      <c r="I18" s="62">
        <f ca="1">IF(IEAData2!AY59=0,3,IEAData2!AY59/G18)</f>
        <v>3</v>
      </c>
      <c r="J18" s="62">
        <f ca="1">IF(AuxData2!AY59=0,3,AuxData2!AY59/H18)</f>
        <v>3</v>
      </c>
      <c r="K18" s="345">
        <f t="shared" si="3"/>
        <v>0</v>
      </c>
      <c r="L18" s="345">
        <f t="shared" si="2"/>
        <v>0</v>
      </c>
      <c r="M18" s="9">
        <v>0</v>
      </c>
      <c r="N18" s="12">
        <v>0.7</v>
      </c>
      <c r="O18" s="12"/>
      <c r="P18" s="9">
        <v>3.1536000000000002E-2</v>
      </c>
      <c r="Q18" s="9"/>
      <c r="R18" s="9"/>
      <c r="S18" s="62">
        <v>0.61753730279990615</v>
      </c>
      <c r="T18" s="9">
        <v>50</v>
      </c>
      <c r="U18" s="9"/>
      <c r="V18" s="9"/>
      <c r="W18" s="9"/>
      <c r="X18" s="9"/>
    </row>
    <row r="19" spans="2:29">
      <c r="B19" s="263" t="str">
        <f t="shared" si="0"/>
        <v>EAELCNAP00</v>
      </c>
      <c r="C19" s="144" t="str">
        <f t="shared" si="1"/>
        <v>Autoprod of ELC with NAP</v>
      </c>
      <c r="D19" s="9" t="str">
        <f ca="1">IEAData2!N$38</f>
        <v>INDNAP</v>
      </c>
      <c r="E19" s="9" t="str">
        <f ca="1">IEAData2!$B$38</f>
        <v>INDELC</v>
      </c>
      <c r="F19" s="9"/>
      <c r="G19" s="21">
        <f ca="1">IEAData2!BE60</f>
        <v>0</v>
      </c>
      <c r="H19" s="21">
        <f ca="1">AuxData2!BE60</f>
        <v>0</v>
      </c>
      <c r="I19" s="62">
        <f ca="1">IF(IEAData2!AY60=0,3,IEAData2!AY60/G19)</f>
        <v>3</v>
      </c>
      <c r="J19" s="62">
        <f ca="1">IF(AuxData2!AY60=0,3,AuxData2!AY60/H19)</f>
        <v>3</v>
      </c>
      <c r="K19" s="345">
        <f t="shared" si="3"/>
        <v>0</v>
      </c>
      <c r="L19" s="345">
        <f t="shared" si="2"/>
        <v>0</v>
      </c>
      <c r="M19" s="9">
        <v>0</v>
      </c>
      <c r="N19" s="12">
        <v>0.7</v>
      </c>
      <c r="O19" s="12"/>
      <c r="P19" s="9">
        <v>3.1536000000000002E-2</v>
      </c>
      <c r="Q19" s="9"/>
      <c r="R19" s="9"/>
      <c r="S19" s="62">
        <v>0.61753730279990615</v>
      </c>
      <c r="T19" s="9">
        <v>50</v>
      </c>
      <c r="U19" s="9"/>
      <c r="V19" s="9"/>
      <c r="W19" s="9"/>
      <c r="X19" s="9"/>
    </row>
    <row r="20" spans="2:29">
      <c r="B20" s="263" t="str">
        <f t="shared" si="0"/>
        <v>EAELCPTC00</v>
      </c>
      <c r="C20" s="144" t="str">
        <f t="shared" si="1"/>
        <v>Autoprod of ELC with PTC</v>
      </c>
      <c r="D20" s="9" t="str">
        <f ca="1">IEAData2!O$38</f>
        <v>INDPTC</v>
      </c>
      <c r="E20" s="9" t="str">
        <f ca="1">IEAData2!$B$38</f>
        <v>INDELC</v>
      </c>
      <c r="F20" s="9"/>
      <c r="G20" s="21">
        <f ca="1">IEAData2!BE61</f>
        <v>0</v>
      </c>
      <c r="H20" s="21">
        <f ca="1">AuxData2!BE61</f>
        <v>0</v>
      </c>
      <c r="I20" s="62">
        <f ca="1">IF(IEAData2!AY61=0,3,IEAData2!AY61/G20)</f>
        <v>3</v>
      </c>
      <c r="J20" s="62">
        <f ca="1">IF(AuxData2!AY61=0,3,AuxData2!AY61/H20)</f>
        <v>3</v>
      </c>
      <c r="K20" s="345">
        <f t="shared" si="3"/>
        <v>0</v>
      </c>
      <c r="L20" s="345">
        <f t="shared" si="2"/>
        <v>0</v>
      </c>
      <c r="M20" s="9">
        <v>0</v>
      </c>
      <c r="N20" s="12">
        <v>0.7</v>
      </c>
      <c r="O20" s="12"/>
      <c r="P20" s="9">
        <v>3.1536000000000002E-2</v>
      </c>
      <c r="Q20" s="9"/>
      <c r="R20" s="9"/>
      <c r="S20" s="62">
        <v>1.5896610096868875</v>
      </c>
      <c r="T20" s="9">
        <v>50</v>
      </c>
      <c r="U20" s="9"/>
      <c r="V20" s="9"/>
      <c r="W20" s="9"/>
      <c r="X20" s="9"/>
    </row>
    <row r="21" spans="2:29">
      <c r="B21" s="263" t="str">
        <f t="shared" si="0"/>
        <v>EAELCBIO00</v>
      </c>
      <c r="C21" s="144" t="str">
        <f t="shared" si="1"/>
        <v>Autoprod of ELC with BIO</v>
      </c>
      <c r="D21" s="9" t="str">
        <f ca="1">IEAData2!P$38</f>
        <v>INDBIO</v>
      </c>
      <c r="E21" s="9" t="str">
        <f ca="1">IEAData2!$B$38</f>
        <v>INDELC</v>
      </c>
      <c r="F21" s="9"/>
      <c r="G21" s="21">
        <f ca="1">IEAData2!BE62</f>
        <v>0</v>
      </c>
      <c r="H21" s="21">
        <f ca="1">AuxData2!BE62</f>
        <v>0</v>
      </c>
      <c r="I21" s="62">
        <f ca="1">IF(IEAData2!AY62=0,3,IEAData2!AY62/G21)</f>
        <v>3</v>
      </c>
      <c r="J21" s="62">
        <f ca="1">IF(AuxData2!AY62=0,3,AuxData2!AY62/H21)</f>
        <v>3</v>
      </c>
      <c r="K21" s="345">
        <f t="shared" si="3"/>
        <v>0</v>
      </c>
      <c r="L21" s="345">
        <f t="shared" si="2"/>
        <v>0</v>
      </c>
      <c r="M21" s="9">
        <v>0</v>
      </c>
      <c r="N21" s="12">
        <v>0.7</v>
      </c>
      <c r="O21" s="12"/>
      <c r="P21" s="9">
        <v>3.1536000000000002E-2</v>
      </c>
      <c r="Q21" s="9"/>
      <c r="R21" s="9"/>
      <c r="S21" s="62">
        <v>0.63293928682584799</v>
      </c>
      <c r="T21" s="9">
        <v>50</v>
      </c>
      <c r="U21" s="9"/>
      <c r="V21" s="9"/>
      <c r="W21" s="9"/>
      <c r="X21" s="9"/>
    </row>
    <row r="22" spans="2:29">
      <c r="B22" s="263" t="str">
        <f t="shared" si="0"/>
        <v>EAELCGEO00</v>
      </c>
      <c r="C22" s="144" t="str">
        <f t="shared" si="1"/>
        <v>Autoprod of ELC with GEO</v>
      </c>
      <c r="D22" s="9" t="str">
        <f ca="1">IEAData2!Q$38</f>
        <v>INDGEO</v>
      </c>
      <c r="E22" s="9" t="str">
        <f ca="1">IEAData2!$B$38</f>
        <v>INDELC</v>
      </c>
      <c r="F22" s="9"/>
      <c r="G22" s="21">
        <f ca="1">IEAData2!BE63</f>
        <v>0</v>
      </c>
      <c r="H22" s="21">
        <f ca="1">AuxData2!BE63</f>
        <v>0</v>
      </c>
      <c r="I22" s="62">
        <f ca="1">IF(IEAData2!AY63=0,3,IEAData2!AY63/G22)</f>
        <v>3</v>
      </c>
      <c r="J22" s="62">
        <f ca="1">IF(AuxData2!AY63=0,3,AuxData2!AY63/H22)</f>
        <v>3</v>
      </c>
      <c r="K22" s="345">
        <f t="shared" si="3"/>
        <v>0</v>
      </c>
      <c r="L22" s="345">
        <f t="shared" si="2"/>
        <v>0</v>
      </c>
      <c r="M22" s="9">
        <v>0</v>
      </c>
      <c r="N22" s="12">
        <v>0.7</v>
      </c>
      <c r="O22" s="12"/>
      <c r="P22" s="9">
        <v>3.1536000000000002E-2</v>
      </c>
      <c r="Q22" s="9"/>
      <c r="R22" s="9"/>
      <c r="S22" s="62">
        <v>0.3</v>
      </c>
      <c r="T22" s="9">
        <v>50</v>
      </c>
      <c r="U22" s="9"/>
      <c r="V22" s="9"/>
      <c r="W22" s="9"/>
      <c r="X22" s="9"/>
    </row>
    <row r="23" spans="2:29">
      <c r="B23" s="263" t="str">
        <f t="shared" si="0"/>
        <v>EAELCHET00</v>
      </c>
      <c r="C23" s="144" t="str">
        <f t="shared" si="1"/>
        <v>Autoprod of ELC with HET</v>
      </c>
      <c r="D23" s="9" t="s">
        <v>946</v>
      </c>
      <c r="E23" s="52" t="s">
        <v>728</v>
      </c>
      <c r="F23" s="9"/>
      <c r="G23" s="21">
        <f ca="1">IEAData2!BE68</f>
        <v>0</v>
      </c>
      <c r="H23" s="21">
        <f ca="1">AuxData2!BE68</f>
        <v>0</v>
      </c>
      <c r="I23" s="62">
        <v>1</v>
      </c>
      <c r="J23" s="62">
        <v>1</v>
      </c>
      <c r="K23" s="542"/>
      <c r="L23" s="9"/>
      <c r="M23" s="9"/>
      <c r="N23" s="12">
        <v>0.7</v>
      </c>
      <c r="O23" s="12"/>
      <c r="P23" s="9">
        <v>3.1536000000000002E-2</v>
      </c>
      <c r="Q23" s="9"/>
      <c r="R23" s="9"/>
      <c r="S23" s="62">
        <v>0.3</v>
      </c>
      <c r="T23" s="9">
        <v>50</v>
      </c>
      <c r="U23" s="62">
        <f ca="1">IEAData2!BA68</f>
        <v>0</v>
      </c>
      <c r="V23" s="62">
        <f ca="1">AuxData2!BA68</f>
        <v>0</v>
      </c>
      <c r="W23" s="9"/>
      <c r="X23" s="304">
        <v>1</v>
      </c>
    </row>
    <row r="24" spans="2:29">
      <c r="B24" s="263"/>
      <c r="C24" s="144"/>
      <c r="D24" s="9"/>
      <c r="E24" s="9" t="str">
        <f ca="1">IEAData2!$B$38</f>
        <v>INDELC</v>
      </c>
      <c r="F24" s="9"/>
      <c r="G24" s="21"/>
      <c r="H24" s="21"/>
      <c r="I24" s="62"/>
      <c r="J24" s="62"/>
      <c r="K24" s="542"/>
      <c r="L24" s="9"/>
      <c r="M24" s="9"/>
      <c r="N24" s="12"/>
      <c r="O24" s="12"/>
      <c r="P24" s="9"/>
      <c r="Q24" s="9"/>
      <c r="R24" s="9"/>
      <c r="S24" s="9"/>
      <c r="T24" s="9"/>
      <c r="U24" s="62"/>
      <c r="V24" s="9"/>
      <c r="W24" s="9"/>
      <c r="X24" s="9"/>
    </row>
    <row r="25" spans="2:29">
      <c r="B25" s="192" t="s">
        <v>902</v>
      </c>
      <c r="C25" s="192"/>
      <c r="D25" s="192"/>
      <c r="E25" s="192"/>
      <c r="F25" s="193"/>
      <c r="G25" s="395">
        <f>SUM(G7:G22)</f>
        <v>0</v>
      </c>
      <c r="H25" s="395">
        <f>SUM(H7:H22)</f>
        <v>0</v>
      </c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</row>
    <row r="26" spans="2:29">
      <c r="I26" s="15"/>
      <c r="K26" s="15"/>
      <c r="L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AA26" s="15"/>
      <c r="AB26" s="15"/>
      <c r="AC26" s="15"/>
    </row>
    <row r="27" spans="2:29">
      <c r="F27" s="222"/>
      <c r="H27" s="15"/>
      <c r="I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 spans="2:29">
      <c r="F28" s="222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 spans="2:29">
      <c r="F29" s="222"/>
      <c r="H29" s="15"/>
      <c r="I29" s="15"/>
      <c r="J29" s="15"/>
      <c r="K29" s="15"/>
      <c r="L29" s="49" t="s">
        <v>1321</v>
      </c>
      <c r="M29" s="31">
        <v>1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 spans="2:29">
      <c r="F30" s="222"/>
      <c r="J30" s="15"/>
      <c r="K30" s="15"/>
      <c r="L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2:29" ht="18">
      <c r="B31" s="86" t="s">
        <v>88</v>
      </c>
      <c r="C31" s="88"/>
      <c r="D31" s="123"/>
      <c r="E31" s="225" t="str">
        <f>"~FI_T: EUR10~"&amp;Region</f>
        <v>~FI_T: EUR10~FIM</v>
      </c>
      <c r="F31" s="226"/>
      <c r="M31" s="15"/>
      <c r="Q31" s="15"/>
      <c r="R31" s="15"/>
      <c r="S31" s="15"/>
    </row>
    <row r="32" spans="2:29" ht="39" thickBot="1">
      <c r="B32" s="45" t="s">
        <v>649</v>
      </c>
      <c r="C32" s="45" t="s">
        <v>650</v>
      </c>
      <c r="D32" s="45" t="s">
        <v>648</v>
      </c>
      <c r="E32" s="45" t="s">
        <v>651</v>
      </c>
      <c r="F32" s="64" t="str">
        <f ca="1">CONCATENATE("\I:",IEAData2!$D$2," final energy")</f>
        <v>\I:2010 final energy</v>
      </c>
      <c r="G32" s="64" t="str">
        <f ca="1">CONCATENATE("\I:",AuxData2!$D$2," final energy")</f>
        <v>\I:2017 final energy</v>
      </c>
      <c r="H32" s="64" t="s">
        <v>50</v>
      </c>
      <c r="I32" s="45" t="str">
        <f ca="1">"EFF~"&amp;AuxYear</f>
        <v>EFF~2017</v>
      </c>
      <c r="J32" s="64" t="str">
        <f ca="1">CONCATENATE("\I:",AuxData2!$D$2," Service Demand")</f>
        <v>\I:2017 Service Demand</v>
      </c>
      <c r="K32" s="64" t="s">
        <v>721</v>
      </c>
      <c r="L32" s="45" t="s">
        <v>872</v>
      </c>
      <c r="M32" s="64" t="s">
        <v>54</v>
      </c>
      <c r="N32" s="45" t="str">
        <f ca="1">"RESID~"&amp;AuxYear</f>
        <v>RESID~2017</v>
      </c>
      <c r="O32" s="79" t="str">
        <f ca="1">"RESID~"&amp;CEILING(AuxYear+10,5)</f>
        <v>RESID~2030</v>
      </c>
      <c r="P32" s="79" t="str">
        <f ca="1">"RESID~"&amp;CEILING(AuxYear+30,5)</f>
        <v>RESID~2050</v>
      </c>
      <c r="Q32" s="64" t="s">
        <v>79</v>
      </c>
      <c r="R32" s="79" t="s">
        <v>882</v>
      </c>
      <c r="S32" s="79" t="str">
        <f ca="1">"CHPR~FX~"&amp;AuxYear</f>
        <v>CHPR~FX~2017</v>
      </c>
      <c r="T32" s="79" t="s">
        <v>51</v>
      </c>
      <c r="U32" s="64" t="s">
        <v>499</v>
      </c>
      <c r="V32" s="64" t="str">
        <f ca="1">"Share-I~UP~"&amp;AuxYear</f>
        <v>Share-I~UP~2017</v>
      </c>
      <c r="W32" s="64" t="str">
        <f>"Share-I~UP~"&amp;2040</f>
        <v>Share-I~UP~2040</v>
      </c>
      <c r="X32" s="45" t="s">
        <v>1379</v>
      </c>
      <c r="Y32" s="64" t="s">
        <v>848</v>
      </c>
      <c r="Z32" s="64" t="s">
        <v>556</v>
      </c>
      <c r="AA32" s="45" t="s">
        <v>1497</v>
      </c>
      <c r="AB32" s="45" t="str">
        <f ca="1">"VA_Attrib_TC~"&amp;AuxYear</f>
        <v>VA_Attrib_TC~2017</v>
      </c>
      <c r="AC32" s="126" t="s">
        <v>959</v>
      </c>
    </row>
    <row r="33" spans="2:29">
      <c r="B33" s="264" t="s">
        <v>918</v>
      </c>
      <c r="C33" s="50" t="s">
        <v>919</v>
      </c>
      <c r="D33" s="52" t="str">
        <f ca="1">IEAData2!AX7</f>
        <v>INDNGA</v>
      </c>
      <c r="E33" s="52"/>
      <c r="F33" s="777">
        <f ca="1">IEAData2!AY7</f>
        <v>1.8266916764241359</v>
      </c>
      <c r="G33" s="777">
        <f ca="1">AuxData2!AY7</f>
        <v>0</v>
      </c>
      <c r="H33" s="778">
        <f ca="1">VLOOKUP(D33,IEAData2!$AX$25:$BA$39,3,0)</f>
        <v>0.50022409117390976</v>
      </c>
      <c r="I33" s="778">
        <f ca="1">VLOOKUP(D33,AuxData2!$AX$25:$BA$39,3,0)</f>
        <v>0.15</v>
      </c>
      <c r="J33" s="779">
        <f ca="1">G33*I33</f>
        <v>0</v>
      </c>
      <c r="K33" s="55">
        <v>1</v>
      </c>
      <c r="L33" s="52"/>
      <c r="M33" s="358">
        <f>F33*H33/Q33/Y33*$M$29</f>
        <v>41.392838284328526</v>
      </c>
      <c r="N33" s="358">
        <f>J33/Q33/Y33*$M$29</f>
        <v>0</v>
      </c>
      <c r="O33" s="358">
        <f>N33*IF(Region="FIN",1,0.65)</f>
        <v>0</v>
      </c>
      <c r="P33" s="49">
        <v>0</v>
      </c>
      <c r="Q33" s="49">
        <v>0.7</v>
      </c>
      <c r="R33" s="778">
        <f ca="1">VLOOKUP(D33,IEAData2!$AX$25:$BA$39,4,0)</f>
        <v>0.67924739096174891</v>
      </c>
      <c r="S33" s="778">
        <f ca="1">VLOOKUP(D33,AuxData2!$AX$25:$BA$39,4,0)</f>
        <v>4.5999999999999996</v>
      </c>
      <c r="T33" s="544">
        <v>0.61753730279990615</v>
      </c>
      <c r="U33" s="52"/>
      <c r="V33" s="52"/>
      <c r="W33" s="52"/>
      <c r="X33" s="49">
        <v>1</v>
      </c>
      <c r="Y33" s="547">
        <v>3.1536000000000002E-2</v>
      </c>
      <c r="Z33" s="49">
        <v>30</v>
      </c>
      <c r="AA33" s="780">
        <f>H33*R33</f>
        <v>0.33977590882609021</v>
      </c>
      <c r="AB33" s="780">
        <f>I33*S33</f>
        <v>0.69</v>
      </c>
      <c r="AC33" s="128">
        <f>IF($F$81=0,0,F33/$F$81)</f>
        <v>0.61550512725178008</v>
      </c>
    </row>
    <row r="34" spans="2:29">
      <c r="B34" s="9"/>
      <c r="C34" s="23"/>
      <c r="D34" s="9"/>
      <c r="E34" s="52" t="str">
        <f ca="1">IEAData2!$B$38</f>
        <v>INDELC</v>
      </c>
      <c r="F34" s="19"/>
      <c r="G34" s="19"/>
      <c r="H34" s="105"/>
      <c r="I34" s="105"/>
      <c r="J34" s="31"/>
      <c r="K34" s="31"/>
      <c r="L34" s="9"/>
      <c r="M34" s="345"/>
      <c r="N34" s="345"/>
      <c r="O34" s="345"/>
      <c r="P34" s="49"/>
      <c r="Q34" s="12"/>
      <c r="R34" s="105"/>
      <c r="S34" s="105"/>
      <c r="T34" s="62"/>
      <c r="U34" s="9"/>
      <c r="V34" s="9"/>
      <c r="W34" s="9"/>
      <c r="X34" s="49"/>
      <c r="Y34" s="547"/>
      <c r="Z34" s="49"/>
      <c r="AA34" s="476"/>
      <c r="AB34" s="476"/>
      <c r="AC34" s="128"/>
    </row>
    <row r="35" spans="2:29">
      <c r="B35" s="218"/>
      <c r="C35" s="23"/>
      <c r="D35" s="9"/>
      <c r="E35" s="52" t="s">
        <v>728</v>
      </c>
      <c r="F35" s="21"/>
      <c r="G35" s="21"/>
      <c r="H35" s="285"/>
      <c r="I35" s="285"/>
      <c r="J35" s="31"/>
      <c r="K35" s="31"/>
      <c r="L35" s="542"/>
      <c r="M35" s="345"/>
      <c r="N35" s="345"/>
      <c r="O35" s="345"/>
      <c r="P35" s="49"/>
      <c r="Q35" s="12"/>
      <c r="R35" s="285"/>
      <c r="S35" s="285"/>
      <c r="T35" s="62"/>
      <c r="U35" s="9"/>
      <c r="V35" s="9"/>
      <c r="W35" s="9"/>
      <c r="X35" s="49"/>
      <c r="Y35" s="547"/>
      <c r="Z35" s="49"/>
      <c r="AA35" s="476"/>
      <c r="AB35" s="476"/>
      <c r="AC35" s="128"/>
    </row>
    <row r="36" spans="2:29">
      <c r="B36" s="35" t="s">
        <v>920</v>
      </c>
      <c r="C36" s="23" t="s">
        <v>921</v>
      </c>
      <c r="D36" s="9" t="str">
        <f ca="1">IEAData2!AX8</f>
        <v>INDLPG</v>
      </c>
      <c r="E36" s="52"/>
      <c r="F36" s="186">
        <f ca="1">IEAData2!AY8</f>
        <v>0</v>
      </c>
      <c r="G36" s="186">
        <f ca="1">AuxData2!AY8</f>
        <v>0</v>
      </c>
      <c r="H36" s="287">
        <f ca="1">VLOOKUP(D36,IEAData2!$AX$25:$BA$39,3,0)</f>
        <v>0.15</v>
      </c>
      <c r="I36" s="287">
        <f ca="1">VLOOKUP(D36,AuxData2!$AX$25:$BA$39,3,0)</f>
        <v>0.15</v>
      </c>
      <c r="J36" s="546">
        <f ca="1">G36*I36</f>
        <v>0</v>
      </c>
      <c r="K36" s="31">
        <v>1</v>
      </c>
      <c r="L36" s="542"/>
      <c r="M36" s="345">
        <f>F36*H36/Q36/Y36*$M$29</f>
        <v>0</v>
      </c>
      <c r="N36" s="345">
        <f>J36/Q36/Y36*$M$29</f>
        <v>0</v>
      </c>
      <c r="O36" s="345"/>
      <c r="P36" s="49">
        <v>0</v>
      </c>
      <c r="Q36" s="12">
        <v>0.7</v>
      </c>
      <c r="R36" s="287">
        <f ca="1">VLOOKUP(D36,IEAData2!$AX$25:$BA$39,4,0)</f>
        <v>4.5999999999999996</v>
      </c>
      <c r="S36" s="287">
        <f ca="1">VLOOKUP(D36,AuxData2!$AX$25:$BA$39,4,0)</f>
        <v>4.5999999999999996</v>
      </c>
      <c r="T36" s="62">
        <v>0.61753730279990615</v>
      </c>
      <c r="U36" s="9"/>
      <c r="V36" s="9"/>
      <c r="W36" s="9"/>
      <c r="X36" s="49">
        <v>1</v>
      </c>
      <c r="Y36" s="547">
        <v>3.1536000000000002E-2</v>
      </c>
      <c r="Z36" s="49">
        <v>30</v>
      </c>
      <c r="AA36" s="608">
        <f>H36*R36</f>
        <v>0.69</v>
      </c>
      <c r="AB36" s="608">
        <f>I36*S36</f>
        <v>0.69</v>
      </c>
      <c r="AC36" s="128">
        <f>IF($F$81=0,0,F36/$F$81)</f>
        <v>0</v>
      </c>
    </row>
    <row r="37" spans="2:29">
      <c r="B37" s="9"/>
      <c r="C37" s="9"/>
      <c r="D37" s="9"/>
      <c r="E37" s="52" t="str">
        <f ca="1">IEAData2!$B$38</f>
        <v>INDELC</v>
      </c>
      <c r="F37" s="19"/>
      <c r="G37" s="19"/>
      <c r="H37" s="105"/>
      <c r="I37" s="105"/>
      <c r="J37" s="31"/>
      <c r="K37" s="31"/>
      <c r="L37" s="542"/>
      <c r="M37" s="345"/>
      <c r="N37" s="345"/>
      <c r="O37" s="345"/>
      <c r="P37" s="49"/>
      <c r="Q37" s="12"/>
      <c r="R37" s="105"/>
      <c r="S37" s="105"/>
      <c r="T37" s="62"/>
      <c r="U37" s="9"/>
      <c r="V37" s="9"/>
      <c r="W37" s="9"/>
      <c r="X37" s="49"/>
      <c r="Y37" s="547"/>
      <c r="Z37" s="49"/>
      <c r="AA37" s="476"/>
      <c r="AB37" s="476"/>
      <c r="AC37" s="128"/>
    </row>
    <row r="38" spans="2:29">
      <c r="B38" s="218"/>
      <c r="C38" s="9"/>
      <c r="D38" s="9"/>
      <c r="E38" s="52" t="s">
        <v>728</v>
      </c>
      <c r="F38" s="21"/>
      <c r="G38" s="21"/>
      <c r="H38" s="285"/>
      <c r="I38" s="285"/>
      <c r="J38" s="31"/>
      <c r="K38" s="31"/>
      <c r="L38" s="542"/>
      <c r="M38" s="345"/>
      <c r="N38" s="345"/>
      <c r="O38" s="345"/>
      <c r="P38" s="49"/>
      <c r="Q38" s="12"/>
      <c r="R38" s="285"/>
      <c r="S38" s="285"/>
      <c r="T38" s="62"/>
      <c r="U38" s="9"/>
      <c r="V38" s="9"/>
      <c r="W38" s="9"/>
      <c r="X38" s="49"/>
      <c r="Y38" s="547"/>
      <c r="Z38" s="49"/>
      <c r="AA38" s="476"/>
      <c r="AB38" s="476"/>
      <c r="AC38" s="128"/>
    </row>
    <row r="39" spans="2:29">
      <c r="B39" s="35" t="s">
        <v>922</v>
      </c>
      <c r="C39" s="23" t="s">
        <v>923</v>
      </c>
      <c r="D39" s="9" t="str">
        <f ca="1">IEAData2!AX9</f>
        <v>INDNGL</v>
      </c>
      <c r="E39" s="52"/>
      <c r="F39" s="186">
        <f ca="1">IEAData2!AY9</f>
        <v>0</v>
      </c>
      <c r="G39" s="186">
        <f ca="1">AuxData2!AY9</f>
        <v>0</v>
      </c>
      <c r="H39" s="287">
        <f ca="1">VLOOKUP(D39,IEAData2!$AX$25:$BA$39,3,0)</f>
        <v>0.15</v>
      </c>
      <c r="I39" s="287">
        <f ca="1">VLOOKUP(D39,AuxData2!$AX$25:$BA$39,3,0)</f>
        <v>0.15</v>
      </c>
      <c r="J39" s="546">
        <f ca="1">G39*I39</f>
        <v>0</v>
      </c>
      <c r="K39" s="31">
        <v>1</v>
      </c>
      <c r="L39" s="542"/>
      <c r="M39" s="345">
        <f>F39*H39/Q39/Y39*$M$29</f>
        <v>0</v>
      </c>
      <c r="N39" s="345">
        <f>J39/Q39/Y39*$M$29</f>
        <v>0</v>
      </c>
      <c r="O39" s="345"/>
      <c r="P39" s="49">
        <v>0</v>
      </c>
      <c r="Q39" s="12">
        <v>0.7</v>
      </c>
      <c r="R39" s="287">
        <f ca="1">VLOOKUP(D39,IEAData2!$AX$25:$BA$39,4,0)</f>
        <v>4.4666666666666668</v>
      </c>
      <c r="S39" s="287">
        <f ca="1">VLOOKUP(D39,AuxData2!$AX$25:$BA$39,4,0)</f>
        <v>4.4666666666666668</v>
      </c>
      <c r="T39" s="62">
        <v>0.61753730279990615</v>
      </c>
      <c r="U39" s="9"/>
      <c r="V39" s="9"/>
      <c r="W39" s="9"/>
      <c r="X39" s="49">
        <v>1</v>
      </c>
      <c r="Y39" s="547">
        <v>3.1536000000000002E-2</v>
      </c>
      <c r="Z39" s="49">
        <v>30</v>
      </c>
      <c r="AA39" s="608">
        <f>H39*R39</f>
        <v>0.67</v>
      </c>
      <c r="AB39" s="608">
        <f>I39*S39</f>
        <v>0.67</v>
      </c>
      <c r="AC39" s="128">
        <f>IF($F$81=0,0,F39/$F$81)</f>
        <v>0</v>
      </c>
    </row>
    <row r="40" spans="2:29">
      <c r="B40" s="9"/>
      <c r="C40" s="9"/>
      <c r="D40" s="9"/>
      <c r="E40" s="52" t="str">
        <f ca="1">IEAData2!$B$38</f>
        <v>INDELC</v>
      </c>
      <c r="F40" s="19"/>
      <c r="G40" s="19"/>
      <c r="H40" s="105"/>
      <c r="I40" s="105"/>
      <c r="J40" s="31"/>
      <c r="K40" s="31"/>
      <c r="L40" s="542"/>
      <c r="M40" s="345"/>
      <c r="N40" s="345"/>
      <c r="O40" s="345"/>
      <c r="P40" s="49"/>
      <c r="Q40" s="12"/>
      <c r="R40" s="105"/>
      <c r="S40" s="105"/>
      <c r="T40" s="62"/>
      <c r="U40" s="9"/>
      <c r="V40" s="9"/>
      <c r="W40" s="9"/>
      <c r="X40" s="49"/>
      <c r="Y40" s="547"/>
      <c r="Z40" s="49"/>
      <c r="AA40" s="476"/>
      <c r="AB40" s="476"/>
      <c r="AC40" s="128"/>
    </row>
    <row r="41" spans="2:29">
      <c r="B41" s="218"/>
      <c r="C41" s="9"/>
      <c r="D41" s="9"/>
      <c r="E41" s="52" t="s">
        <v>728</v>
      </c>
      <c r="F41" s="53"/>
      <c r="G41" s="53"/>
      <c r="H41" s="288"/>
      <c r="I41" s="288"/>
      <c r="J41" s="55"/>
      <c r="K41" s="55"/>
      <c r="L41" s="543"/>
      <c r="M41" s="358"/>
      <c r="N41" s="345"/>
      <c r="O41" s="345"/>
      <c r="P41" s="49"/>
      <c r="Q41" s="49"/>
      <c r="R41" s="288"/>
      <c r="S41" s="288"/>
      <c r="T41" s="62"/>
      <c r="U41" s="52"/>
      <c r="V41" s="9"/>
      <c r="W41" s="9"/>
      <c r="X41" s="49"/>
      <c r="Y41" s="547"/>
      <c r="Z41" s="49"/>
      <c r="AA41" s="476"/>
      <c r="AB41" s="476"/>
      <c r="AC41" s="183"/>
    </row>
    <row r="42" spans="2:29">
      <c r="B42" s="35" t="s">
        <v>924</v>
      </c>
      <c r="C42" s="23" t="s">
        <v>925</v>
      </c>
      <c r="D42" s="9" t="str">
        <f ca="1">IEAData2!AX10</f>
        <v>INDCOA</v>
      </c>
      <c r="E42" s="52"/>
      <c r="F42" s="186">
        <f ca="1">IEAData2!AY10</f>
        <v>0.5093842148196559</v>
      </c>
      <c r="G42" s="186">
        <f ca="1">AuxData2!AY10</f>
        <v>7.6480044277440623E-2</v>
      </c>
      <c r="H42" s="287">
        <f ca="1">VLOOKUP(D42,IEAData2!$AX$25:$BA$39,3,0)</f>
        <v>0.15</v>
      </c>
      <c r="I42" s="287">
        <f ca="1">VLOOKUP(D42,AuxData2!$AX$25:$BA$39,3,0)</f>
        <v>0.5053924550775698</v>
      </c>
      <c r="J42" s="546">
        <f ca="1">G42*I42</f>
        <v>3.8652437341816961E-2</v>
      </c>
      <c r="K42" s="31">
        <v>1</v>
      </c>
      <c r="L42" s="9"/>
      <c r="M42" s="345">
        <f>F42*H42/Q42/Y42*$M$29</f>
        <v>3.4612430339452591</v>
      </c>
      <c r="N42" s="345">
        <f>J42/Q42/Y42*$M$29</f>
        <v>1.7509439253921579</v>
      </c>
      <c r="O42" s="345"/>
      <c r="P42" s="49">
        <v>0</v>
      </c>
      <c r="Q42" s="12">
        <v>0.7</v>
      </c>
      <c r="R42" s="287">
        <f ca="1">VLOOKUP(D42,IEAData2!$AX$25:$BA$39,4,0)</f>
        <v>4.6654095537472342</v>
      </c>
      <c r="S42" s="287">
        <f ca="1">VLOOKUP(D42,AuxData2!$AX$25:$BA$39,4,0)</f>
        <v>0.65911781377333722</v>
      </c>
      <c r="T42" s="62">
        <v>1.5896610096868875</v>
      </c>
      <c r="U42" s="9"/>
      <c r="V42" s="9"/>
      <c r="W42" s="9"/>
      <c r="X42" s="49">
        <v>1</v>
      </c>
      <c r="Y42" s="547">
        <v>3.1536000000000002E-2</v>
      </c>
      <c r="Z42" s="49">
        <v>30</v>
      </c>
      <c r="AA42" s="608">
        <f>H42*R42</f>
        <v>0.69981143306208515</v>
      </c>
      <c r="AB42" s="608">
        <f>I42*S42</f>
        <v>0.33311317008826735</v>
      </c>
      <c r="AC42" s="128">
        <f>IF($F$81=0,0,F42/$F$81)</f>
        <v>0.1716373923465685</v>
      </c>
    </row>
    <row r="43" spans="2:29">
      <c r="B43" s="9"/>
      <c r="C43" s="9"/>
      <c r="D43" s="9" t="s">
        <v>655</v>
      </c>
      <c r="E43" s="52" t="str">
        <f ca="1">IEAData2!$B$38</f>
        <v>INDELC</v>
      </c>
      <c r="F43" s="19"/>
      <c r="G43" s="19"/>
      <c r="H43" s="105"/>
      <c r="I43" s="105"/>
      <c r="J43" s="12"/>
      <c r="K43" s="31"/>
      <c r="L43" s="9"/>
      <c r="M43" s="345"/>
      <c r="N43" s="345"/>
      <c r="O43" s="345"/>
      <c r="P43" s="49"/>
      <c r="Q43" s="12"/>
      <c r="R43" s="105"/>
      <c r="S43" s="105"/>
      <c r="T43" s="62"/>
      <c r="U43" s="9"/>
      <c r="V43" s="9">
        <v>0</v>
      </c>
      <c r="W43" s="9">
        <v>0.4</v>
      </c>
      <c r="X43" s="49"/>
      <c r="Y43" s="547"/>
      <c r="Z43" s="49"/>
      <c r="AA43" s="476"/>
      <c r="AB43" s="476"/>
    </row>
    <row r="44" spans="2:29">
      <c r="B44" s="218"/>
      <c r="C44" s="9"/>
      <c r="D44" s="9"/>
      <c r="E44" s="52" t="s">
        <v>728</v>
      </c>
      <c r="F44" s="186"/>
      <c r="G44" s="186"/>
      <c r="H44" s="287"/>
      <c r="I44" s="287"/>
      <c r="J44" s="12"/>
      <c r="K44" s="31"/>
      <c r="L44" s="542"/>
      <c r="M44" s="345"/>
      <c r="N44" s="345"/>
      <c r="O44" s="345"/>
      <c r="P44" s="49"/>
      <c r="Q44" s="12"/>
      <c r="R44" s="287"/>
      <c r="S44" s="287"/>
      <c r="T44" s="62"/>
      <c r="U44" s="9"/>
      <c r="V44" s="9"/>
      <c r="W44" s="9"/>
      <c r="X44" s="49"/>
      <c r="Y44" s="547"/>
      <c r="Z44" s="49"/>
      <c r="AA44" s="476"/>
      <c r="AB44" s="476"/>
    </row>
    <row r="45" spans="2:29">
      <c r="B45" s="35" t="s">
        <v>926</v>
      </c>
      <c r="C45" s="23" t="s">
        <v>927</v>
      </c>
      <c r="D45" s="9" t="str">
        <f ca="1">IEAData2!AX11</f>
        <v>INDCOK</v>
      </c>
      <c r="E45" s="52"/>
      <c r="F45" s="186">
        <f ca="1">IEAData2!AY11</f>
        <v>0</v>
      </c>
      <c r="G45" s="186">
        <f ca="1">AuxData2!AY11</f>
        <v>0</v>
      </c>
      <c r="H45" s="287">
        <f ca="1">VLOOKUP(D45,IEAData2!$AX$25:$BA$39,3,0)</f>
        <v>0.15</v>
      </c>
      <c r="I45" s="287">
        <f ca="1">VLOOKUP(D45,AuxData2!$AX$25:$BA$39,3,0)</f>
        <v>0.15</v>
      </c>
      <c r="J45" s="546">
        <f ca="1">G45*I45</f>
        <v>0</v>
      </c>
      <c r="K45" s="31">
        <v>1</v>
      </c>
      <c r="L45" s="542"/>
      <c r="M45" s="345">
        <f>F45*H45/Q45/Y45*$M$29</f>
        <v>0</v>
      </c>
      <c r="N45" s="345">
        <f>J45/Q45/Y45*$M$29</f>
        <v>0</v>
      </c>
      <c r="O45" s="345"/>
      <c r="P45" s="49">
        <v>0</v>
      </c>
      <c r="Q45" s="12">
        <v>0.7</v>
      </c>
      <c r="R45" s="287">
        <f ca="1">VLOOKUP(D45,IEAData2!$AX$25:$BA$39,4,0)</f>
        <v>4.3333333333333339</v>
      </c>
      <c r="S45" s="287">
        <f ca="1">VLOOKUP(D45,AuxData2!$AX$25:$BA$39,4,0)</f>
        <v>4.3333333333333339</v>
      </c>
      <c r="T45" s="62">
        <v>1.5896610096868875</v>
      </c>
      <c r="U45" s="9"/>
      <c r="V45" s="9"/>
      <c r="W45" s="9"/>
      <c r="X45" s="49">
        <v>1</v>
      </c>
      <c r="Y45" s="547">
        <v>3.1536000000000002E-2</v>
      </c>
      <c r="Z45" s="49">
        <v>30</v>
      </c>
      <c r="AA45" s="608">
        <f>H45*R45</f>
        <v>0.65</v>
      </c>
      <c r="AB45" s="608">
        <f>I45*S45</f>
        <v>0.65</v>
      </c>
      <c r="AC45" s="128">
        <f>IF($F$81=0,0,F45/$F$81)</f>
        <v>0</v>
      </c>
    </row>
    <row r="46" spans="2:29">
      <c r="B46" s="9"/>
      <c r="C46" s="9"/>
      <c r="D46" s="9"/>
      <c r="E46" s="52" t="str">
        <f ca="1">IEAData2!$B$38</f>
        <v>INDELC</v>
      </c>
      <c r="F46" s="19"/>
      <c r="G46" s="19"/>
      <c r="H46" s="105"/>
      <c r="I46" s="105"/>
      <c r="J46" s="12"/>
      <c r="K46" s="31"/>
      <c r="L46" s="542"/>
      <c r="M46" s="345"/>
      <c r="N46" s="345"/>
      <c r="O46" s="345"/>
      <c r="P46" s="49"/>
      <c r="Q46" s="12"/>
      <c r="R46" s="105"/>
      <c r="S46" s="105"/>
      <c r="T46" s="62"/>
      <c r="U46" s="9"/>
      <c r="V46" s="9"/>
      <c r="W46" s="9"/>
      <c r="X46" s="49"/>
      <c r="Y46" s="547"/>
      <c r="Z46" s="49"/>
      <c r="AA46" s="476"/>
      <c r="AB46" s="476"/>
    </row>
    <row r="47" spans="2:29">
      <c r="B47" s="218"/>
      <c r="C47" s="9"/>
      <c r="D47" s="9"/>
      <c r="E47" s="52" t="s">
        <v>728</v>
      </c>
      <c r="F47" s="19"/>
      <c r="G47" s="19"/>
      <c r="H47" s="105"/>
      <c r="I47" s="105"/>
      <c r="J47" s="12"/>
      <c r="K47" s="31"/>
      <c r="L47" s="542"/>
      <c r="M47" s="345"/>
      <c r="N47" s="345"/>
      <c r="O47" s="345"/>
      <c r="P47" s="49"/>
      <c r="Q47" s="12"/>
      <c r="R47" s="105"/>
      <c r="S47" s="105"/>
      <c r="T47" s="62"/>
      <c r="U47" s="9"/>
      <c r="V47" s="9"/>
      <c r="W47" s="9"/>
      <c r="X47" s="49"/>
      <c r="Y47" s="547"/>
      <c r="Z47" s="49"/>
      <c r="AA47" s="476"/>
      <c r="AB47" s="476"/>
    </row>
    <row r="48" spans="2:29">
      <c r="B48" s="35" t="s">
        <v>928</v>
      </c>
      <c r="C48" s="23" t="s">
        <v>929</v>
      </c>
      <c r="D48" s="9" t="str">
        <f ca="1">IEAData2!AX12</f>
        <v>INDCOG</v>
      </c>
      <c r="E48" s="52"/>
      <c r="F48" s="186">
        <f ca="1">IEAData2!AY12</f>
        <v>0</v>
      </c>
      <c r="G48" s="186">
        <f ca="1">AuxData2!AY12</f>
        <v>0</v>
      </c>
      <c r="H48" s="287">
        <f ca="1">VLOOKUP(D48,IEAData2!$AX$25:$BA$39,3,0)</f>
        <v>0.15</v>
      </c>
      <c r="I48" s="287">
        <f ca="1">VLOOKUP(D48,AuxData2!$AX$25:$BA$39,3,0)</f>
        <v>0.15</v>
      </c>
      <c r="J48" s="546">
        <f ca="1">G48*I48</f>
        <v>0</v>
      </c>
      <c r="K48" s="31">
        <v>1</v>
      </c>
      <c r="L48" s="542"/>
      <c r="M48" s="345">
        <f>F48*H48/Q48/Y48*$M$29</f>
        <v>0</v>
      </c>
      <c r="N48" s="345">
        <f>J48/Q48/Y48*$M$29</f>
        <v>0</v>
      </c>
      <c r="O48" s="345"/>
      <c r="P48" s="49">
        <v>0</v>
      </c>
      <c r="Q48" s="12">
        <v>0.7</v>
      </c>
      <c r="R48" s="287">
        <f ca="1">VLOOKUP(D48,IEAData2!$AX$25:$BA$39,4,0)</f>
        <v>4.3333333333333339</v>
      </c>
      <c r="S48" s="287">
        <f ca="1">VLOOKUP(D48,AuxData2!$AX$25:$BA$39,4,0)</f>
        <v>4.3333333333333339</v>
      </c>
      <c r="T48" s="62">
        <v>0.99079512124768554</v>
      </c>
      <c r="U48" s="9"/>
      <c r="V48" s="9"/>
      <c r="W48" s="9"/>
      <c r="X48" s="49">
        <v>1</v>
      </c>
      <c r="Y48" s="547">
        <v>3.1536000000000002E-2</v>
      </c>
      <c r="Z48" s="49">
        <v>30</v>
      </c>
      <c r="AA48" s="608">
        <f>H48*R48</f>
        <v>0.65</v>
      </c>
      <c r="AB48" s="608">
        <f>I48*S48</f>
        <v>0.65</v>
      </c>
      <c r="AC48" s="128">
        <f>IF($F$81=0,0,F48/$F$81)</f>
        <v>0</v>
      </c>
    </row>
    <row r="49" spans="2:29">
      <c r="B49" s="9"/>
      <c r="C49" s="9"/>
      <c r="D49" s="9"/>
      <c r="E49" s="52" t="str">
        <f ca="1">IEAData2!$B$38</f>
        <v>INDELC</v>
      </c>
      <c r="F49" s="19"/>
      <c r="G49" s="19"/>
      <c r="H49" s="105"/>
      <c r="I49" s="105"/>
      <c r="J49" s="12"/>
      <c r="K49" s="31"/>
      <c r="L49" s="542"/>
      <c r="M49" s="345"/>
      <c r="N49" s="345"/>
      <c r="O49" s="345"/>
      <c r="P49" s="49"/>
      <c r="Q49" s="12"/>
      <c r="R49" s="105"/>
      <c r="S49" s="105"/>
      <c r="T49" s="62"/>
      <c r="U49" s="9"/>
      <c r="V49" s="9"/>
      <c r="W49" s="9"/>
      <c r="X49" s="49"/>
      <c r="Y49" s="547"/>
      <c r="Z49" s="49"/>
      <c r="AA49" s="476"/>
      <c r="AB49" s="476"/>
    </row>
    <row r="50" spans="2:29">
      <c r="B50" s="218"/>
      <c r="C50" s="9"/>
      <c r="D50" s="9"/>
      <c r="E50" s="52" t="s">
        <v>728</v>
      </c>
      <c r="F50" s="19"/>
      <c r="G50" s="19"/>
      <c r="H50" s="105"/>
      <c r="I50" s="105"/>
      <c r="J50" s="12"/>
      <c r="K50" s="55"/>
      <c r="L50" s="543"/>
      <c r="M50" s="345"/>
      <c r="N50" s="345"/>
      <c r="O50" s="345"/>
      <c r="P50" s="49"/>
      <c r="Q50" s="49"/>
      <c r="R50" s="105"/>
      <c r="S50" s="105"/>
      <c r="T50" s="62"/>
      <c r="U50" s="9"/>
      <c r="V50" s="9"/>
      <c r="W50" s="9"/>
      <c r="X50" s="49"/>
      <c r="Y50" s="547"/>
      <c r="Z50" s="49"/>
      <c r="AA50" s="476"/>
      <c r="AB50" s="476"/>
    </row>
    <row r="51" spans="2:29">
      <c r="B51" s="35" t="s">
        <v>930</v>
      </c>
      <c r="C51" s="23" t="s">
        <v>932</v>
      </c>
      <c r="D51" s="9" t="str">
        <f ca="1">IEAData2!AX13</f>
        <v>INDBFG</v>
      </c>
      <c r="E51" s="52"/>
      <c r="F51" s="186">
        <f ca="1">IEAData2!AY13</f>
        <v>0</v>
      </c>
      <c r="G51" s="186">
        <f ca="1">AuxData2!AY13</f>
        <v>0</v>
      </c>
      <c r="H51" s="287">
        <f ca="1">VLOOKUP(D51,IEAData2!$AX$25:$BA$39,3,0)</f>
        <v>0.15</v>
      </c>
      <c r="I51" s="287">
        <f ca="1">VLOOKUP(D51,AuxData2!$AX$25:$BA$39,3,0)</f>
        <v>0.15</v>
      </c>
      <c r="J51" s="546">
        <f ca="1">G51*I51</f>
        <v>0</v>
      </c>
      <c r="K51" s="31">
        <v>1</v>
      </c>
      <c r="L51" s="9"/>
      <c r="M51" s="345">
        <f>F51*H51/Q51/Y51*$M$29</f>
        <v>0</v>
      </c>
      <c r="N51" s="345">
        <f>J51/Q51/Y51*$M$29</f>
        <v>0</v>
      </c>
      <c r="O51" s="345"/>
      <c r="P51" s="49">
        <v>0</v>
      </c>
      <c r="Q51" s="12">
        <v>0.7</v>
      </c>
      <c r="R51" s="287">
        <f ca="1">VLOOKUP(D51,IEAData2!$AX$25:$BA$39,4,0)</f>
        <v>4.3333333333333339</v>
      </c>
      <c r="S51" s="287">
        <f ca="1">VLOOKUP(D51,AuxData2!$AX$25:$BA$39,4,0)</f>
        <v>4.3333333333333339</v>
      </c>
      <c r="T51" s="62">
        <v>0.99079512124768554</v>
      </c>
      <c r="U51" s="9"/>
      <c r="V51" s="9"/>
      <c r="W51" s="9"/>
      <c r="X51" s="49">
        <v>1</v>
      </c>
      <c r="Y51" s="547">
        <v>3.1536000000000002E-2</v>
      </c>
      <c r="Z51" s="49">
        <v>30</v>
      </c>
      <c r="AA51" s="608">
        <f>H51*R51</f>
        <v>0.65</v>
      </c>
      <c r="AB51" s="608">
        <f>I51*S51</f>
        <v>0.65</v>
      </c>
      <c r="AC51" s="128">
        <f>IF($F$81=0,0,F51/$F$81)</f>
        <v>0</v>
      </c>
    </row>
    <row r="52" spans="2:29">
      <c r="B52" s="9"/>
      <c r="C52" s="9"/>
      <c r="D52" s="9"/>
      <c r="E52" s="52" t="str">
        <f ca="1">IEAData2!$B$38</f>
        <v>INDELC</v>
      </c>
      <c r="F52" s="19"/>
      <c r="G52" s="19"/>
      <c r="H52" s="105"/>
      <c r="I52" s="105"/>
      <c r="J52" s="12"/>
      <c r="K52" s="31"/>
      <c r="L52" s="9"/>
      <c r="M52" s="345"/>
      <c r="N52" s="345"/>
      <c r="O52" s="345"/>
      <c r="P52" s="49"/>
      <c r="Q52" s="12"/>
      <c r="R52" s="105"/>
      <c r="S52" s="105"/>
      <c r="T52" s="62"/>
      <c r="U52" s="9"/>
      <c r="V52" s="9"/>
      <c r="W52" s="9"/>
      <c r="X52" s="49"/>
      <c r="Y52" s="547"/>
      <c r="Z52" s="49"/>
      <c r="AA52" s="476"/>
      <c r="AB52" s="476"/>
    </row>
    <row r="53" spans="2:29">
      <c r="B53" s="218"/>
      <c r="C53" s="9"/>
      <c r="D53" s="9"/>
      <c r="E53" s="52" t="s">
        <v>728</v>
      </c>
      <c r="F53" s="19"/>
      <c r="G53" s="19"/>
      <c r="H53" s="105"/>
      <c r="I53" s="105"/>
      <c r="J53" s="12"/>
      <c r="K53" s="31"/>
      <c r="L53" s="542"/>
      <c r="M53" s="345"/>
      <c r="N53" s="345"/>
      <c r="O53" s="345"/>
      <c r="P53" s="49"/>
      <c r="Q53" s="12"/>
      <c r="R53" s="105"/>
      <c r="S53" s="105"/>
      <c r="T53" s="62"/>
      <c r="U53" s="9"/>
      <c r="V53" s="9"/>
      <c r="W53" s="9"/>
      <c r="X53" s="49"/>
      <c r="Y53" s="547"/>
      <c r="Z53" s="49"/>
      <c r="AA53" s="476"/>
      <c r="AB53" s="476"/>
    </row>
    <row r="54" spans="2:29">
      <c r="B54" s="35" t="s">
        <v>1154</v>
      </c>
      <c r="C54" s="23" t="s">
        <v>1155</v>
      </c>
      <c r="D54" s="9" t="str">
        <f ca="1">IEAData2!AX14</f>
        <v>INDBCO</v>
      </c>
      <c r="E54" s="52"/>
      <c r="F54" s="186">
        <f ca="1">IEAData2!AY14</f>
        <v>0</v>
      </c>
      <c r="G54" s="186">
        <f ca="1">AuxData2!AY14</f>
        <v>0</v>
      </c>
      <c r="H54" s="287">
        <f ca="1">VLOOKUP(D54,IEAData2!$AX$25:$BA$39,3,0)</f>
        <v>0.15</v>
      </c>
      <c r="I54" s="287">
        <f ca="1">VLOOKUP(D54,AuxData2!$AX$25:$BA$39,3,0)</f>
        <v>0.15</v>
      </c>
      <c r="J54" s="546">
        <f ca="1">G54*I54</f>
        <v>0</v>
      </c>
      <c r="K54" s="31">
        <v>1</v>
      </c>
      <c r="L54" s="542"/>
      <c r="M54" s="345">
        <f>F54*H54/Q54/Y54*$M$29</f>
        <v>0</v>
      </c>
      <c r="N54" s="345">
        <f>J54/Q54/Y54*$M$29</f>
        <v>0</v>
      </c>
      <c r="O54" s="345"/>
      <c r="P54" s="49">
        <v>0</v>
      </c>
      <c r="Q54" s="12">
        <v>0.7</v>
      </c>
      <c r="R54" s="287">
        <f ca="1">VLOOKUP(D54,IEAData2!$AX$25:$BA$39,4,0)</f>
        <v>4.4000000000000004</v>
      </c>
      <c r="S54" s="287">
        <f ca="1">VLOOKUP(D54,AuxData2!$AX$25:$BA$39,4,0)</f>
        <v>4.4000000000000004</v>
      </c>
      <c r="T54" s="62">
        <v>1.4243086643462475</v>
      </c>
      <c r="U54" s="9"/>
      <c r="V54" s="9"/>
      <c r="W54" s="9"/>
      <c r="X54" s="49">
        <v>1</v>
      </c>
      <c r="Y54" s="547">
        <v>3.1536000000000002E-2</v>
      </c>
      <c r="Z54" s="49">
        <v>30</v>
      </c>
      <c r="AA54" s="608">
        <f>H54*R54</f>
        <v>0.66</v>
      </c>
      <c r="AB54" s="608">
        <f>I54*S54</f>
        <v>0.66</v>
      </c>
      <c r="AC54" s="128">
        <f>IF($F$81=0,0,F54/$F$81)</f>
        <v>0</v>
      </c>
    </row>
    <row r="55" spans="2:29">
      <c r="B55" s="9"/>
      <c r="C55" s="9"/>
      <c r="D55" s="9" t="s">
        <v>655</v>
      </c>
      <c r="E55" s="52" t="str">
        <f ca="1">IEAData2!$B$38</f>
        <v>INDELC</v>
      </c>
      <c r="F55" s="19"/>
      <c r="G55" s="19"/>
      <c r="H55" s="105"/>
      <c r="I55" s="105"/>
      <c r="J55" s="12"/>
      <c r="K55" s="31"/>
      <c r="L55" s="542"/>
      <c r="M55" s="345"/>
      <c r="N55" s="345"/>
      <c r="O55" s="345"/>
      <c r="P55" s="49"/>
      <c r="Q55" s="12"/>
      <c r="R55" s="105"/>
      <c r="S55" s="105"/>
      <c r="T55" s="62"/>
      <c r="U55" s="9"/>
      <c r="V55" s="9">
        <v>0</v>
      </c>
      <c r="W55" s="9">
        <v>0.6</v>
      </c>
      <c r="X55" s="49"/>
      <c r="Y55" s="547"/>
      <c r="Z55" s="49"/>
      <c r="AA55" s="476"/>
      <c r="AB55" s="476"/>
    </row>
    <row r="56" spans="2:29">
      <c r="B56" s="218"/>
      <c r="C56" s="9"/>
      <c r="D56" s="9"/>
      <c r="E56" s="52" t="s">
        <v>728</v>
      </c>
      <c r="F56" s="19"/>
      <c r="G56" s="19"/>
      <c r="H56" s="105"/>
      <c r="I56" s="105"/>
      <c r="J56" s="12"/>
      <c r="K56" s="31"/>
      <c r="L56" s="542"/>
      <c r="M56" s="345"/>
      <c r="N56" s="345"/>
      <c r="O56" s="345"/>
      <c r="P56" s="49"/>
      <c r="Q56" s="12"/>
      <c r="R56" s="105"/>
      <c r="S56" s="105"/>
      <c r="T56" s="62"/>
      <c r="U56" s="9"/>
      <c r="V56" s="9"/>
      <c r="W56" s="9"/>
      <c r="X56" s="49"/>
      <c r="Y56" s="547"/>
      <c r="Z56" s="49"/>
      <c r="AA56" s="476"/>
      <c r="AB56" s="476"/>
    </row>
    <row r="57" spans="2:29">
      <c r="B57" s="35" t="s">
        <v>933</v>
      </c>
      <c r="C57" s="23" t="s">
        <v>934</v>
      </c>
      <c r="D57" s="9" t="str">
        <f ca="1">IEAData2!AX15</f>
        <v>INDHFO</v>
      </c>
      <c r="E57" s="52"/>
      <c r="F57" s="186">
        <f ca="1">IEAData2!AY15</f>
        <v>0.16551645484514596</v>
      </c>
      <c r="G57" s="186">
        <f ca="1">AuxData2!AY15</f>
        <v>0.20591120366977145</v>
      </c>
      <c r="H57" s="287">
        <f ca="1">VLOOKUP(D57,IEAData2!$AX$25:$BA$39,3,0)</f>
        <v>0.38467868275589584</v>
      </c>
      <c r="I57" s="287">
        <f ca="1">VLOOKUP(D57,AuxData2!$AX$25:$BA$39,3,0)</f>
        <v>0.15</v>
      </c>
      <c r="J57" s="546">
        <f ca="1">G57*I57</f>
        <v>3.0886680550465714E-2</v>
      </c>
      <c r="K57" s="31">
        <v>1</v>
      </c>
      <c r="L57" s="542"/>
      <c r="M57" s="345">
        <f>F57*H57/Q57/Y57*$M$29</f>
        <v>2.884261606882677</v>
      </c>
      <c r="N57" s="345">
        <f>J57/Q57/Y57*$M$29</f>
        <v>1.3991574504632218</v>
      </c>
      <c r="O57" s="345"/>
      <c r="P57" s="49">
        <v>0</v>
      </c>
      <c r="Q57" s="12">
        <v>0.7</v>
      </c>
      <c r="R57" s="287">
        <f ca="1">VLOOKUP(D57,IEAData2!$AX$25:$BA$39,4,0)</f>
        <v>1.242349648632926</v>
      </c>
      <c r="S57" s="287">
        <f ca="1">VLOOKUP(D57,AuxData2!$AX$25:$BA$39,4,0)</f>
        <v>5.4993349727319929</v>
      </c>
      <c r="T57" s="62">
        <v>1.0861910001327286</v>
      </c>
      <c r="U57" s="9"/>
      <c r="V57" s="9"/>
      <c r="W57" s="9"/>
      <c r="X57" s="49">
        <v>1</v>
      </c>
      <c r="Y57" s="547">
        <v>3.1536000000000002E-2</v>
      </c>
      <c r="Z57" s="49">
        <v>30</v>
      </c>
      <c r="AA57" s="608">
        <f>H57*R57</f>
        <v>0.47790542635836397</v>
      </c>
      <c r="AB57" s="608">
        <f>I57*S57</f>
        <v>0.82490024590979893</v>
      </c>
      <c r="AC57" s="128">
        <f>IF($F$81=0,0,F57/$F$81)</f>
        <v>5.5770893313070877E-2</v>
      </c>
    </row>
    <row r="58" spans="2:29">
      <c r="B58" s="9"/>
      <c r="C58" s="9"/>
      <c r="D58" s="9"/>
      <c r="E58" s="52" t="str">
        <f ca="1">IEAData2!$B$38</f>
        <v>INDELC</v>
      </c>
      <c r="F58" s="19"/>
      <c r="G58" s="19"/>
      <c r="H58" s="105"/>
      <c r="I58" s="105"/>
      <c r="J58" s="12"/>
      <c r="K58" s="31"/>
      <c r="L58" s="542"/>
      <c r="M58" s="345"/>
      <c r="N58" s="345"/>
      <c r="O58" s="345"/>
      <c r="P58" s="49"/>
      <c r="Q58" s="12"/>
      <c r="R58" s="105"/>
      <c r="S58" s="105"/>
      <c r="T58" s="62"/>
      <c r="U58" s="9"/>
      <c r="V58" s="9"/>
      <c r="W58" s="9"/>
      <c r="X58" s="49"/>
      <c r="Y58" s="547"/>
      <c r="Z58" s="49"/>
      <c r="AA58" s="476"/>
      <c r="AB58" s="476"/>
    </row>
    <row r="59" spans="2:29">
      <c r="B59" s="218"/>
      <c r="C59" s="9"/>
      <c r="D59" s="9"/>
      <c r="E59" s="52" t="s">
        <v>728</v>
      </c>
      <c r="F59" s="19"/>
      <c r="G59" s="19"/>
      <c r="H59" s="105"/>
      <c r="I59" s="105"/>
      <c r="J59" s="12"/>
      <c r="K59" s="55"/>
      <c r="L59" s="543"/>
      <c r="M59" s="345"/>
      <c r="N59" s="345"/>
      <c r="O59" s="345"/>
      <c r="P59" s="49"/>
      <c r="Q59" s="49"/>
      <c r="R59" s="105"/>
      <c r="S59" s="105"/>
      <c r="T59" s="62"/>
      <c r="U59" s="9"/>
      <c r="V59" s="9"/>
      <c r="W59" s="9"/>
      <c r="X59" s="49"/>
      <c r="Y59" s="547"/>
      <c r="Z59" s="49"/>
      <c r="AA59" s="476"/>
      <c r="AB59" s="476"/>
    </row>
    <row r="60" spans="2:29">
      <c r="B60" s="35" t="s">
        <v>935</v>
      </c>
      <c r="C60" s="23" t="s">
        <v>936</v>
      </c>
      <c r="D60" s="9" t="str">
        <f ca="1">IEAData2!AX16</f>
        <v>INDOIL</v>
      </c>
      <c r="E60" s="52"/>
      <c r="F60" s="186">
        <f ca="1">IEAData2!AY16</f>
        <v>0</v>
      </c>
      <c r="G60" s="186">
        <f ca="1">AuxData2!AY16</f>
        <v>0</v>
      </c>
      <c r="H60" s="287">
        <f ca="1">VLOOKUP(D60,IEAData2!$AX$25:$BA$39,3,0)</f>
        <v>0.15</v>
      </c>
      <c r="I60" s="287">
        <f ca="1">VLOOKUP(D60,AuxData2!$AX$25:$BA$39,3,0)</f>
        <v>0.15</v>
      </c>
      <c r="J60" s="546">
        <f ca="1">G60*I60</f>
        <v>0</v>
      </c>
      <c r="K60" s="31">
        <v>1</v>
      </c>
      <c r="L60" s="9"/>
      <c r="M60" s="345">
        <f>F60*H60/Q60/Y60*$M$29</f>
        <v>0</v>
      </c>
      <c r="N60" s="345">
        <f>J60/Q60/Y60*$M$29</f>
        <v>0</v>
      </c>
      <c r="O60" s="345"/>
      <c r="P60" s="49">
        <v>0</v>
      </c>
      <c r="Q60" s="12">
        <v>0.7</v>
      </c>
      <c r="R60" s="287">
        <f ca="1">VLOOKUP(D60,IEAData2!$AX$25:$BA$39,4,0)</f>
        <v>4.4666666666666668</v>
      </c>
      <c r="S60" s="287">
        <f ca="1">VLOOKUP(D60,AuxData2!$AX$25:$BA$39,4,0)</f>
        <v>4.4666666666666668</v>
      </c>
      <c r="T60" s="62">
        <v>0.61753730279990615</v>
      </c>
      <c r="U60" s="9"/>
      <c r="V60" s="9"/>
      <c r="W60" s="9"/>
      <c r="X60" s="49">
        <v>1</v>
      </c>
      <c r="Y60" s="547">
        <v>3.1536000000000002E-2</v>
      </c>
      <c r="Z60" s="49">
        <v>30</v>
      </c>
      <c r="AA60" s="608">
        <f>H60*R60</f>
        <v>0.67</v>
      </c>
      <c r="AB60" s="608">
        <f>I60*S60</f>
        <v>0.67</v>
      </c>
      <c r="AC60" s="128">
        <f>IF($F$81=0,0,F60/$F$81)</f>
        <v>0</v>
      </c>
    </row>
    <row r="61" spans="2:29">
      <c r="B61" s="9"/>
      <c r="C61" s="9"/>
      <c r="D61" s="9"/>
      <c r="E61" s="52" t="str">
        <f ca="1">IEAData2!$B$38</f>
        <v>INDELC</v>
      </c>
      <c r="F61" s="19"/>
      <c r="G61" s="19"/>
      <c r="H61" s="105"/>
      <c r="I61" s="105"/>
      <c r="J61" s="12"/>
      <c r="K61" s="31"/>
      <c r="L61" s="9"/>
      <c r="M61" s="345"/>
      <c r="N61" s="345"/>
      <c r="O61" s="345"/>
      <c r="P61" s="49"/>
      <c r="Q61" s="12"/>
      <c r="R61" s="105"/>
      <c r="S61" s="105"/>
      <c r="T61" s="62"/>
      <c r="U61" s="9"/>
      <c r="V61" s="9"/>
      <c r="W61" s="9"/>
      <c r="X61" s="49"/>
      <c r="Y61" s="547"/>
      <c r="Z61" s="49"/>
      <c r="AA61" s="476"/>
      <c r="AB61" s="476"/>
    </row>
    <row r="62" spans="2:29">
      <c r="B62" s="218"/>
      <c r="C62" s="9"/>
      <c r="D62" s="9"/>
      <c r="E62" s="52" t="s">
        <v>728</v>
      </c>
      <c r="F62" s="19"/>
      <c r="G62" s="19"/>
      <c r="H62" s="105"/>
      <c r="I62" s="105"/>
      <c r="J62" s="12"/>
      <c r="K62" s="31"/>
      <c r="L62" s="542"/>
      <c r="M62" s="345"/>
      <c r="N62" s="345"/>
      <c r="O62" s="345"/>
      <c r="P62" s="49"/>
      <c r="Q62" s="12"/>
      <c r="R62" s="105"/>
      <c r="S62" s="105"/>
      <c r="T62" s="62"/>
      <c r="U62" s="9"/>
      <c r="V62" s="9"/>
      <c r="W62" s="9"/>
      <c r="X62" s="49"/>
      <c r="Y62" s="547"/>
      <c r="Z62" s="49"/>
      <c r="AA62" s="476"/>
      <c r="AB62" s="476"/>
    </row>
    <row r="63" spans="2:29">
      <c r="B63" s="35" t="s">
        <v>937</v>
      </c>
      <c r="C63" s="23" t="s">
        <v>938</v>
      </c>
      <c r="D63" s="9" t="str">
        <f ca="1">IEAData2!AX17</f>
        <v>INDETH</v>
      </c>
      <c r="E63" s="52"/>
      <c r="F63" s="186">
        <f ca="1">IEAData2!AY17</f>
        <v>0</v>
      </c>
      <c r="G63" s="186">
        <f ca="1">AuxData2!AY17</f>
        <v>0</v>
      </c>
      <c r="H63" s="287">
        <f ca="1">VLOOKUP(D63,IEAData2!$AX$25:$BA$39,3,0)</f>
        <v>0.15</v>
      </c>
      <c r="I63" s="287">
        <f ca="1">VLOOKUP(D63,AuxData2!$AX$25:$BA$39,3,0)</f>
        <v>0.15</v>
      </c>
      <c r="J63" s="546">
        <f ca="1">G63*I63</f>
        <v>0</v>
      </c>
      <c r="K63" s="31">
        <v>1</v>
      </c>
      <c r="L63" s="542"/>
      <c r="M63" s="345">
        <f>F63*H63/Q63/Y63*$M$29</f>
        <v>0</v>
      </c>
      <c r="N63" s="345">
        <f>J63/Q63/Y63*$M$29</f>
        <v>0</v>
      </c>
      <c r="O63" s="345"/>
      <c r="P63" s="49">
        <v>0</v>
      </c>
      <c r="Q63" s="12">
        <v>0.7</v>
      </c>
      <c r="R63" s="287">
        <f ca="1">VLOOKUP(D63,IEAData2!$AX$25:$BA$39,4,0)</f>
        <v>4.3333333333333339</v>
      </c>
      <c r="S63" s="287">
        <f ca="1">VLOOKUP(D63,AuxData2!$AX$25:$BA$39,4,0)</f>
        <v>4.3333333333333339</v>
      </c>
      <c r="T63" s="62">
        <v>0.61753730279990615</v>
      </c>
      <c r="U63" s="9"/>
      <c r="V63" s="9"/>
      <c r="W63" s="9"/>
      <c r="X63" s="49">
        <v>1</v>
      </c>
      <c r="Y63" s="547">
        <v>3.1536000000000002E-2</v>
      </c>
      <c r="Z63" s="49">
        <v>30</v>
      </c>
      <c r="AA63" s="608">
        <f>H63*R63</f>
        <v>0.65</v>
      </c>
      <c r="AB63" s="608">
        <f>I63*S63</f>
        <v>0.65</v>
      </c>
      <c r="AC63" s="128">
        <f>IF($F$81=0,0,F63/$F$81)</f>
        <v>0</v>
      </c>
    </row>
    <row r="64" spans="2:29">
      <c r="B64" s="9"/>
      <c r="C64" s="9"/>
      <c r="D64" s="9"/>
      <c r="E64" s="52" t="str">
        <f ca="1">IEAData2!$B$38</f>
        <v>INDELC</v>
      </c>
      <c r="F64" s="19"/>
      <c r="G64" s="19"/>
      <c r="H64" s="105"/>
      <c r="I64" s="105"/>
      <c r="J64" s="12"/>
      <c r="K64" s="31"/>
      <c r="L64" s="542"/>
      <c r="M64" s="345"/>
      <c r="N64" s="345"/>
      <c r="O64" s="345"/>
      <c r="P64" s="49"/>
      <c r="Q64" s="12"/>
      <c r="R64" s="105"/>
      <c r="S64" s="105"/>
      <c r="T64" s="62"/>
      <c r="U64" s="9"/>
      <c r="V64" s="9"/>
      <c r="W64" s="9"/>
      <c r="X64" s="49"/>
      <c r="Y64" s="547"/>
      <c r="Z64" s="49"/>
      <c r="AA64" s="476"/>
      <c r="AB64" s="476"/>
    </row>
    <row r="65" spans="2:29">
      <c r="B65" s="218"/>
      <c r="C65" s="9"/>
      <c r="D65" s="9"/>
      <c r="E65" s="52" t="s">
        <v>728</v>
      </c>
      <c r="F65" s="19"/>
      <c r="G65" s="19"/>
      <c r="H65" s="105"/>
      <c r="I65" s="105"/>
      <c r="J65" s="12"/>
      <c r="K65" s="31"/>
      <c r="L65" s="542"/>
      <c r="M65" s="345"/>
      <c r="N65" s="345"/>
      <c r="O65" s="345"/>
      <c r="P65" s="49"/>
      <c r="Q65" s="12"/>
      <c r="R65" s="105"/>
      <c r="S65" s="105"/>
      <c r="T65" s="62"/>
      <c r="U65" s="9"/>
      <c r="V65" s="9"/>
      <c r="W65" s="9"/>
      <c r="X65" s="49"/>
      <c r="Y65" s="547"/>
      <c r="Z65" s="49"/>
      <c r="AA65" s="476"/>
      <c r="AB65" s="476"/>
    </row>
    <row r="66" spans="2:29">
      <c r="B66" s="35" t="s">
        <v>939</v>
      </c>
      <c r="C66" s="23" t="s">
        <v>941</v>
      </c>
      <c r="D66" s="9" t="str">
        <f ca="1">IEAData2!AX18</f>
        <v>INDPTC</v>
      </c>
      <c r="E66" s="52"/>
      <c r="F66" s="186">
        <f ca="1">IEAData2!AY18</f>
        <v>0</v>
      </c>
      <c r="G66" s="186">
        <f ca="1">AuxData2!AY18</f>
        <v>0</v>
      </c>
      <c r="H66" s="287">
        <f ca="1">VLOOKUP(D66,IEAData2!$AX$25:$BA$39,3,0)</f>
        <v>0.15</v>
      </c>
      <c r="I66" s="287">
        <f ca="1">VLOOKUP(D66,AuxData2!$AX$25:$BA$39,3,0)</f>
        <v>0.15</v>
      </c>
      <c r="J66" s="546">
        <f ca="1">G66*I66</f>
        <v>0</v>
      </c>
      <c r="K66" s="31">
        <v>1</v>
      </c>
      <c r="L66" s="9"/>
      <c r="M66" s="345">
        <f>F66*H66/Q66/Y66*$M$29</f>
        <v>0</v>
      </c>
      <c r="N66" s="345">
        <f>J66/Q66/Y66*$M$29</f>
        <v>0</v>
      </c>
      <c r="O66" s="345"/>
      <c r="P66" s="49">
        <v>0</v>
      </c>
      <c r="Q66" s="12">
        <v>0.7</v>
      </c>
      <c r="R66" s="287">
        <f ca="1">VLOOKUP(D66,IEAData2!$AX$25:$BA$39,4,0)</f>
        <v>4.3333333333333339</v>
      </c>
      <c r="S66" s="287">
        <f ca="1">VLOOKUP(D66,AuxData2!$AX$25:$BA$39,4,0)</f>
        <v>4.3333333333333339</v>
      </c>
      <c r="T66" s="62">
        <v>1.5896610096868875</v>
      </c>
      <c r="U66" s="9"/>
      <c r="V66" s="9"/>
      <c r="W66" s="9"/>
      <c r="X66" s="49">
        <v>1</v>
      </c>
      <c r="Y66" s="547">
        <v>3.1536000000000002E-2</v>
      </c>
      <c r="Z66" s="49">
        <v>30</v>
      </c>
      <c r="AA66" s="608">
        <f>H66*R66</f>
        <v>0.65</v>
      </c>
      <c r="AB66" s="608">
        <f>I66*S66</f>
        <v>0.65</v>
      </c>
      <c r="AC66" s="128">
        <f>IF($F$81=0,0,F66/$F$81)</f>
        <v>0</v>
      </c>
    </row>
    <row r="67" spans="2:29">
      <c r="B67" s="9"/>
      <c r="C67" s="9"/>
      <c r="D67" s="9"/>
      <c r="E67" s="52" t="str">
        <f ca="1">IEAData2!$B$38</f>
        <v>INDELC</v>
      </c>
      <c r="F67" s="19"/>
      <c r="G67" s="19"/>
      <c r="H67" s="105"/>
      <c r="I67" s="105"/>
      <c r="J67" s="12"/>
      <c r="K67" s="31"/>
      <c r="L67" s="9"/>
      <c r="M67" s="345"/>
      <c r="N67" s="345"/>
      <c r="O67" s="345"/>
      <c r="P67" s="49"/>
      <c r="Q67" s="12"/>
      <c r="R67" s="105"/>
      <c r="S67" s="105"/>
      <c r="T67" s="62"/>
      <c r="U67" s="9"/>
      <c r="V67" s="9"/>
      <c r="W67" s="9"/>
      <c r="X67" s="49"/>
      <c r="Y67" s="547"/>
      <c r="Z67" s="49"/>
      <c r="AA67" s="476"/>
      <c r="AB67" s="476"/>
    </row>
    <row r="68" spans="2:29">
      <c r="B68" s="218"/>
      <c r="C68" s="9"/>
      <c r="D68" s="9"/>
      <c r="E68" s="52" t="s">
        <v>728</v>
      </c>
      <c r="F68" s="19"/>
      <c r="G68" s="19"/>
      <c r="H68" s="105"/>
      <c r="I68" s="105"/>
      <c r="J68" s="12"/>
      <c r="K68" s="31"/>
      <c r="L68" s="542"/>
      <c r="M68" s="345"/>
      <c r="N68" s="345"/>
      <c r="O68" s="345"/>
      <c r="P68" s="49"/>
      <c r="Q68" s="12"/>
      <c r="R68" s="105"/>
      <c r="S68" s="105"/>
      <c r="T68" s="62"/>
      <c r="U68" s="9"/>
      <c r="V68" s="9"/>
      <c r="W68" s="9"/>
      <c r="X68" s="49"/>
      <c r="Y68" s="547"/>
      <c r="Z68" s="49"/>
      <c r="AA68" s="476"/>
      <c r="AB68" s="476"/>
    </row>
    <row r="69" spans="2:29">
      <c r="B69" s="35" t="s">
        <v>942</v>
      </c>
      <c r="C69" s="23" t="s">
        <v>943</v>
      </c>
      <c r="D69" s="9" t="s">
        <v>917</v>
      </c>
      <c r="E69" s="52"/>
      <c r="F69" s="186">
        <f ca="1">IEAData2!AY19</f>
        <v>0.46620043994402882</v>
      </c>
      <c r="G69" s="186">
        <f ca="1">AuxData2!AY19</f>
        <v>0</v>
      </c>
      <c r="H69" s="287">
        <f ca="1">VLOOKUP(D69,IEAData2!$AX$25:$BA$39,3,0)</f>
        <v>0.19372770012506149</v>
      </c>
      <c r="I69" s="287">
        <f ca="1">VLOOKUP(D69,AuxData2!$AX$25:$BA$39,3,0)</f>
        <v>0.15</v>
      </c>
      <c r="J69" s="546">
        <f ca="1">G69*I69</f>
        <v>0</v>
      </c>
      <c r="K69" s="31">
        <v>1</v>
      </c>
      <c r="L69" s="9"/>
      <c r="M69" s="345">
        <f>F69*H69/Q69/Y69*$M$29</f>
        <v>4.0912851991215735</v>
      </c>
      <c r="N69" s="345">
        <f>J69/Q69/Y69*$M$29</f>
        <v>0</v>
      </c>
      <c r="O69" s="345"/>
      <c r="P69" s="49">
        <v>0</v>
      </c>
      <c r="Q69" s="12">
        <v>0.7</v>
      </c>
      <c r="R69" s="287">
        <f ca="1">VLOOKUP(D69,IEAData2!$AX$25:$BA$39,4,0)</f>
        <v>3.1295075483968358</v>
      </c>
      <c r="S69" s="287">
        <f ca="1">VLOOKUP(D69,AuxData2!$AX$25:$BA$39,4,0)</f>
        <v>4.3333333333333339</v>
      </c>
      <c r="T69" s="62">
        <v>0.63293928682584799</v>
      </c>
      <c r="U69" s="9"/>
      <c r="V69" s="9"/>
      <c r="W69" s="9"/>
      <c r="X69" s="49">
        <v>1</v>
      </c>
      <c r="Y69" s="547">
        <v>3.1536000000000002E-2</v>
      </c>
      <c r="Z69" s="49">
        <v>30</v>
      </c>
      <c r="AA69" s="608">
        <f>H69*R69</f>
        <v>0.60627229987493858</v>
      </c>
      <c r="AB69" s="608">
        <f>I69*S69</f>
        <v>0.65</v>
      </c>
      <c r="AC69" s="128">
        <f>IF($F$81=0,0,F69/$F$81)</f>
        <v>0.15708658708858059</v>
      </c>
    </row>
    <row r="70" spans="2:29">
      <c r="B70" s="9"/>
      <c r="C70" s="9"/>
      <c r="D70" s="9"/>
      <c r="E70" s="52" t="str">
        <f ca="1">IEAData2!$B$38</f>
        <v>INDELC</v>
      </c>
      <c r="F70" s="19"/>
      <c r="G70" s="19"/>
      <c r="H70" s="105"/>
      <c r="I70" s="105"/>
      <c r="J70" s="12"/>
      <c r="K70" s="31"/>
      <c r="L70" s="9"/>
      <c r="M70" s="345"/>
      <c r="N70" s="345"/>
      <c r="O70" s="345"/>
      <c r="P70" s="49"/>
      <c r="Q70" s="12"/>
      <c r="R70" s="105"/>
      <c r="S70" s="105"/>
      <c r="T70" s="62"/>
      <c r="U70" s="9"/>
      <c r="V70" s="9"/>
      <c r="W70" s="9"/>
      <c r="X70" s="49"/>
      <c r="Y70" s="547"/>
      <c r="Z70" s="49"/>
      <c r="AA70" s="476"/>
      <c r="AB70" s="476"/>
    </row>
    <row r="71" spans="2:29">
      <c r="B71" s="218"/>
      <c r="C71" s="9"/>
      <c r="D71" s="9"/>
      <c r="E71" s="52" t="s">
        <v>728</v>
      </c>
      <c r="F71" s="19"/>
      <c r="G71" s="19"/>
      <c r="H71" s="105"/>
      <c r="I71" s="105"/>
      <c r="J71" s="12"/>
      <c r="K71" s="31"/>
      <c r="L71" s="542"/>
      <c r="M71" s="345"/>
      <c r="N71" s="345"/>
      <c r="O71" s="345"/>
      <c r="P71" s="49"/>
      <c r="Q71" s="12"/>
      <c r="R71" s="105"/>
      <c r="S71" s="105"/>
      <c r="T71" s="62"/>
      <c r="U71" s="9"/>
      <c r="V71" s="9"/>
      <c r="W71" s="9"/>
      <c r="X71" s="49"/>
      <c r="Y71" s="547"/>
      <c r="Z71" s="49"/>
      <c r="AA71" s="476"/>
      <c r="AB71" s="476"/>
    </row>
    <row r="72" spans="2:29">
      <c r="B72" s="35" t="s">
        <v>1360</v>
      </c>
      <c r="C72" s="23" t="s">
        <v>1361</v>
      </c>
      <c r="D72" s="9" t="s">
        <v>655</v>
      </c>
      <c r="E72" s="52"/>
      <c r="F72" s="186">
        <f ca="1">SUM(IEAData2!AY19:AY20)-F75-F69</f>
        <v>0</v>
      </c>
      <c r="G72" s="186">
        <f ca="1">SUM(AuxData2!AY19:AY20)-G75-G69</f>
        <v>0</v>
      </c>
      <c r="H72" s="287">
        <f ca="1">VLOOKUP("IND"&amp;MID(B72,5,3),IEAData2!$AX$25:$BA$39,3,0)</f>
        <v>0.15</v>
      </c>
      <c r="I72" s="287">
        <f ca="1">VLOOKUP("IND"&amp;MID(B72,5,3),AuxData2!$AX$25:$BA$39,3,0)</f>
        <v>0.15</v>
      </c>
      <c r="J72" s="546">
        <f ca="1">G72*I72</f>
        <v>0</v>
      </c>
      <c r="K72" s="31">
        <v>1</v>
      </c>
      <c r="L72" s="542"/>
      <c r="M72" s="345">
        <f>F72*H72/Q72/Y72*$M$29</f>
        <v>0</v>
      </c>
      <c r="N72" s="345">
        <f>J72/Q72/Y72*$M$29</f>
        <v>0</v>
      </c>
      <c r="O72" s="345"/>
      <c r="P72" s="49">
        <v>0</v>
      </c>
      <c r="Q72" s="12">
        <v>0.7</v>
      </c>
      <c r="R72" s="287">
        <f ca="1">VLOOKUP("IND"&amp;MID(B72,5,3),IEAData2!$AX$25:$BA$39,4,0)</f>
        <v>4.3333333333333339</v>
      </c>
      <c r="S72" s="287">
        <f ca="1">VLOOKUP("IND"&amp;MID(B72,5,3),AuxData2!$AX$25:$BA$39,4,0)</f>
        <v>4.3333333333333339</v>
      </c>
      <c r="T72" s="62">
        <v>0.63293928682584799</v>
      </c>
      <c r="U72" s="9"/>
      <c r="V72" s="9"/>
      <c r="W72" s="9"/>
      <c r="X72" s="49">
        <v>1</v>
      </c>
      <c r="Y72" s="547">
        <v>3.1536000000000002E-2</v>
      </c>
      <c r="Z72" s="49">
        <v>30</v>
      </c>
      <c r="AA72" s="608">
        <f>H72*R72</f>
        <v>0.65</v>
      </c>
      <c r="AB72" s="608">
        <f>I72*S72</f>
        <v>0.65</v>
      </c>
      <c r="AC72" s="128">
        <f>IF($F$81=0,0,F72/$F$81)</f>
        <v>0</v>
      </c>
    </row>
    <row r="73" spans="2:29">
      <c r="B73" s="9"/>
      <c r="C73" s="9"/>
      <c r="D73" s="9"/>
      <c r="E73" s="52" t="str">
        <f ca="1">IEAData2!$B$38</f>
        <v>INDELC</v>
      </c>
      <c r="F73" s="19"/>
      <c r="G73" s="19"/>
      <c r="H73" s="105"/>
      <c r="I73" s="105"/>
      <c r="J73" s="12"/>
      <c r="K73" s="31"/>
      <c r="L73" s="542"/>
      <c r="M73" s="345"/>
      <c r="N73" s="345"/>
      <c r="O73" s="345"/>
      <c r="P73" s="49"/>
      <c r="Q73" s="12"/>
      <c r="R73" s="105"/>
      <c r="S73" s="105"/>
      <c r="T73" s="62"/>
      <c r="U73" s="9"/>
      <c r="V73" s="9"/>
      <c r="W73" s="9"/>
      <c r="X73" s="49"/>
      <c r="Y73" s="547"/>
      <c r="Z73" s="49"/>
      <c r="AA73" s="476"/>
      <c r="AB73" s="476"/>
    </row>
    <row r="74" spans="2:29">
      <c r="B74" s="218"/>
      <c r="C74" s="9"/>
      <c r="D74" s="9"/>
      <c r="E74" s="52" t="s">
        <v>728</v>
      </c>
      <c r="F74" s="19"/>
      <c r="G74" s="19"/>
      <c r="H74" s="105"/>
      <c r="I74" s="105"/>
      <c r="J74" s="12"/>
      <c r="K74" s="31"/>
      <c r="L74" s="542"/>
      <c r="M74" s="345"/>
      <c r="N74" s="345"/>
      <c r="O74" s="345"/>
      <c r="P74" s="49"/>
      <c r="Q74" s="12"/>
      <c r="R74" s="105"/>
      <c r="S74" s="105"/>
      <c r="T74" s="62"/>
      <c r="U74" s="9"/>
      <c r="V74" s="9"/>
      <c r="W74" s="9"/>
      <c r="X74" s="49"/>
      <c r="Y74" s="547"/>
      <c r="Z74" s="49"/>
      <c r="AA74" s="476"/>
      <c r="AB74" s="476"/>
    </row>
    <row r="75" spans="2:29">
      <c r="B75" s="35" t="s">
        <v>1238</v>
      </c>
      <c r="C75" s="23" t="s">
        <v>1362</v>
      </c>
      <c r="D75" s="9" t="s">
        <v>1164</v>
      </c>
      <c r="E75" s="52"/>
      <c r="F75" s="186">
        <f ca="1">Drivers2!$P127</f>
        <v>0</v>
      </c>
      <c r="G75" s="186">
        <f ca="1">Driver22!$P127</f>
        <v>0</v>
      </c>
      <c r="H75" s="287">
        <f ca="1">H72</f>
        <v>0.15</v>
      </c>
      <c r="I75" s="287">
        <f>I72</f>
        <v>0.15</v>
      </c>
      <c r="J75" s="546">
        <f>G75*I75</f>
        <v>0</v>
      </c>
      <c r="K75" s="31">
        <v>1</v>
      </c>
      <c r="L75" s="542"/>
      <c r="M75" s="345">
        <f>F75*H75/Q75/Y75*$M$29</f>
        <v>0</v>
      </c>
      <c r="N75" s="345">
        <f>J75/Q75/Y75*$M$29</f>
        <v>0</v>
      </c>
      <c r="O75" s="345"/>
      <c r="P75" s="49">
        <v>0</v>
      </c>
      <c r="Q75" s="12">
        <v>0.7</v>
      </c>
      <c r="R75" s="287">
        <f>R72</f>
        <v>4.3333333333333339</v>
      </c>
      <c r="S75" s="287">
        <f>S72</f>
        <v>4.3333333333333339</v>
      </c>
      <c r="T75" s="62">
        <v>0.63293928682584799</v>
      </c>
      <c r="U75" s="9"/>
      <c r="V75" s="9"/>
      <c r="W75" s="9"/>
      <c r="X75" s="49">
        <v>1</v>
      </c>
      <c r="Y75" s="547">
        <v>3.1536000000000002E-2</v>
      </c>
      <c r="Z75" s="49">
        <v>30</v>
      </c>
      <c r="AA75" s="608">
        <f>H75*R75</f>
        <v>0.65</v>
      </c>
      <c r="AB75" s="608">
        <f>I75*S75</f>
        <v>0.65</v>
      </c>
      <c r="AC75" s="128">
        <f>IF($F$81=0,0,F75/$F$81)</f>
        <v>0</v>
      </c>
    </row>
    <row r="76" spans="2:29">
      <c r="B76" s="9"/>
      <c r="C76" s="9"/>
      <c r="D76" s="9"/>
      <c r="E76" s="52" t="str">
        <f ca="1">IEAData2!$B$38</f>
        <v>INDELC</v>
      </c>
      <c r="F76" s="19"/>
      <c r="G76" s="19"/>
      <c r="H76" s="105"/>
      <c r="I76" s="105"/>
      <c r="J76" s="12"/>
      <c r="K76" s="31"/>
      <c r="L76" s="542"/>
      <c r="M76" s="345"/>
      <c r="N76" s="345"/>
      <c r="O76" s="345"/>
      <c r="P76" s="49"/>
      <c r="Q76" s="12"/>
      <c r="R76" s="105"/>
      <c r="S76" s="105"/>
      <c r="T76" s="62"/>
      <c r="U76" s="9"/>
      <c r="V76" s="9"/>
      <c r="W76" s="9"/>
      <c r="X76" s="49"/>
      <c r="Y76" s="547"/>
      <c r="Z76" s="49"/>
      <c r="AA76" s="476"/>
      <c r="AB76" s="476"/>
    </row>
    <row r="77" spans="2:29">
      <c r="B77" s="218"/>
      <c r="C77" s="9"/>
      <c r="D77" s="9"/>
      <c r="E77" s="52" t="s">
        <v>728</v>
      </c>
      <c r="F77" s="19"/>
      <c r="G77" s="19"/>
      <c r="H77" s="105"/>
      <c r="I77" s="105"/>
      <c r="J77" s="12"/>
      <c r="K77" s="31"/>
      <c r="L77" s="542"/>
      <c r="M77" s="345"/>
      <c r="N77" s="345"/>
      <c r="O77" s="345"/>
      <c r="P77" s="49"/>
      <c r="Q77" s="12"/>
      <c r="R77" s="105"/>
      <c r="S77" s="105"/>
      <c r="T77" s="62"/>
      <c r="U77" s="9"/>
      <c r="V77" s="9"/>
      <c r="W77" s="9"/>
      <c r="X77" s="49"/>
      <c r="Y77" s="547"/>
      <c r="Z77" s="49"/>
      <c r="AA77" s="476"/>
      <c r="AB77" s="476"/>
    </row>
    <row r="78" spans="2:29">
      <c r="B78" s="35" t="s">
        <v>944</v>
      </c>
      <c r="C78" s="23" t="s">
        <v>945</v>
      </c>
      <c r="D78" s="9" t="str">
        <f ca="1">IEAData2!AX21</f>
        <v>INDGEO</v>
      </c>
      <c r="E78" s="52"/>
      <c r="F78" s="186">
        <f ca="1">IEAData2!AY21</f>
        <v>0</v>
      </c>
      <c r="G78" s="186">
        <f ca="1">AuxData2!AY21</f>
        <v>0</v>
      </c>
      <c r="H78" s="287">
        <f ca="1">VLOOKUP(D78,IEAData2!$AX$25:$BA$39,3,0)</f>
        <v>0.15</v>
      </c>
      <c r="I78" s="287">
        <f ca="1">VLOOKUP(D78,AuxData2!$AX$25:$BA$39,3,0)</f>
        <v>0.15</v>
      </c>
      <c r="J78" s="546">
        <f>G78*I78</f>
        <v>0</v>
      </c>
      <c r="K78" s="31">
        <v>1</v>
      </c>
      <c r="L78" s="542"/>
      <c r="M78" s="345">
        <f>F78*H78/Q78/Y78*$M$29</f>
        <v>0</v>
      </c>
      <c r="N78" s="345">
        <f>J78/Q78/Y78*$M$29</f>
        <v>0</v>
      </c>
      <c r="O78" s="345"/>
      <c r="P78" s="49">
        <v>0</v>
      </c>
      <c r="Q78" s="12">
        <v>0.7</v>
      </c>
      <c r="R78" s="287">
        <f ca="1">VLOOKUP(D78,IEAData2!$AX$25:$BA$39,4,0)</f>
        <v>4.3333333333333339</v>
      </c>
      <c r="S78" s="287">
        <f ca="1">VLOOKUP(D78,AuxData2!$AX$25:$BA$39,4,0)</f>
        <v>4.3333333333333339</v>
      </c>
      <c r="T78" s="62">
        <v>0.3</v>
      </c>
      <c r="U78" s="9"/>
      <c r="V78" s="9"/>
      <c r="W78" s="9"/>
      <c r="X78" s="49">
        <v>1</v>
      </c>
      <c r="Y78" s="547">
        <v>3.1536000000000002E-2</v>
      </c>
      <c r="Z78" s="49">
        <v>30</v>
      </c>
      <c r="AA78" s="608">
        <f>H78*R78</f>
        <v>0.65</v>
      </c>
      <c r="AB78" s="608">
        <f>I78*S78</f>
        <v>0.65</v>
      </c>
      <c r="AC78" s="128">
        <f>IF($F$81=0,0,F78/$F$81)</f>
        <v>0</v>
      </c>
    </row>
    <row r="79" spans="2:29">
      <c r="B79" s="52"/>
      <c r="C79" s="52"/>
      <c r="D79" s="52"/>
      <c r="E79" s="52" t="str">
        <f ca="1">IEAData2!$B$38</f>
        <v>INDELC</v>
      </c>
      <c r="F79" s="141"/>
      <c r="G79" s="141"/>
      <c r="H79" s="289"/>
      <c r="I79" s="289"/>
      <c r="J79" s="49"/>
      <c r="K79" s="31"/>
      <c r="L79" s="542"/>
      <c r="M79" s="358"/>
      <c r="N79" s="345"/>
      <c r="O79" s="345"/>
      <c r="P79" s="49"/>
      <c r="Q79" s="12"/>
      <c r="R79" s="289"/>
      <c r="S79" s="289"/>
      <c r="T79" s="544"/>
      <c r="U79" s="52"/>
      <c r="V79" s="9"/>
      <c r="W79" s="9"/>
      <c r="X79" s="49"/>
      <c r="Y79" s="547"/>
      <c r="Z79" s="49"/>
      <c r="AA79" s="476"/>
      <c r="AB79" s="476"/>
    </row>
    <row r="80" spans="2:29" ht="13.5" thickBot="1">
      <c r="B80" s="227"/>
      <c r="C80" s="22"/>
      <c r="D80" s="22"/>
      <c r="E80" s="22" t="s">
        <v>728</v>
      </c>
      <c r="F80" s="140"/>
      <c r="G80" s="140"/>
      <c r="H80" s="290"/>
      <c r="I80" s="290"/>
      <c r="J80" s="13"/>
      <c r="K80" s="29"/>
      <c r="L80" s="545"/>
      <c r="M80" s="22"/>
      <c r="N80" s="22"/>
      <c r="O80" s="22"/>
      <c r="P80" s="13"/>
      <c r="Q80" s="13"/>
      <c r="R80" s="290"/>
      <c r="S80" s="290"/>
      <c r="T80" s="22"/>
      <c r="U80" s="22"/>
      <c r="V80" s="22"/>
      <c r="W80" s="22"/>
      <c r="X80" s="13"/>
      <c r="Y80" s="488"/>
      <c r="Z80" s="13"/>
      <c r="AA80" s="476"/>
      <c r="AB80" s="476"/>
    </row>
    <row r="81" spans="2:29">
      <c r="B81" s="192" t="s">
        <v>902</v>
      </c>
      <c r="C81" s="198"/>
      <c r="D81" s="198"/>
      <c r="E81" s="268"/>
      <c r="F81" s="199">
        <f>SUM(F33:F80)</f>
        <v>2.9677927860329665</v>
      </c>
      <c r="G81" s="199">
        <f>SUM(G33:G80)</f>
        <v>0.28239124794721204</v>
      </c>
      <c r="H81" s="198"/>
      <c r="I81" s="198"/>
      <c r="J81" s="199">
        <f>SUM(J33:J80)</f>
        <v>6.9539117892282676E-2</v>
      </c>
      <c r="K81" s="198"/>
      <c r="L81" s="198"/>
      <c r="M81" s="500">
        <f>SUM(M33:M80)</f>
        <v>51.829628124278031</v>
      </c>
      <c r="N81" s="500">
        <f>SUM(N33:N80)</f>
        <v>3.15010137585538</v>
      </c>
      <c r="O81" s="198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8"/>
      <c r="AA81" s="198"/>
      <c r="AB81" s="198"/>
      <c r="AC81" s="128">
        <f>SUM(AC33:AC80)</f>
        <v>1</v>
      </c>
    </row>
    <row r="85" spans="2:29">
      <c r="F85" s="224"/>
    </row>
    <row r="86" spans="2:29">
      <c r="F86" s="224"/>
    </row>
    <row r="87" spans="2:29">
      <c r="F87" s="224"/>
    </row>
    <row r="88" spans="2:29" ht="18">
      <c r="B88" s="86" t="s">
        <v>616</v>
      </c>
      <c r="C88" s="275"/>
      <c r="D88" s="276"/>
      <c r="E88" s="277"/>
      <c r="F88" s="225" t="str">
        <f>"~FI_T: EUR10~"&amp;Region</f>
        <v>~FI_T: EUR10~FIM</v>
      </c>
    </row>
    <row r="89" spans="2:29" ht="39" thickBot="1">
      <c r="B89" s="228" t="s">
        <v>649</v>
      </c>
      <c r="C89" s="228" t="s">
        <v>650</v>
      </c>
      <c r="D89" s="228" t="s">
        <v>648</v>
      </c>
      <c r="E89" s="228" t="s">
        <v>651</v>
      </c>
      <c r="F89" s="64" t="str">
        <f ca="1">CONCATENATE("\I:",IEAData2!$D$2," final energy")</f>
        <v>\I:2010 final energy</v>
      </c>
      <c r="G89" s="64" t="s">
        <v>50</v>
      </c>
      <c r="H89" s="45" t="str">
        <f ca="1">"EFF~"&amp;AuxYear</f>
        <v>EFF~2017</v>
      </c>
      <c r="I89" s="64" t="str">
        <f ca="1">"RESID~"&amp;BaseYear</f>
        <v>RESID~2010</v>
      </c>
      <c r="J89" s="45" t="str">
        <f ca="1">"RESID~"&amp;AuxYear</f>
        <v>RESID~2017</v>
      </c>
      <c r="K89" s="45" t="s">
        <v>581</v>
      </c>
      <c r="L89" s="64" t="s">
        <v>51</v>
      </c>
      <c r="M89" s="45" t="s">
        <v>79</v>
      </c>
      <c r="N89" s="64" t="s">
        <v>556</v>
      </c>
      <c r="O89" s="64" t="s">
        <v>550</v>
      </c>
      <c r="P89" s="396" t="s">
        <v>1093</v>
      </c>
      <c r="Q89" s="45" t="str">
        <f ca="1">"ACT_BND~UP~"&amp;AuxYear</f>
        <v>ACT_BND~UP~2017</v>
      </c>
      <c r="R89" s="396" t="s">
        <v>1311</v>
      </c>
      <c r="S89" s="45" t="str">
        <f ca="1">"FLO_MARK~UP~"&amp;AuxYear</f>
        <v>FLO_MARK~UP~2017</v>
      </c>
      <c r="T89" s="396" t="s">
        <v>1312</v>
      </c>
    </row>
    <row r="90" spans="2:29">
      <c r="B90" s="9" t="s">
        <v>617</v>
      </c>
      <c r="C90" s="9" t="s">
        <v>618</v>
      </c>
      <c r="D90" s="9" t="str">
        <f ca="1">IEAData2!C$38</f>
        <v>INDNGA</v>
      </c>
      <c r="E90" s="9" t="s">
        <v>728</v>
      </c>
      <c r="F90" s="421">
        <v>1</v>
      </c>
      <c r="G90" s="31">
        <f ca="1">VLOOKUP($D90,IEAData2!$AX$48:$BG$63,9,0)</f>
        <v>0.88</v>
      </c>
      <c r="H90" s="31">
        <f ca="1">VLOOKUP($D90,AuxData2!$AX$48:$BG$63,9,0)</f>
        <v>0.88</v>
      </c>
      <c r="I90" s="62">
        <f ca="1">IEAData2!BG49/M90-SUMIF($F$107:$F$111,$F90,$I$107:$I$111)</f>
        <v>7.5419340480000013E-2</v>
      </c>
      <c r="J90" s="62">
        <f ca="1">AuxData2!BG49/M90-SUMIF($F$107:$F$111,$F90,$J$107:$J$111)</f>
        <v>1.3365329999999996E-2</v>
      </c>
      <c r="K90" s="9"/>
      <c r="L90" s="62">
        <v>0.16220256218429238</v>
      </c>
      <c r="M90" s="12">
        <v>0.8</v>
      </c>
      <c r="N90" s="12">
        <v>35</v>
      </c>
      <c r="O90" s="12">
        <v>0</v>
      </c>
      <c r="P90" s="9"/>
      <c r="Q90" s="12"/>
      <c r="R90" s="9"/>
      <c r="S90" s="9"/>
      <c r="T90" s="9"/>
    </row>
    <row r="91" spans="2:29">
      <c r="B91" s="61" t="s">
        <v>619</v>
      </c>
      <c r="C91" s="9" t="s">
        <v>620</v>
      </c>
      <c r="D91" s="9" t="str">
        <f ca="1">IEAData2!D$38</f>
        <v>INDLPG</v>
      </c>
      <c r="E91" s="9" t="s">
        <v>728</v>
      </c>
      <c r="F91" s="421">
        <v>2</v>
      </c>
      <c r="G91" s="31">
        <f ca="1">VLOOKUP($D91,IEAData2!$AX$48:$BG$63,9,0)</f>
        <v>0.78</v>
      </c>
      <c r="H91" s="31">
        <f ca="1">VLOOKUP($D91,AuxData2!$AX$48:$BG$63,9,0)</f>
        <v>0.78</v>
      </c>
      <c r="I91" s="62">
        <f ca="1">IEAData2!BG50/M91-SUMIF($F$107:$F$111,$F91,$I$107:$I$111)</f>
        <v>0</v>
      </c>
      <c r="J91" s="62">
        <f ca="1">AuxData2!BG50/M91-SUMIF($F$107:$F$111,$F91,$J$107:$J$111)</f>
        <v>0</v>
      </c>
      <c r="K91" s="9"/>
      <c r="L91" s="62">
        <v>0.16220256218429238</v>
      </c>
      <c r="M91" s="12">
        <v>0.8</v>
      </c>
      <c r="N91" s="12">
        <v>35</v>
      </c>
      <c r="O91" s="12">
        <v>0</v>
      </c>
      <c r="P91" s="9"/>
      <c r="Q91" s="12"/>
      <c r="R91" s="9"/>
      <c r="S91" s="9"/>
      <c r="T91" s="9"/>
    </row>
    <row r="92" spans="2:29">
      <c r="B92" s="61" t="s">
        <v>621</v>
      </c>
      <c r="C92" s="9" t="s">
        <v>622</v>
      </c>
      <c r="D92" s="9" t="str">
        <f ca="1">IEAData2!E$38</f>
        <v>INDNGL</v>
      </c>
      <c r="E92" s="9" t="s">
        <v>728</v>
      </c>
      <c r="F92" s="421">
        <v>3</v>
      </c>
      <c r="G92" s="31">
        <f ca="1">VLOOKUP($D92,IEAData2!$AX$48:$BG$63,9,0)</f>
        <v>0.78</v>
      </c>
      <c r="H92" s="31">
        <f ca="1">VLOOKUP($D92,AuxData2!$AX$48:$BG$63,9,0)</f>
        <v>0.78</v>
      </c>
      <c r="I92" s="62">
        <f ca="1">IEAData2!BG51/M92-SUMIF($F$107:$F$111,$F92,$I$107:$I$111)</f>
        <v>0</v>
      </c>
      <c r="J92" s="62">
        <f ca="1">AuxData2!BG51/M92-SUMIF($F$107:$F$111,$F92,$J$107:$J$111)</f>
        <v>0</v>
      </c>
      <c r="K92" s="9"/>
      <c r="L92" s="62">
        <v>0.16220256218429238</v>
      </c>
      <c r="M92" s="12">
        <v>0.8</v>
      </c>
      <c r="N92" s="12">
        <v>35</v>
      </c>
      <c r="O92" s="12">
        <v>0</v>
      </c>
      <c r="P92" s="9"/>
      <c r="Q92" s="12"/>
      <c r="R92" s="9"/>
      <c r="S92" s="9"/>
      <c r="T92" s="9"/>
    </row>
    <row r="93" spans="2:29">
      <c r="B93" s="61" t="s">
        <v>623</v>
      </c>
      <c r="C93" s="9" t="s">
        <v>624</v>
      </c>
      <c r="D93" s="9" t="str">
        <f ca="1">IEAData2!F$38</f>
        <v>INDCOA</v>
      </c>
      <c r="E93" s="9" t="s">
        <v>728</v>
      </c>
      <c r="F93" s="421">
        <v>4</v>
      </c>
      <c r="G93" s="31">
        <f ca="1">VLOOKUP($D93,IEAData2!$AX$48:$BG$63,9,0)</f>
        <v>0.78</v>
      </c>
      <c r="H93" s="31">
        <f ca="1">VLOOKUP($D93,AuxData2!$AX$48:$BG$63,9,0)</f>
        <v>0.78</v>
      </c>
      <c r="I93" s="62">
        <f ca="1">IEAData2!BG52/M93-SUMIF($F$107:$F$111,$F93,$I$107:$I$111)</f>
        <v>0</v>
      </c>
      <c r="J93" s="62">
        <f ca="1">AuxData2!BG52/M93-SUMIF($F$107:$F$111,$F93,$J$107:$J$111)</f>
        <v>0</v>
      </c>
      <c r="K93" s="9"/>
      <c r="L93" s="62">
        <v>0.63737616258624552</v>
      </c>
      <c r="M93" s="12">
        <v>0.8</v>
      </c>
      <c r="N93" s="12">
        <v>35</v>
      </c>
      <c r="O93" s="12">
        <v>0</v>
      </c>
      <c r="P93" s="9"/>
      <c r="Q93" s="12"/>
      <c r="R93" s="9"/>
      <c r="S93" s="9"/>
      <c r="T93" s="9"/>
    </row>
    <row r="94" spans="2:29">
      <c r="B94" s="61" t="s">
        <v>625</v>
      </c>
      <c r="C94" s="9" t="s">
        <v>626</v>
      </c>
      <c r="D94" s="9" t="str">
        <f ca="1">IEAData2!G$38</f>
        <v>INDCOK</v>
      </c>
      <c r="E94" s="9" t="s">
        <v>728</v>
      </c>
      <c r="F94" s="421">
        <v>5</v>
      </c>
      <c r="G94" s="31">
        <f ca="1">VLOOKUP($D94,IEAData2!$AX$48:$BG$63,9,0)</f>
        <v>0.78</v>
      </c>
      <c r="H94" s="31">
        <f ca="1">VLOOKUP($D94,AuxData2!$AX$48:$BG$63,9,0)</f>
        <v>0.78</v>
      </c>
      <c r="I94" s="62">
        <f ca="1">IEAData2!BG53/M94-SUMIF($F$107:$F$111,$F94,$I$107:$I$111)</f>
        <v>0</v>
      </c>
      <c r="J94" s="62">
        <f ca="1">AuxData2!BG53/M94-SUMIF($F$107:$F$111,$F94,$J$107:$J$111)</f>
        <v>0</v>
      </c>
      <c r="K94" s="9"/>
      <c r="L94" s="62">
        <v>0.63737616258624552</v>
      </c>
      <c r="M94" s="12">
        <v>0.8</v>
      </c>
      <c r="N94" s="12">
        <v>35</v>
      </c>
      <c r="O94" s="12">
        <v>0</v>
      </c>
      <c r="P94" s="9"/>
      <c r="Q94" s="12"/>
      <c r="R94" s="9"/>
      <c r="S94" s="9"/>
      <c r="T94" s="9"/>
    </row>
    <row r="95" spans="2:29">
      <c r="B95" s="61" t="s">
        <v>627</v>
      </c>
      <c r="C95" s="9" t="s">
        <v>628</v>
      </c>
      <c r="D95" s="9" t="str">
        <f ca="1">IEAData2!H$38</f>
        <v>INDCOG</v>
      </c>
      <c r="E95" s="9" t="s">
        <v>728</v>
      </c>
      <c r="F95" s="421">
        <v>6</v>
      </c>
      <c r="G95" s="31">
        <f ca="1">VLOOKUP($D95,IEAData2!$AX$48:$BG$63,9,0)</f>
        <v>0.78</v>
      </c>
      <c r="H95" s="31">
        <f ca="1">VLOOKUP($D95,AuxData2!$AX$48:$BG$63,9,0)</f>
        <v>0.78</v>
      </c>
      <c r="I95" s="62">
        <f ca="1">IEAData2!BG54/M95-SUMIF($F$107:$F$111,$F95,$I$107:$I$111)</f>
        <v>0</v>
      </c>
      <c r="J95" s="62">
        <f ca="1">AuxData2!BG54/M95-SUMIF($F$107:$F$111,$F95,$J$107:$J$111)</f>
        <v>0</v>
      </c>
      <c r="K95" s="9"/>
      <c r="L95" s="62">
        <v>0.28529930490714711</v>
      </c>
      <c r="M95" s="12">
        <v>0.8</v>
      </c>
      <c r="N95" s="12">
        <v>35</v>
      </c>
      <c r="O95" s="12">
        <v>0</v>
      </c>
      <c r="P95" s="9"/>
      <c r="Q95" s="12"/>
      <c r="R95" s="9"/>
      <c r="S95" s="9"/>
      <c r="T95" s="9"/>
    </row>
    <row r="96" spans="2:29">
      <c r="B96" s="61" t="s">
        <v>629</v>
      </c>
      <c r="C96" s="9" t="s">
        <v>630</v>
      </c>
      <c r="D96" s="9" t="str">
        <f ca="1">IEAData2!I$38</f>
        <v>INDBFG</v>
      </c>
      <c r="E96" s="9" t="s">
        <v>728</v>
      </c>
      <c r="F96" s="421">
        <v>7</v>
      </c>
      <c r="G96" s="31">
        <f ca="1">VLOOKUP($D96,IEAData2!$AX$48:$BG$63,9,0)</f>
        <v>0.78</v>
      </c>
      <c r="H96" s="31">
        <f ca="1">VLOOKUP($D96,AuxData2!$AX$48:$BG$63,9,0)</f>
        <v>0.78</v>
      </c>
      <c r="I96" s="62">
        <f ca="1">IEAData2!BG55/M96-SUMIF($F$107:$F$111,$F96,$I$107:$I$111)</f>
        <v>0</v>
      </c>
      <c r="J96" s="62">
        <f ca="1">AuxData2!BG55/M96-SUMIF($F$107:$F$111,$F96,$J$107:$J$111)</f>
        <v>0</v>
      </c>
      <c r="K96" s="9"/>
      <c r="L96" s="62">
        <v>0.28529930490714711</v>
      </c>
      <c r="M96" s="12">
        <v>0.8</v>
      </c>
      <c r="N96" s="12">
        <v>35</v>
      </c>
      <c r="O96" s="12">
        <v>0</v>
      </c>
      <c r="P96" s="9"/>
      <c r="Q96" s="12"/>
      <c r="R96" s="9"/>
      <c r="S96" s="9"/>
      <c r="T96" s="9"/>
    </row>
    <row r="97" spans="2:22">
      <c r="B97" s="61" t="s">
        <v>1158</v>
      </c>
      <c r="C97" s="9" t="s">
        <v>1159</v>
      </c>
      <c r="D97" s="9" t="str">
        <f ca="1">IEAData2!J$38</f>
        <v>INDBCO</v>
      </c>
      <c r="E97" s="9" t="s">
        <v>728</v>
      </c>
      <c r="F97" s="421">
        <v>8</v>
      </c>
      <c r="G97" s="31">
        <f ca="1">VLOOKUP($D97,IEAData2!$AX$48:$BG$63,9,0)</f>
        <v>0.78</v>
      </c>
      <c r="H97" s="31">
        <f ca="1">VLOOKUP($D97,AuxData2!$AX$48:$BG$63,9,0)</f>
        <v>0.78</v>
      </c>
      <c r="I97" s="62">
        <f ca="1">IEAData2!BG56/M97-SUMIF($F$107:$F$111,$F97,$I$107:$I$111)</f>
        <v>0</v>
      </c>
      <c r="J97" s="62">
        <f ca="1">AuxData2!BG56/M97-SUMIF($F$107:$F$111,$F97,$J$107:$J$111)</f>
        <v>0</v>
      </c>
      <c r="K97" s="9"/>
      <c r="L97" s="62">
        <v>0.51965230536659146</v>
      </c>
      <c r="M97" s="12">
        <v>0.8</v>
      </c>
      <c r="N97" s="12">
        <v>35</v>
      </c>
      <c r="O97" s="12">
        <v>0</v>
      </c>
      <c r="P97" s="9"/>
      <c r="Q97" s="12"/>
      <c r="R97" s="9"/>
      <c r="S97" s="9"/>
      <c r="T97" s="9"/>
    </row>
    <row r="98" spans="2:22">
      <c r="B98" s="61" t="s">
        <v>631</v>
      </c>
      <c r="C98" s="9" t="s">
        <v>632</v>
      </c>
      <c r="D98" s="9" t="str">
        <f ca="1">IEAData2!K$38</f>
        <v>INDHFO</v>
      </c>
      <c r="E98" s="9" t="s">
        <v>728</v>
      </c>
      <c r="F98" s="421">
        <v>9</v>
      </c>
      <c r="G98" s="31">
        <f ca="1">VLOOKUP($D98,IEAData2!$AX$48:$BG$63,9,0)</f>
        <v>0.79356357927786492</v>
      </c>
      <c r="H98" s="31">
        <f ca="1">VLOOKUP($D98,AuxData2!$AX$48:$BG$63,9,0)</f>
        <v>0.88</v>
      </c>
      <c r="I98" s="62">
        <f ca="1">IEAData2!BG57/M98-SUMIF($F$107:$F$111,$F98,$I$107:$I$111)</f>
        <v>3.1746411000000002E-2</v>
      </c>
      <c r="J98" s="62">
        <f ca="1">AuxData2!BG57/M98-SUMIF($F$107:$F$111,$F98,$J$107:$J$111)</f>
        <v>6.600115499999999E-3</v>
      </c>
      <c r="K98" s="9"/>
      <c r="L98" s="62">
        <v>0.28529930490714711</v>
      </c>
      <c r="M98" s="12">
        <v>0.8</v>
      </c>
      <c r="N98" s="12">
        <v>35</v>
      </c>
      <c r="O98" s="12">
        <v>0</v>
      </c>
      <c r="P98" s="9"/>
      <c r="Q98" s="12"/>
      <c r="R98" s="9"/>
      <c r="S98" s="9"/>
      <c r="T98" s="9"/>
    </row>
    <row r="99" spans="2:22">
      <c r="B99" s="61" t="s">
        <v>633</v>
      </c>
      <c r="C99" s="9" t="s">
        <v>634</v>
      </c>
      <c r="D99" s="9" t="str">
        <f ca="1">IEAData2!L$38</f>
        <v>INDOIL</v>
      </c>
      <c r="E99" s="9" t="s">
        <v>728</v>
      </c>
      <c r="F99" s="421">
        <v>10</v>
      </c>
      <c r="G99" s="31">
        <f ca="1">VLOOKUP($D99,IEAData2!$AX$48:$BG$63,9,0)</f>
        <v>0.78</v>
      </c>
      <c r="H99" s="31">
        <f ca="1">VLOOKUP($D99,AuxData2!$AX$48:$BG$63,9,0)</f>
        <v>0.78</v>
      </c>
      <c r="I99" s="62">
        <f ca="1">IEAData2!BG58/M99-SUMIF($F$107:$F$111,$F99,$I$107:$I$111)</f>
        <v>0</v>
      </c>
      <c r="J99" s="62">
        <f ca="1">AuxData2!BG58/M99-SUMIF($F$107:$F$111,$F99,$J$107:$J$111)</f>
        <v>0</v>
      </c>
      <c r="K99" s="9"/>
      <c r="L99" s="62">
        <v>0.28529930490714711</v>
      </c>
      <c r="M99" s="12">
        <v>0.8</v>
      </c>
      <c r="N99" s="12">
        <v>35</v>
      </c>
      <c r="O99" s="12">
        <v>0</v>
      </c>
      <c r="P99" s="9"/>
      <c r="Q99" s="12"/>
      <c r="R99" s="9"/>
      <c r="S99" s="9"/>
      <c r="T99" s="9"/>
    </row>
    <row r="100" spans="2:22">
      <c r="B100" s="61" t="s">
        <v>635</v>
      </c>
      <c r="C100" s="9" t="s">
        <v>636</v>
      </c>
      <c r="D100" s="9" t="str">
        <f ca="1">IEAData2!M$38</f>
        <v>INDETH</v>
      </c>
      <c r="E100" s="9" t="s">
        <v>728</v>
      </c>
      <c r="F100" s="421">
        <v>11</v>
      </c>
      <c r="G100" s="31">
        <f ca="1">VLOOKUP($D100,IEAData2!$AX$48:$BG$63,9,0)</f>
        <v>0.78</v>
      </c>
      <c r="H100" s="31">
        <f ca="1">VLOOKUP($D100,AuxData2!$AX$48:$BG$63,9,0)</f>
        <v>0.78</v>
      </c>
      <c r="I100" s="62">
        <f ca="1">IEAData2!BG59/M100</f>
        <v>0</v>
      </c>
      <c r="J100" s="62">
        <f ca="1">AuxData2!BG59/M100</f>
        <v>0</v>
      </c>
      <c r="K100" s="9"/>
      <c r="L100" s="62">
        <v>0.16220256218429238</v>
      </c>
      <c r="M100" s="12">
        <v>0.8</v>
      </c>
      <c r="N100" s="12">
        <v>35</v>
      </c>
      <c r="O100" s="12">
        <v>0</v>
      </c>
      <c r="P100" s="9"/>
      <c r="Q100" s="12"/>
      <c r="R100" s="9"/>
      <c r="S100" s="9"/>
      <c r="T100" s="9"/>
    </row>
    <row r="101" spans="2:22">
      <c r="B101" s="61" t="s">
        <v>637</v>
      </c>
      <c r="C101" s="9" t="s">
        <v>638</v>
      </c>
      <c r="D101" s="9" t="str">
        <f ca="1">IEAData2!N$38</f>
        <v>INDNAP</v>
      </c>
      <c r="E101" s="9" t="s">
        <v>728</v>
      </c>
      <c r="F101" s="421">
        <v>12</v>
      </c>
      <c r="G101" s="31">
        <f ca="1">VLOOKUP($D101,IEAData2!$AX$48:$BG$63,9,0)</f>
        <v>0.78</v>
      </c>
      <c r="H101" s="31">
        <f ca="1">VLOOKUP($D101,AuxData2!$AX$48:$BG$63,9,0)</f>
        <v>0.78</v>
      </c>
      <c r="I101" s="62">
        <f ca="1">IEAData2!BG60/M101</f>
        <v>0</v>
      </c>
      <c r="J101" s="62">
        <f ca="1">AuxData2!BG60/M101</f>
        <v>0</v>
      </c>
      <c r="K101" s="9"/>
      <c r="L101" s="62">
        <v>0.16220256218429238</v>
      </c>
      <c r="M101" s="12">
        <v>0.8</v>
      </c>
      <c r="N101" s="12">
        <v>35</v>
      </c>
      <c r="O101" s="12">
        <v>0</v>
      </c>
      <c r="P101" s="9"/>
      <c r="Q101" s="12"/>
      <c r="R101" s="9"/>
      <c r="S101" s="9"/>
      <c r="T101" s="9"/>
    </row>
    <row r="102" spans="2:22">
      <c r="B102" s="61" t="s">
        <v>639</v>
      </c>
      <c r="C102" s="9" t="s">
        <v>640</v>
      </c>
      <c r="D102" s="9" t="str">
        <f ca="1">IEAData2!O$38</f>
        <v>INDPTC</v>
      </c>
      <c r="E102" s="9" t="s">
        <v>728</v>
      </c>
      <c r="F102" s="421">
        <v>13</v>
      </c>
      <c r="G102" s="31">
        <f ca="1">VLOOKUP($D102,IEAData2!$AX$48:$BG$63,9,0)</f>
        <v>0.78</v>
      </c>
      <c r="H102" s="31">
        <f ca="1">VLOOKUP($D102,AuxData2!$AX$48:$BG$63,9,0)</f>
        <v>0.78</v>
      </c>
      <c r="I102" s="62">
        <f ca="1">IEAData2!BG61/M102</f>
        <v>0</v>
      </c>
      <c r="J102" s="62">
        <f ca="1">AuxData2!BG61/M102</f>
        <v>0</v>
      </c>
      <c r="K102" s="9"/>
      <c r="L102" s="62">
        <v>0.63737616258624552</v>
      </c>
      <c r="M102" s="12">
        <v>0.8</v>
      </c>
      <c r="N102" s="12">
        <v>35</v>
      </c>
      <c r="O102" s="12">
        <v>0</v>
      </c>
      <c r="P102" s="9"/>
      <c r="Q102" s="12"/>
      <c r="R102" s="9"/>
      <c r="S102" s="9"/>
      <c r="T102" s="9"/>
    </row>
    <row r="103" spans="2:22">
      <c r="B103" s="61" t="s">
        <v>641</v>
      </c>
      <c r="C103" s="9" t="s">
        <v>642</v>
      </c>
      <c r="D103" s="9" t="s">
        <v>917</v>
      </c>
      <c r="E103" s="9" t="s">
        <v>728</v>
      </c>
      <c r="F103" s="421">
        <v>14</v>
      </c>
      <c r="G103" s="31">
        <f ca="1">VLOOKUP($D103,IEAData2!$AX$48:$BG$63,9,0)</f>
        <v>0.78</v>
      </c>
      <c r="H103" s="31">
        <f ca="1">VLOOKUP($D103,AuxData2!$AX$48:$BG$63,9,0)</f>
        <v>0.88</v>
      </c>
      <c r="I103" s="62">
        <f ca="1">(IEAData2!AZ62-MAX(0,Drivers2!P129-Calibration2!Q224))*G103/M103</f>
        <v>0.14392710680984999</v>
      </c>
      <c r="J103" s="62">
        <f ca="1">(AuxData2!AZ62-MAX(0,Driver22!P129-Calibrati22!Q224))*H103/$M103</f>
        <v>4.1249009999999994E-3</v>
      </c>
      <c r="K103" s="9"/>
      <c r="L103" s="62">
        <v>0.48172678162173943</v>
      </c>
      <c r="M103" s="12">
        <v>0.8</v>
      </c>
      <c r="N103" s="12">
        <v>35</v>
      </c>
      <c r="O103" s="12">
        <v>0</v>
      </c>
      <c r="P103" s="9"/>
      <c r="Q103" s="12"/>
      <c r="R103" s="9"/>
      <c r="S103" s="9"/>
      <c r="T103" s="9"/>
    </row>
    <row r="104" spans="2:22">
      <c r="B104" s="61" t="s">
        <v>1237</v>
      </c>
      <c r="C104" s="9" t="s">
        <v>1168</v>
      </c>
      <c r="D104" s="9" t="s">
        <v>1164</v>
      </c>
      <c r="E104" s="9" t="s">
        <v>946</v>
      </c>
      <c r="F104" s="421">
        <v>15</v>
      </c>
      <c r="G104" s="31">
        <f ca="1">Calibration2!$Q$219</f>
        <v>0.82</v>
      </c>
      <c r="H104" s="31">
        <f ca="1">Calibrati22!$Q$219</f>
        <v>0.82</v>
      </c>
      <c r="I104" s="62">
        <f ca="1">Drivers2!P129*G104/M104</f>
        <v>0</v>
      </c>
      <c r="J104" s="62">
        <f ca="1">Driver22!P129*H104/M104</f>
        <v>0</v>
      </c>
      <c r="K104" s="9"/>
      <c r="L104" s="62">
        <v>0.48172678162173943</v>
      </c>
      <c r="M104" s="12">
        <v>0.75</v>
      </c>
      <c r="N104" s="12">
        <v>35</v>
      </c>
      <c r="O104" s="12">
        <v>0</v>
      </c>
      <c r="P104" s="9"/>
      <c r="Q104" s="12"/>
      <c r="R104" s="9"/>
      <c r="S104" s="9"/>
      <c r="T104" s="9"/>
    </row>
    <row r="105" spans="2:22">
      <c r="B105" s="61" t="s">
        <v>643</v>
      </c>
      <c r="C105" s="9" t="s">
        <v>644</v>
      </c>
      <c r="D105" s="9" t="str">
        <f ca="1">IEAData2!Q$38</f>
        <v>INDGEO</v>
      </c>
      <c r="E105" s="9" t="s">
        <v>728</v>
      </c>
      <c r="F105" s="421">
        <v>16</v>
      </c>
      <c r="G105" s="31">
        <f ca="1">VLOOKUP($D105,IEAData2!$AX$48:$BG$63,9,0)</f>
        <v>0.78</v>
      </c>
      <c r="H105" s="31">
        <f ca="1">VLOOKUP($D105,AuxData2!$AX$48:$BG$63,9,0)</f>
        <v>0.78</v>
      </c>
      <c r="I105" s="62">
        <f ca="1">IEAData2!BG63/M105</f>
        <v>0</v>
      </c>
      <c r="J105" s="62">
        <f ca="1">AuxData2!BG63/M105</f>
        <v>0</v>
      </c>
      <c r="K105" s="9"/>
      <c r="L105" s="62">
        <v>0.1</v>
      </c>
      <c r="M105" s="12">
        <v>0.8</v>
      </c>
      <c r="N105" s="12">
        <v>35</v>
      </c>
      <c r="O105" s="12">
        <v>0</v>
      </c>
      <c r="P105" s="9"/>
      <c r="Q105" s="12"/>
      <c r="R105" s="9"/>
      <c r="S105" s="9"/>
      <c r="T105" s="9"/>
    </row>
    <row r="106" spans="2:22">
      <c r="B106" s="61" t="s">
        <v>1167</v>
      </c>
      <c r="C106" s="9" t="s">
        <v>1162</v>
      </c>
      <c r="D106" s="9" t="s">
        <v>946</v>
      </c>
      <c r="E106" s="9" t="s">
        <v>728</v>
      </c>
      <c r="F106" s="421">
        <v>17</v>
      </c>
      <c r="G106" s="31">
        <f ca="1">VLOOKUP($D106,IEAData2!$AX$48:$BG$68,9,0)</f>
        <v>10</v>
      </c>
      <c r="H106" s="31">
        <f ca="1">VLOOKUP($D106,AuxData2!$AX$48:$BG$68,9,0)</f>
        <v>10</v>
      </c>
      <c r="I106" s="62"/>
      <c r="J106" s="9"/>
      <c r="K106" s="9"/>
      <c r="L106" s="62">
        <v>0.1</v>
      </c>
      <c r="M106" s="12">
        <v>0.8</v>
      </c>
      <c r="N106" s="12">
        <v>35</v>
      </c>
      <c r="O106" s="12"/>
      <c r="P106" s="62">
        <f ca="1">IEAData2!BB68/(1-1/G106)</f>
        <v>0</v>
      </c>
      <c r="Q106" s="62">
        <f ca="1">AuxData2!BB68/(1-1/H106)</f>
        <v>0</v>
      </c>
      <c r="R106" s="9"/>
      <c r="S106" s="9"/>
      <c r="T106" s="9"/>
    </row>
    <row r="107" spans="2:22">
      <c r="B107" s="35" t="s">
        <v>1298</v>
      </c>
      <c r="C107" s="23" t="s">
        <v>1306</v>
      </c>
      <c r="D107" s="9" t="s">
        <v>913</v>
      </c>
      <c r="E107" s="52" t="s">
        <v>48</v>
      </c>
      <c r="F107" s="421">
        <f ca="1">MATCH("hahet"&amp;MID(B107,5,3)&amp;"00",$B$90:$B$106,0)</f>
        <v>9</v>
      </c>
      <c r="G107" s="31">
        <f t="shared" ref="G107:H111" ca="1" si="4">OFFSET(G$89,$F107,0)</f>
        <v>0.79356357927786492</v>
      </c>
      <c r="H107" s="31">
        <f t="shared" ca="1" si="4"/>
        <v>0.88</v>
      </c>
      <c r="I107" s="62">
        <f ca="1">OFFSET(IEAData2!BG$48,$F107,0)*$V$107/$M107*Non_ETS</f>
        <v>0</v>
      </c>
      <c r="J107" s="62">
        <f ca="1">OFFSET(AuxData2!BG$48,$F107,0)*$V$107/$M107*Non_ETS</f>
        <v>0</v>
      </c>
      <c r="K107" s="9"/>
      <c r="L107" s="62">
        <v>0.51965230536659146</v>
      </c>
      <c r="M107" s="12">
        <v>0.8</v>
      </c>
      <c r="N107" s="12">
        <v>35</v>
      </c>
      <c r="O107" s="12">
        <v>0</v>
      </c>
      <c r="P107" s="9"/>
      <c r="Q107" s="12"/>
      <c r="R107" s="9"/>
      <c r="S107" s="9"/>
      <c r="T107" s="9"/>
      <c r="V107" s="579">
        <f ca="1">(MAX(0,Calibration2!Y266-I112*M112)/Calibration2!Y269)^MIN(1,(IEAData2!$BG$69/MAX(IEAData2!$BG$69,Calibration2!$Y$266-I112*M112))^0.5)</f>
        <v>0.89773982976975308</v>
      </c>
    </row>
    <row r="108" spans="2:22">
      <c r="B108" s="35" t="s">
        <v>1307</v>
      </c>
      <c r="C108" s="50" t="s">
        <v>1305</v>
      </c>
      <c r="D108" s="9" t="s">
        <v>1365</v>
      </c>
      <c r="E108" s="52" t="s">
        <v>48</v>
      </c>
      <c r="F108" s="421">
        <f ca="1">MATCH("hahet"&amp;MID(B108,5,3)&amp;"00",$B$90:$B$106,0)</f>
        <v>10</v>
      </c>
      <c r="G108" s="31">
        <f t="shared" ca="1" si="4"/>
        <v>0.78</v>
      </c>
      <c r="H108" s="31">
        <f t="shared" ca="1" si="4"/>
        <v>0.78</v>
      </c>
      <c r="I108" s="62">
        <f ca="1">OFFSET(IEAData2!BG$48,$F108,0)*$V$107/M108*Non_ETS</f>
        <v>0</v>
      </c>
      <c r="J108" s="62">
        <f ca="1">OFFSET(AuxData2!BG$48,$F108,0)*$V$107/M108*Non_ETS</f>
        <v>0</v>
      </c>
      <c r="K108" s="9"/>
      <c r="L108" s="62">
        <v>0.28529930490714711</v>
      </c>
      <c r="M108" s="12">
        <v>0.8</v>
      </c>
      <c r="N108" s="12">
        <v>35</v>
      </c>
      <c r="O108" s="12">
        <v>0</v>
      </c>
      <c r="P108" s="9"/>
      <c r="Q108" s="12"/>
      <c r="R108" s="9"/>
      <c r="S108" s="9"/>
      <c r="T108" s="9"/>
    </row>
    <row r="109" spans="2:22">
      <c r="B109" s="35" t="s">
        <v>1299</v>
      </c>
      <c r="C109" s="50" t="s">
        <v>1302</v>
      </c>
      <c r="D109" s="9" t="s">
        <v>906</v>
      </c>
      <c r="E109" s="52" t="s">
        <v>48</v>
      </c>
      <c r="F109" s="421">
        <f ca="1">MATCH("hahet"&amp;MID(B109,5,3)&amp;"00",$B$90:$B$106,0)</f>
        <v>1</v>
      </c>
      <c r="G109" s="31">
        <f t="shared" ca="1" si="4"/>
        <v>0.88</v>
      </c>
      <c r="H109" s="31">
        <f t="shared" ca="1" si="4"/>
        <v>0.88</v>
      </c>
      <c r="I109" s="62">
        <f ca="1">OFFSET(IEAData2!BG$48,$F109,0)*$V$107/M109*Non_ETS</f>
        <v>0</v>
      </c>
      <c r="J109" s="62">
        <f ca="1">OFFSET(AuxData2!BG$48,$F109,0)*$V$107/M109*Non_ETS</f>
        <v>0</v>
      </c>
      <c r="K109" s="9"/>
      <c r="L109" s="62">
        <v>0.16220256218429238</v>
      </c>
      <c r="M109" s="12">
        <v>0.8</v>
      </c>
      <c r="N109" s="12">
        <v>35</v>
      </c>
      <c r="O109" s="12">
        <v>0</v>
      </c>
      <c r="P109" s="9"/>
      <c r="Q109" s="12"/>
      <c r="R109" s="9"/>
      <c r="S109" s="9"/>
      <c r="T109" s="9"/>
    </row>
    <row r="110" spans="2:22">
      <c r="B110" s="264" t="s">
        <v>1300</v>
      </c>
      <c r="C110" s="50" t="s">
        <v>1304</v>
      </c>
      <c r="D110" s="52" t="s">
        <v>909</v>
      </c>
      <c r="E110" s="52" t="s">
        <v>48</v>
      </c>
      <c r="F110" s="421">
        <f ca="1">MATCH("hahet"&amp;MID(B110,5,3)&amp;"00",$B$90:$B$106,0)</f>
        <v>4</v>
      </c>
      <c r="G110" s="31">
        <f t="shared" ca="1" si="4"/>
        <v>0.78</v>
      </c>
      <c r="H110" s="31">
        <f t="shared" ca="1" si="4"/>
        <v>0.78</v>
      </c>
      <c r="I110" s="62">
        <f ca="1">OFFSET(IEAData2!BG$48,$F110,0)*$V$107/M110*Non_ETS</f>
        <v>0</v>
      </c>
      <c r="J110" s="62">
        <f ca="1">OFFSET(AuxData2!BG$48,$F110,0)*$V$107/M110*Non_ETS</f>
        <v>0</v>
      </c>
      <c r="K110" s="9"/>
      <c r="L110" s="62">
        <v>0.63737616258624552</v>
      </c>
      <c r="M110" s="12">
        <v>0.8</v>
      </c>
      <c r="N110" s="12">
        <v>35</v>
      </c>
      <c r="O110" s="12">
        <v>0</v>
      </c>
      <c r="P110" s="9"/>
      <c r="Q110" s="12"/>
      <c r="R110" s="9"/>
      <c r="S110" s="9"/>
      <c r="T110" s="9"/>
    </row>
    <row r="111" spans="2:22">
      <c r="B111" s="264" t="s">
        <v>1301</v>
      </c>
      <c r="C111" s="50" t="s">
        <v>1303</v>
      </c>
      <c r="D111" s="9" t="str">
        <f ca="1">IEAData2!J$38</f>
        <v>INDBCO</v>
      </c>
      <c r="E111" s="52" t="s">
        <v>48</v>
      </c>
      <c r="F111" s="421">
        <f ca="1">MATCH("hahet"&amp;MID(B111,5,3)&amp;"00",$B$90:$B$106,0)</f>
        <v>8</v>
      </c>
      <c r="G111" s="31">
        <f t="shared" ca="1" si="4"/>
        <v>0.78</v>
      </c>
      <c r="H111" s="31">
        <f t="shared" ca="1" si="4"/>
        <v>0.78</v>
      </c>
      <c r="I111" s="62">
        <f ca="1">OFFSET(IEAData2!BG$48,$F111,0)*$V$107/M111*Non_ETS</f>
        <v>0</v>
      </c>
      <c r="J111" s="62">
        <f ca="1">OFFSET(AuxData2!BG$48,$F111,0)*$V$107/M111*Non_ETS</f>
        <v>0</v>
      </c>
      <c r="K111" s="9"/>
      <c r="L111" s="62">
        <v>0.51965230536659146</v>
      </c>
      <c r="M111" s="12">
        <v>0.8</v>
      </c>
      <c r="N111" s="12">
        <v>35</v>
      </c>
      <c r="O111" s="12">
        <v>0</v>
      </c>
      <c r="P111" s="9"/>
      <c r="Q111" s="12"/>
      <c r="R111" s="9"/>
      <c r="S111" s="9"/>
      <c r="T111" s="9"/>
    </row>
    <row r="112" spans="2:22">
      <c r="B112" s="264" t="s">
        <v>1309</v>
      </c>
      <c r="C112" s="50" t="s">
        <v>1308</v>
      </c>
      <c r="D112" s="9" t="s">
        <v>946</v>
      </c>
      <c r="E112" s="52" t="s">
        <v>48</v>
      </c>
      <c r="F112" s="421"/>
      <c r="G112" s="31"/>
      <c r="H112" s="31"/>
      <c r="I112" s="62">
        <f ca="1">'IOI0002'!G59*$R113/M112</f>
        <v>0.19516610288340452</v>
      </c>
      <c r="J112" s="62">
        <f ca="1">'IOI0002'!H59*$R113/M112</f>
        <v>0.10651004817613499</v>
      </c>
      <c r="K112" s="304">
        <v>1</v>
      </c>
      <c r="L112" s="62">
        <v>0.1</v>
      </c>
      <c r="M112" s="12">
        <v>0.8</v>
      </c>
      <c r="N112" s="12">
        <v>35</v>
      </c>
      <c r="O112" s="12">
        <v>0</v>
      </c>
      <c r="P112" s="9"/>
      <c r="Q112" s="12"/>
      <c r="R112" s="9"/>
      <c r="S112" s="9"/>
      <c r="T112" s="9"/>
    </row>
    <row r="113" spans="2:20">
      <c r="B113" s="264"/>
      <c r="C113" s="50"/>
      <c r="D113" s="9" t="s">
        <v>1280</v>
      </c>
      <c r="E113" s="52"/>
      <c r="F113" s="421"/>
      <c r="G113" s="12"/>
      <c r="H113" s="12"/>
      <c r="I113" s="12"/>
      <c r="J113" s="12"/>
      <c r="K113" s="410">
        <v>1</v>
      </c>
      <c r="L113" s="12"/>
      <c r="M113" s="12"/>
      <c r="N113" s="12"/>
      <c r="O113" s="12"/>
      <c r="P113" s="12"/>
      <c r="Q113" s="12"/>
      <c r="R113" s="410">
        <f ca="1">MIN(0.35,Calibration2!Y266/'IOI0002'!G59*0.99)</f>
        <v>0.35</v>
      </c>
      <c r="S113" s="410">
        <f ca="1">MIN(0.35,Calibrati22!Y266/'IOI0002'!H59*0.99)</f>
        <v>0.35</v>
      </c>
      <c r="T113" s="410">
        <v>0.4</v>
      </c>
    </row>
    <row r="114" spans="2:20">
      <c r="B114" s="192" t="s">
        <v>902</v>
      </c>
      <c r="C114" s="198"/>
      <c r="D114" s="198"/>
      <c r="E114" s="317" t="s">
        <v>1310</v>
      </c>
      <c r="F114" s="198"/>
      <c r="G114" s="198"/>
      <c r="H114" s="198"/>
      <c r="I114" s="422">
        <f ca="1">SUMPRODUCT(I107:I112,M107:M112)</f>
        <v>0.15613288230672362</v>
      </c>
      <c r="J114" s="422">
        <f ca="1">SUMPRODUCT(J107:J112,M107:M112)</f>
        <v>8.5208038540907999E-2</v>
      </c>
      <c r="K114" s="198"/>
      <c r="L114" s="198"/>
      <c r="M114" s="198"/>
      <c r="N114" s="198"/>
      <c r="O114" s="198"/>
      <c r="P114" s="198"/>
      <c r="Q114" s="198"/>
      <c r="R114" s="198"/>
      <c r="S114" s="198"/>
      <c r="T114" s="198"/>
    </row>
  </sheetData>
  <phoneticPr fontId="25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59"/>
  <dimension ref="A1:AE75"/>
  <sheetViews>
    <sheetView topLeftCell="A3" zoomScale="75" workbookViewId="0">
      <selection activeCell="Q3" sqref="Q3"/>
    </sheetView>
  </sheetViews>
  <sheetFormatPr defaultColWidth="8.85546875" defaultRowHeight="12.75"/>
  <cols>
    <col min="1" max="1" width="8.85546875" customWidth="1"/>
    <col min="2" max="2" width="15.42578125" customWidth="1"/>
    <col min="3" max="3" width="24.28515625" customWidth="1"/>
    <col min="4" max="4" width="10.85546875" customWidth="1"/>
  </cols>
  <sheetData>
    <row r="1" spans="1:24" ht="18">
      <c r="A1" s="5" t="s">
        <v>559</v>
      </c>
    </row>
    <row r="2" spans="1:24" ht="18">
      <c r="A2" s="8"/>
      <c r="E2" s="216"/>
    </row>
    <row r="3" spans="1:24" ht="18">
      <c r="A3" s="8"/>
      <c r="B3" s="10"/>
      <c r="C3" s="11"/>
      <c r="E3" s="216"/>
    </row>
    <row r="4" spans="1:24" ht="18">
      <c r="B4" s="86" t="s">
        <v>90</v>
      </c>
      <c r="C4" s="88"/>
      <c r="D4" s="88"/>
      <c r="E4" s="225" t="str">
        <f>"~FI_T: "&amp;Region</f>
        <v>~FI_T: FIM</v>
      </c>
      <c r="F4" s="34"/>
      <c r="G4" s="34"/>
      <c r="U4" s="1"/>
      <c r="V4" s="1"/>
      <c r="W4" s="1"/>
      <c r="X4" s="1"/>
    </row>
    <row r="5" spans="1:24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 ca="1">CONCATENATE("\I:",IEAData2!$D$2," service demand")</f>
        <v>\I:2010 service demand</v>
      </c>
      <c r="G5" s="64" t="str">
        <f ca="1">CONCATENATE("\I:",AuxData2!$D$2," service demand")</f>
        <v>\I:2017 service demand</v>
      </c>
      <c r="H5" s="45" t="s">
        <v>388</v>
      </c>
      <c r="I5" s="45" t="str">
        <f ca="1">"INPUT~"&amp;AuxYear</f>
        <v>INPUT~2017</v>
      </c>
      <c r="J5" s="45" t="s">
        <v>389</v>
      </c>
      <c r="K5" s="45" t="str">
        <f ca="1">"OUTPUT~"&amp;AuxYear</f>
        <v>OUTPUT~2017</v>
      </c>
      <c r="L5" s="45" t="str">
        <f ca="1">"RESID~"&amp;BaseYear</f>
        <v>RESID~2010</v>
      </c>
      <c r="M5" s="45" t="str">
        <f ca="1">"RESID~"&amp;AuxYear</f>
        <v>RESID~2017</v>
      </c>
      <c r="N5" s="45" t="str">
        <f ca="1">"RESID~"&amp;CEILING(AuxYear+24,5)</f>
        <v>RESID~2045</v>
      </c>
      <c r="O5" s="45" t="s">
        <v>848</v>
      </c>
      <c r="P5" s="64" t="s">
        <v>872</v>
      </c>
      <c r="Q5" s="64" t="s">
        <v>556</v>
      </c>
      <c r="R5" s="45" t="s">
        <v>1507</v>
      </c>
      <c r="S5" s="45" t="s">
        <v>1498</v>
      </c>
      <c r="T5" s="45" t="s">
        <v>108</v>
      </c>
      <c r="U5" s="45" t="s">
        <v>1525</v>
      </c>
      <c r="V5" s="45" t="s">
        <v>1524</v>
      </c>
    </row>
    <row r="6" spans="1:24">
      <c r="B6" s="35" t="s">
        <v>961</v>
      </c>
      <c r="C6" s="300" t="s">
        <v>813</v>
      </c>
      <c r="D6" s="9" t="s">
        <v>906</v>
      </c>
      <c r="E6" s="9"/>
      <c r="F6" s="21">
        <f ca="1">VLOOKUP($B$6,Calibration2!$B$172:$T$206,HLOOKUP($D6,Calibration2!$C$3:$T$4,2,FALSE),FALSE)</f>
        <v>0</v>
      </c>
      <c r="G6" s="21">
        <f ca="1">VLOOKUP($B$6,Calibrati22!$B$172:$T$206,HLOOKUP($D6,Calibrati22!$C$3:$T$4,2,FALSE),FALSE)</f>
        <v>0</v>
      </c>
      <c r="H6" s="62">
        <f>IF(H$20=0,0,F6/H$20)</f>
        <v>0</v>
      </c>
      <c r="I6" s="62">
        <f>IF(I$20=0,0,G6/I$20)</f>
        <v>0</v>
      </c>
      <c r="J6" s="542"/>
      <c r="K6" s="9"/>
      <c r="L6" s="542">
        <f>H20</f>
        <v>0</v>
      </c>
      <c r="M6" s="542">
        <f>I20</f>
        <v>0</v>
      </c>
      <c r="N6" s="542">
        <v>0</v>
      </c>
      <c r="O6" s="17">
        <v>1</v>
      </c>
      <c r="P6" s="12">
        <v>1</v>
      </c>
      <c r="Q6" s="12">
        <v>1</v>
      </c>
      <c r="R6" s="9">
        <v>900</v>
      </c>
      <c r="S6" s="31">
        <f>L6*0.015</f>
        <v>0</v>
      </c>
      <c r="T6" s="31"/>
      <c r="U6" s="31"/>
      <c r="V6" s="12"/>
    </row>
    <row r="7" spans="1:24">
      <c r="B7" s="9"/>
      <c r="C7" s="23"/>
      <c r="D7" s="9" t="s">
        <v>909</v>
      </c>
      <c r="E7" s="9"/>
      <c r="F7" s="21">
        <f ca="1">VLOOKUP($B$6,Calibration2!$B$172:$T$206,HLOOKUP($D7,Calibration2!$C$3:$T$4,2,FALSE),FALSE)</f>
        <v>0</v>
      </c>
      <c r="G7" s="21">
        <f ca="1">VLOOKUP($B$6,Calibrati22!$B$172:$T$206,HLOOKUP($D7,Calibrati22!$C$3:$T$4,2,FALSE),FALSE)</f>
        <v>0</v>
      </c>
      <c r="H7" s="62">
        <f t="shared" ref="H7:H15" si="0">IF($H$20=0,0,F7/$H$20)</f>
        <v>0</v>
      </c>
      <c r="I7" s="62">
        <f t="shared" ref="I7:I15" si="1">IF(I$20=0,0,G7/I$20)</f>
        <v>0</v>
      </c>
      <c r="J7" s="542"/>
      <c r="K7" s="9"/>
      <c r="L7" s="542"/>
      <c r="M7" s="9"/>
      <c r="N7" s="542"/>
      <c r="O7" s="542"/>
      <c r="P7" s="9"/>
      <c r="Q7" s="9"/>
      <c r="R7" s="9"/>
      <c r="S7" s="31"/>
      <c r="T7" s="31"/>
      <c r="U7" s="31"/>
      <c r="V7" s="12"/>
    </row>
    <row r="8" spans="1:24">
      <c r="B8" s="9"/>
      <c r="C8" s="23"/>
      <c r="D8" s="9" t="s">
        <v>910</v>
      </c>
      <c r="E8" s="9"/>
      <c r="F8" s="21">
        <f ca="1">VLOOKUP($B$6,Calibration2!$B$172:$T$206,HLOOKUP($D8,Calibration2!$C$3:$T$4,2,FALSE),FALSE)</f>
        <v>0</v>
      </c>
      <c r="G8" s="21">
        <f ca="1">VLOOKUP($B$6,Calibrati22!$B$172:$T$206,HLOOKUP($D8,Calibrati22!$C$3:$T$4,2,FALSE),FALSE)</f>
        <v>0</v>
      </c>
      <c r="H8" s="62">
        <f t="shared" si="0"/>
        <v>0</v>
      </c>
      <c r="I8" s="62">
        <f t="shared" si="1"/>
        <v>0</v>
      </c>
      <c r="J8" s="542"/>
      <c r="K8" s="9"/>
      <c r="L8" s="542"/>
      <c r="M8" s="9"/>
      <c r="N8" s="542"/>
      <c r="O8" s="542"/>
      <c r="P8" s="9"/>
      <c r="Q8" s="9"/>
      <c r="R8" s="9"/>
      <c r="S8" s="31"/>
      <c r="T8" s="31"/>
      <c r="U8" s="31"/>
      <c r="V8" s="12"/>
    </row>
    <row r="9" spans="1:24">
      <c r="B9" s="9"/>
      <c r="C9" s="23"/>
      <c r="D9" s="9" t="s">
        <v>911</v>
      </c>
      <c r="E9" s="9"/>
      <c r="F9" s="21">
        <f ca="1">VLOOKUP($B$6,Calibration2!$B$172:$T$206,HLOOKUP($D9,Calibration2!$C$3:$T$4,2,FALSE),FALSE)</f>
        <v>0</v>
      </c>
      <c r="G9" s="21">
        <f ca="1">VLOOKUP($B$6,Calibrati22!$B$172:$T$206,HLOOKUP($D9,Calibrati22!$C$3:$T$4,2,FALSE),FALSE)</f>
        <v>0</v>
      </c>
      <c r="H9" s="62">
        <f t="shared" si="0"/>
        <v>0</v>
      </c>
      <c r="I9" s="62">
        <f t="shared" si="1"/>
        <v>0</v>
      </c>
      <c r="J9" s="542"/>
      <c r="K9" s="9"/>
      <c r="L9" s="542"/>
      <c r="M9" s="9"/>
      <c r="N9" s="542"/>
      <c r="O9" s="542"/>
      <c r="P9" s="9"/>
      <c r="Q9" s="9"/>
      <c r="R9" s="9"/>
      <c r="S9" s="31"/>
      <c r="T9" s="31"/>
      <c r="U9" s="31"/>
      <c r="V9" s="12"/>
    </row>
    <row r="10" spans="1:24">
      <c r="A10" s="6"/>
      <c r="B10" s="52"/>
      <c r="C10" s="50"/>
      <c r="D10" s="52" t="s">
        <v>912</v>
      </c>
      <c r="E10" s="52"/>
      <c r="F10" s="21">
        <f ca="1">VLOOKUP($B$6,Calibration2!$B$172:$T$206,HLOOKUP($D10,Calibration2!$C$3:$T$4,2,FALSE),FALSE)</f>
        <v>0</v>
      </c>
      <c r="G10" s="21">
        <f ca="1">VLOOKUP($B$6,Calibrati22!$B$172:$T$206,HLOOKUP($D10,Calibrati22!$C$3:$T$4,2,FALSE),FALSE)</f>
        <v>0</v>
      </c>
      <c r="H10" s="62">
        <f t="shared" si="0"/>
        <v>0</v>
      </c>
      <c r="I10" s="62">
        <f t="shared" si="1"/>
        <v>0</v>
      </c>
      <c r="J10" s="543"/>
      <c r="K10" s="9"/>
      <c r="L10" s="543"/>
      <c r="M10" s="9"/>
      <c r="N10" s="543"/>
      <c r="O10" s="543"/>
      <c r="P10" s="52"/>
      <c r="Q10" s="52"/>
      <c r="R10" s="9"/>
      <c r="S10" s="31"/>
      <c r="T10" s="31"/>
      <c r="U10" s="31"/>
      <c r="V10" s="49"/>
    </row>
    <row r="11" spans="1:24">
      <c r="B11" s="9"/>
      <c r="C11" s="23"/>
      <c r="D11" s="9" t="s">
        <v>1150</v>
      </c>
      <c r="E11" s="9"/>
      <c r="F11" s="21">
        <f ca="1">VLOOKUP($B$6,Calibration2!$B$172:$T$206,HLOOKUP($D11,Calibration2!$C$3:$T$4,2,FALSE),FALSE)</f>
        <v>0</v>
      </c>
      <c r="G11" s="21">
        <f ca="1">VLOOKUP($B$6,Calibrati22!$B$172:$T$206,HLOOKUP($D11,Calibrati22!$C$3:$T$4,2,FALSE),FALSE)</f>
        <v>0</v>
      </c>
      <c r="H11" s="62">
        <f t="shared" si="0"/>
        <v>0</v>
      </c>
      <c r="I11" s="62">
        <f t="shared" si="1"/>
        <v>0</v>
      </c>
      <c r="J11" s="542"/>
      <c r="K11" s="9"/>
      <c r="L11" s="542"/>
      <c r="M11" s="9"/>
      <c r="N11" s="542"/>
      <c r="O11" s="542"/>
      <c r="P11" s="9"/>
      <c r="Q11" s="9"/>
      <c r="R11" s="9"/>
      <c r="S11" s="31"/>
      <c r="T11" s="31"/>
      <c r="U11" s="31"/>
      <c r="V11" s="12"/>
    </row>
    <row r="12" spans="1:24">
      <c r="B12" s="9"/>
      <c r="C12" s="23"/>
      <c r="D12" s="9" t="s">
        <v>913</v>
      </c>
      <c r="E12" s="9"/>
      <c r="F12" s="21">
        <f ca="1">VLOOKUP($B$6,Calibration2!$B$172:$T$206,HLOOKUP($D12,Calibration2!$C$3:$T$4,2,FALSE),FALSE)</f>
        <v>0</v>
      </c>
      <c r="G12" s="21">
        <f ca="1">VLOOKUP($B$6,Calibrati22!$B$172:$T$206,HLOOKUP($D12,Calibrati22!$C$3:$T$4,2,FALSE),FALSE)</f>
        <v>0</v>
      </c>
      <c r="H12" s="62">
        <f t="shared" si="0"/>
        <v>0</v>
      </c>
      <c r="I12" s="62">
        <f t="shared" si="1"/>
        <v>0</v>
      </c>
      <c r="J12" s="542"/>
      <c r="K12" s="9"/>
      <c r="L12" s="542"/>
      <c r="M12" s="9"/>
      <c r="N12" s="542"/>
      <c r="O12" s="542"/>
      <c r="P12" s="9"/>
      <c r="Q12" s="9"/>
      <c r="R12" s="9"/>
      <c r="S12" s="31"/>
      <c r="T12" s="31"/>
      <c r="U12" s="31"/>
      <c r="V12" s="12"/>
    </row>
    <row r="13" spans="1:24">
      <c r="B13" s="9"/>
      <c r="C13" s="23"/>
      <c r="D13" s="9" t="s">
        <v>916</v>
      </c>
      <c r="E13" s="9"/>
      <c r="F13" s="21">
        <f ca="1">VLOOKUP($B$6,Calibration2!$B$172:$T$206,HLOOKUP($D13,Calibration2!$C$3:$T$4,2,FALSE),FALSE)</f>
        <v>0</v>
      </c>
      <c r="G13" s="21">
        <f ca="1">VLOOKUP($B$6,Calibrati22!$B$172:$T$206,HLOOKUP($D13,Calibrati22!$C$3:$T$4,2,FALSE),FALSE)</f>
        <v>0</v>
      </c>
      <c r="H13" s="62">
        <f t="shared" si="0"/>
        <v>0</v>
      </c>
      <c r="I13" s="62">
        <f t="shared" si="1"/>
        <v>0</v>
      </c>
      <c r="J13" s="542"/>
      <c r="K13" s="9"/>
      <c r="L13" s="542"/>
      <c r="M13" s="9"/>
      <c r="N13" s="542"/>
      <c r="O13" s="542"/>
      <c r="P13" s="9"/>
      <c r="Q13" s="9"/>
      <c r="R13" s="9"/>
      <c r="S13" s="31"/>
      <c r="T13" s="31"/>
      <c r="U13" s="31"/>
      <c r="V13" s="12"/>
    </row>
    <row r="14" spans="1:24">
      <c r="B14" s="9"/>
      <c r="C14" s="23"/>
      <c r="D14" s="9" t="s">
        <v>577</v>
      </c>
      <c r="E14" s="9"/>
      <c r="F14" s="21">
        <f ca="1">VLOOKUP($B$6,Drivers2!$T$58:$V$76,3,FALSE)*VLOOKUP($D14,Calibration2!$A$220:$U$224,21,0)</f>
        <v>0</v>
      </c>
      <c r="G14" s="21">
        <f ca="1">VLOOKUP($B$6,Driver22!$T$58:$V$76,3,FALSE)*VLOOKUP($D14,Calibrati22!$A$220:$U$224,21,0)</f>
        <v>0</v>
      </c>
      <c r="H14" s="62">
        <f t="shared" si="0"/>
        <v>0</v>
      </c>
      <c r="I14" s="62">
        <f t="shared" si="1"/>
        <v>0</v>
      </c>
      <c r="J14" s="542"/>
      <c r="K14" s="9"/>
      <c r="L14" s="542"/>
      <c r="M14" s="9"/>
      <c r="N14" s="542"/>
      <c r="O14" s="542"/>
      <c r="P14" s="9"/>
      <c r="Q14" s="9"/>
      <c r="R14" s="9"/>
      <c r="S14" s="31"/>
      <c r="T14" s="31"/>
      <c r="U14" s="31"/>
      <c r="V14" s="12"/>
    </row>
    <row r="15" spans="1:24">
      <c r="B15" s="9"/>
      <c r="C15" s="23"/>
      <c r="D15" s="9" t="s">
        <v>579</v>
      </c>
      <c r="E15" s="9"/>
      <c r="F15" s="21">
        <f ca="1">VLOOKUP($B$6,Drivers2!$T$58:$V$76,2,FALSE)*VLOOKUP($D15,Calibration2!$A$211:$U$215,21,0)</f>
        <v>0</v>
      </c>
      <c r="G15" s="21">
        <f ca="1">VLOOKUP($B$6,Driver22!$T$58:$V$76,2,FALSE)*VLOOKUP($D15,Calibrati22!$A$211:$U$215,21,0)</f>
        <v>0</v>
      </c>
      <c r="H15" s="62">
        <f t="shared" si="0"/>
        <v>0</v>
      </c>
      <c r="I15" s="62">
        <f t="shared" si="1"/>
        <v>0</v>
      </c>
      <c r="J15" s="542"/>
      <c r="K15" s="9"/>
      <c r="L15" s="542"/>
      <c r="M15" s="9"/>
      <c r="N15" s="542"/>
      <c r="O15" s="542"/>
      <c r="P15" s="9"/>
      <c r="Q15" s="9"/>
      <c r="R15" s="9"/>
      <c r="S15" s="31"/>
      <c r="T15" s="31"/>
      <c r="U15" s="31"/>
      <c r="V15" s="12"/>
    </row>
    <row r="16" spans="1:24">
      <c r="B16" s="9"/>
      <c r="C16" s="23"/>
      <c r="D16" s="23" t="s">
        <v>443</v>
      </c>
      <c r="E16" s="9"/>
      <c r="F16" s="21"/>
      <c r="G16" s="21"/>
      <c r="H16" s="62">
        <f ca="1">IF(H20&gt;0,IEAData2!$AO$12/H20,1)</f>
        <v>1</v>
      </c>
      <c r="I16" s="62">
        <f ca="1">IF(I20&gt;0,AuxData2!$AO$12/I20,1)</f>
        <v>1</v>
      </c>
      <c r="J16" s="542"/>
      <c r="K16" s="9"/>
      <c r="L16" s="542"/>
      <c r="M16" s="9"/>
      <c r="N16" s="542"/>
      <c r="O16" s="542"/>
      <c r="P16" s="9"/>
      <c r="Q16" s="9"/>
      <c r="R16" s="9"/>
      <c r="S16" s="31"/>
      <c r="T16" s="31"/>
      <c r="U16" s="31"/>
      <c r="V16" s="12"/>
    </row>
    <row r="17" spans="1:22">
      <c r="B17" s="9"/>
      <c r="C17" s="23"/>
      <c r="D17" s="23" t="s">
        <v>411</v>
      </c>
      <c r="E17" s="9" t="s">
        <v>335</v>
      </c>
      <c r="F17" s="21"/>
      <c r="G17" s="21"/>
      <c r="H17" s="62">
        <v>7.4999999999999997E-2</v>
      </c>
      <c r="I17" s="62">
        <f>$H17</f>
        <v>7.4999999999999997E-2</v>
      </c>
      <c r="J17" s="62">
        <v>0.25</v>
      </c>
      <c r="K17" s="9">
        <f>J17</f>
        <v>0.25</v>
      </c>
      <c r="L17" s="542"/>
      <c r="M17" s="9"/>
      <c r="N17" s="542"/>
      <c r="O17" s="542"/>
      <c r="P17" s="9"/>
      <c r="Q17" s="9"/>
      <c r="R17" s="9"/>
      <c r="S17" s="31"/>
      <c r="T17" s="31"/>
      <c r="U17" s="31"/>
      <c r="V17" s="12"/>
    </row>
    <row r="18" spans="1:22">
      <c r="B18" s="9"/>
      <c r="C18" s="23"/>
      <c r="D18" s="23" t="s">
        <v>1517</v>
      </c>
      <c r="E18" s="9"/>
      <c r="F18" s="21"/>
      <c r="G18" s="21"/>
      <c r="H18" s="62"/>
      <c r="I18" s="62">
        <v>7.4999999999999997E-2</v>
      </c>
      <c r="J18" s="62"/>
      <c r="K18" s="62"/>
      <c r="L18" s="542"/>
      <c r="M18" s="9"/>
      <c r="N18" s="542"/>
      <c r="O18" s="542"/>
      <c r="P18" s="9"/>
      <c r="Q18" s="9"/>
      <c r="R18" s="9"/>
      <c r="S18" s="31"/>
      <c r="T18" s="31"/>
      <c r="U18" s="31"/>
      <c r="V18" s="12">
        <f>I18*56/100*1000*0.8</f>
        <v>33.6</v>
      </c>
    </row>
    <row r="19" spans="1:22" ht="13.5" thickBot="1">
      <c r="A19" s="6"/>
      <c r="B19" s="52"/>
      <c r="C19" s="50"/>
      <c r="D19" s="52" t="s">
        <v>1515</v>
      </c>
      <c r="E19" s="52" t="s">
        <v>213</v>
      </c>
      <c r="F19" s="53"/>
      <c r="G19" s="53"/>
      <c r="H19" s="544"/>
      <c r="I19" s="9">
        <v>2</v>
      </c>
      <c r="J19" s="543"/>
      <c r="K19" s="9"/>
      <c r="L19" s="543"/>
      <c r="M19" s="9"/>
      <c r="N19" s="543"/>
      <c r="O19" s="543"/>
      <c r="P19" s="52"/>
      <c r="Q19" s="52"/>
      <c r="R19" s="9"/>
      <c r="S19" s="55"/>
      <c r="T19" s="55"/>
      <c r="U19" s="55"/>
      <c r="V19" s="49"/>
    </row>
    <row r="20" spans="1:22">
      <c r="B20" s="516" t="s">
        <v>1380</v>
      </c>
      <c r="C20" s="517" t="str">
        <f>E19</f>
        <v>IISBOF</v>
      </c>
      <c r="D20" s="517"/>
      <c r="E20" s="517"/>
      <c r="F20" s="580">
        <f>SUM(F6:F19)</f>
        <v>0</v>
      </c>
      <c r="G20" s="580">
        <f>SUM(G6:G19)</f>
        <v>0</v>
      </c>
      <c r="H20" s="580">
        <f ca="1">VLOOKUP($C20&amp;"000",Drivers2!$E$58:$H$79,4,FALSE)</f>
        <v>0</v>
      </c>
      <c r="I20" s="580">
        <f ca="1">VLOOKUP($C20&amp;"000",Driver22!$E$58:$H$79,4,FALSE)</f>
        <v>0</v>
      </c>
      <c r="J20" s="580"/>
      <c r="K20" s="580"/>
      <c r="L20" s="580">
        <f ca="1">F20/(H20+Tiny)</f>
        <v>0</v>
      </c>
      <c r="M20" s="580">
        <f ca="1">G20/(I20+Tiny)</f>
        <v>0</v>
      </c>
      <c r="N20" s="517"/>
      <c r="O20" s="517"/>
      <c r="P20" s="517"/>
      <c r="Q20" s="517" t="s">
        <v>784</v>
      </c>
      <c r="R20" s="517"/>
      <c r="S20" s="517"/>
      <c r="T20" s="517"/>
      <c r="U20" s="517"/>
      <c r="V20" s="517"/>
    </row>
    <row r="21" spans="1:22">
      <c r="B21" s="35" t="s">
        <v>368</v>
      </c>
      <c r="C21" s="23" t="s">
        <v>814</v>
      </c>
      <c r="D21" s="9" t="s">
        <v>646</v>
      </c>
      <c r="E21" s="9"/>
      <c r="F21" s="21">
        <f ca="1">VLOOKUP($B21,Calibration2!$B$172:$T$206,2,FALSE)</f>
        <v>0</v>
      </c>
      <c r="G21" s="21">
        <f ca="1">VLOOKUP($B21,Calibrati22!$B$172:$T$206,2,FALSE)</f>
        <v>0</v>
      </c>
      <c r="H21" s="62">
        <f>IF(H$29=0,0,F21/H$29)</f>
        <v>0</v>
      </c>
      <c r="I21" s="62">
        <f>IF(I$29=0,0,G21/I$29)</f>
        <v>0</v>
      </c>
      <c r="J21" s="542"/>
      <c r="K21" s="9"/>
      <c r="L21" s="542">
        <f>H29</f>
        <v>0</v>
      </c>
      <c r="M21" s="542">
        <f>I29</f>
        <v>0</v>
      </c>
      <c r="N21" s="542">
        <v>0</v>
      </c>
      <c r="O21" s="17">
        <v>1</v>
      </c>
      <c r="P21" s="12">
        <v>1</v>
      </c>
      <c r="Q21" s="12">
        <v>30</v>
      </c>
      <c r="R21" s="9"/>
      <c r="S21" s="31"/>
      <c r="T21" s="31"/>
      <c r="U21" s="31"/>
      <c r="V21" s="12"/>
    </row>
    <row r="22" spans="1:22">
      <c r="B22" s="9"/>
      <c r="C22" s="23"/>
      <c r="D22" s="9" t="s">
        <v>906</v>
      </c>
      <c r="E22" s="9"/>
      <c r="F22" s="21">
        <f ca="1">VLOOKUP($B$21,Calibration2!$B$172:$T$206,HLOOKUP($D22,Calibration2!$C$3:$T$4,2,FALSE),FALSE)</f>
        <v>0</v>
      </c>
      <c r="G22" s="21">
        <f ca="1">VLOOKUP($B$21,Calibrati22!$B$172:$T$206,HLOOKUP($D22,Calibrati22!$C$3:$T$4,2,FALSE),FALSE)</f>
        <v>0</v>
      </c>
      <c r="H22" s="62">
        <f>IF($H$29=0,0,F22/$H$29)</f>
        <v>0</v>
      </c>
      <c r="I22" s="62">
        <f>IF(I$29=0,0,G22/I$29)</f>
        <v>0</v>
      </c>
      <c r="J22" s="542"/>
      <c r="K22" s="9"/>
      <c r="L22" s="542"/>
      <c r="M22" s="9"/>
      <c r="N22" s="542"/>
      <c r="O22" s="542"/>
      <c r="P22" s="9"/>
      <c r="Q22" s="9"/>
      <c r="R22" s="9"/>
      <c r="S22" s="31"/>
      <c r="T22" s="31"/>
      <c r="U22" s="31"/>
      <c r="V22" s="12"/>
    </row>
    <row r="23" spans="1:22">
      <c r="B23" s="9"/>
      <c r="C23" s="23"/>
      <c r="D23" s="9" t="s">
        <v>909</v>
      </c>
      <c r="E23" s="9"/>
      <c r="F23" s="21">
        <f ca="1">VLOOKUP($B$21,Calibration2!$B$172:$T$206,HLOOKUP($D23,Calibration2!$C$3:$T$4,2,FALSE),FALSE)</f>
        <v>0</v>
      </c>
      <c r="G23" s="21">
        <f ca="1">VLOOKUP($B$21,Calibrati22!$B$172:$T$206,HLOOKUP($D23,Calibrati22!$C$3:$T$4,2,FALSE),FALSE)</f>
        <v>0</v>
      </c>
      <c r="H23" s="62">
        <f>IF($H$29=0,0,F23/$H$29)</f>
        <v>0</v>
      </c>
      <c r="I23" s="62">
        <f>IF(I$29=0,0,G23/I$29)</f>
        <v>0</v>
      </c>
      <c r="J23" s="542"/>
      <c r="K23" s="9"/>
      <c r="L23" s="542"/>
      <c r="M23" s="9"/>
      <c r="N23" s="542"/>
      <c r="O23" s="542"/>
      <c r="P23" s="9"/>
      <c r="Q23" s="9"/>
      <c r="R23" s="9"/>
      <c r="S23" s="31"/>
      <c r="T23" s="31"/>
      <c r="U23" s="31"/>
      <c r="V23" s="12"/>
    </row>
    <row r="24" spans="1:22">
      <c r="B24" s="9"/>
      <c r="C24" s="23"/>
      <c r="D24" s="9" t="s">
        <v>826</v>
      </c>
      <c r="E24" s="9"/>
      <c r="F24" s="21">
        <f ca="1">VLOOKUP($B$21,Calibration2!$B$172:$T$206,HLOOKUP($D24,Calibration2!$C$3:$T$4,2,FALSE),FALSE)</f>
        <v>0</v>
      </c>
      <c r="G24" s="21">
        <f ca="1">VLOOKUP($B$21,Calibrati22!$B$172:$T$206,HLOOKUP($D24,Calibrati22!$C$3:$T$4,2,FALSE),FALSE)</f>
        <v>0</v>
      </c>
      <c r="H24" s="62">
        <f>IF($H$29=0,0,F24/$H$29)</f>
        <v>0</v>
      </c>
      <c r="I24" s="62">
        <f>IF(I$29=0,0,G24/I$29)</f>
        <v>0</v>
      </c>
      <c r="J24" s="542"/>
      <c r="K24" s="9"/>
      <c r="L24" s="542"/>
      <c r="M24" s="9"/>
      <c r="N24" s="542"/>
      <c r="O24" s="542"/>
      <c r="P24" s="9"/>
      <c r="Q24" s="9"/>
      <c r="R24" s="9"/>
      <c r="S24" s="31"/>
      <c r="T24" s="31"/>
      <c r="U24" s="31"/>
      <c r="V24" s="12"/>
    </row>
    <row r="25" spans="1:22">
      <c r="B25" s="9"/>
      <c r="C25" s="23"/>
      <c r="D25" s="9" t="s">
        <v>577</v>
      </c>
      <c r="E25" s="9"/>
      <c r="F25" s="21">
        <f ca="1">VLOOKUP($B$21,Drivers2!$T$58:$V$76,3,FALSE)*VLOOKUP($D25,Calibration2!$A$220:$U$224,21,0)</f>
        <v>0</v>
      </c>
      <c r="G25" s="21">
        <f ca="1">VLOOKUP($B$21,Driver22!$T$58:$V$76,3,FALSE)*VLOOKUP($D25,Calibrati22!$A$220:$U$224,21,0)</f>
        <v>0</v>
      </c>
      <c r="H25" s="62">
        <f>IF($H$29=0,0,F25/$H$29)</f>
        <v>0</v>
      </c>
      <c r="I25" s="62">
        <f>IF(I$29=0,0,G25/I$29)</f>
        <v>0</v>
      </c>
      <c r="J25" s="542"/>
      <c r="K25" s="9"/>
      <c r="L25" s="542"/>
      <c r="M25" s="9"/>
      <c r="N25" s="542"/>
      <c r="O25" s="542"/>
      <c r="P25" s="9"/>
      <c r="Q25" s="9"/>
      <c r="R25" s="9"/>
      <c r="S25" s="31"/>
      <c r="T25" s="31"/>
      <c r="U25" s="31"/>
      <c r="V25" s="12"/>
    </row>
    <row r="26" spans="1:22">
      <c r="B26" s="9"/>
      <c r="C26" s="23"/>
      <c r="D26" s="9" t="s">
        <v>579</v>
      </c>
      <c r="E26" s="9"/>
      <c r="F26" s="21">
        <f ca="1">VLOOKUP($B$21,Drivers2!$T$58:$V$76,2,FALSE)*VLOOKUP($D26,Calibration2!$A$211:$U$215,21,0)</f>
        <v>0</v>
      </c>
      <c r="G26" s="21">
        <f ca="1">VLOOKUP($B$21,Driver22!$T$58:$V$76,2,FALSE)*VLOOKUP($D26,Calibrati22!$A$211:$U$215,21,0)</f>
        <v>0</v>
      </c>
      <c r="H26" s="62">
        <f>IF($H$29=0,0,F26/$H$29)</f>
        <v>0</v>
      </c>
      <c r="I26" s="62">
        <f>IF(I$29=0,0,G26/I$29)</f>
        <v>0</v>
      </c>
      <c r="J26" s="542"/>
      <c r="K26" s="9"/>
      <c r="L26" s="542"/>
      <c r="M26" s="9"/>
      <c r="N26" s="542"/>
      <c r="O26" s="542"/>
      <c r="P26" s="9"/>
      <c r="Q26" s="9"/>
      <c r="R26" s="9"/>
      <c r="S26" s="31"/>
      <c r="T26" s="31"/>
      <c r="U26" s="31"/>
      <c r="V26" s="12"/>
    </row>
    <row r="27" spans="1:22">
      <c r="B27" s="9"/>
      <c r="C27" s="23"/>
      <c r="D27" s="23" t="s">
        <v>1517</v>
      </c>
      <c r="E27" s="9"/>
      <c r="F27" s="21"/>
      <c r="G27" s="21"/>
      <c r="H27" s="62"/>
      <c r="I27" s="9">
        <v>0.02</v>
      </c>
      <c r="J27" s="542"/>
      <c r="K27" s="9"/>
      <c r="L27" s="542"/>
      <c r="M27" s="9"/>
      <c r="N27" s="542"/>
      <c r="O27" s="542"/>
      <c r="P27" s="9"/>
      <c r="Q27" s="9"/>
      <c r="R27" s="9"/>
      <c r="S27" s="31"/>
      <c r="T27" s="31"/>
      <c r="U27" s="31"/>
      <c r="V27" s="12">
        <f>I27*56/100*1000*0.8</f>
        <v>8.9600000000000009</v>
      </c>
    </row>
    <row r="28" spans="1:22" ht="13.5" thickBot="1">
      <c r="B28" s="22"/>
      <c r="C28" s="24"/>
      <c r="D28" s="52" t="s">
        <v>1515</v>
      </c>
      <c r="E28" s="22" t="s">
        <v>367</v>
      </c>
      <c r="F28" s="28"/>
      <c r="G28" s="28"/>
      <c r="H28" s="541"/>
      <c r="I28" s="9">
        <v>2</v>
      </c>
      <c r="J28" s="545"/>
      <c r="K28" s="9"/>
      <c r="L28" s="545"/>
      <c r="M28" s="9"/>
      <c r="N28" s="545"/>
      <c r="O28" s="545"/>
      <c r="P28" s="22"/>
      <c r="Q28" s="22"/>
      <c r="R28" s="9"/>
      <c r="S28" s="29"/>
      <c r="T28" s="29"/>
      <c r="U28" s="29"/>
      <c r="V28" s="13"/>
    </row>
    <row r="29" spans="1:22">
      <c r="B29" s="516" t="s">
        <v>1380</v>
      </c>
      <c r="C29" s="517" t="str">
        <f>E28</f>
        <v>IISDRI</v>
      </c>
      <c r="D29" s="517"/>
      <c r="E29" s="517"/>
      <c r="F29" s="517">
        <f>SUM(F21:F28)</f>
        <v>0</v>
      </c>
      <c r="G29" s="517">
        <f>SUM(G21:G28)</f>
        <v>0</v>
      </c>
      <c r="H29" s="517">
        <f ca="1">VLOOKUP($C29&amp;"000",Drivers2!$E$58:$H$79,4,FALSE)</f>
        <v>0</v>
      </c>
      <c r="I29" s="517">
        <f ca="1">VLOOKUP($C29&amp;"000",Driver22!$E$58:$H$79,4,FALSE)</f>
        <v>0</v>
      </c>
      <c r="J29" s="517"/>
      <c r="K29" s="517"/>
      <c r="L29" s="517">
        <f ca="1">F29/(H29+Tiny)</f>
        <v>0</v>
      </c>
      <c r="M29" s="517">
        <f ca="1">G29/(I29+Tiny)</f>
        <v>0</v>
      </c>
      <c r="N29" s="517"/>
      <c r="O29" s="517"/>
      <c r="P29" s="517"/>
      <c r="Q29" s="517" t="s">
        <v>784</v>
      </c>
      <c r="R29" s="517"/>
      <c r="S29" s="517"/>
      <c r="T29" s="517"/>
      <c r="U29" s="517"/>
      <c r="V29" s="517"/>
    </row>
    <row r="30" spans="1:22">
      <c r="B30" s="35" t="s">
        <v>366</v>
      </c>
      <c r="C30" s="23" t="s">
        <v>815</v>
      </c>
      <c r="D30" s="9" t="s">
        <v>646</v>
      </c>
      <c r="E30" s="9"/>
      <c r="F30" s="21">
        <f ca="1">VLOOKUP($B30,Calibration2!$B$172:$T$206,2,FALSE)</f>
        <v>0</v>
      </c>
      <c r="G30" s="21">
        <f ca="1">VLOOKUP($B30,Calibrati22!$B$172:$T$206,2,FALSE)</f>
        <v>0</v>
      </c>
      <c r="H30" s="62">
        <f>IF(H$38=0,0,F30/H$38)</f>
        <v>0</v>
      </c>
      <c r="I30" s="62">
        <f>IF(I$38=0,0,G30/I$38)</f>
        <v>0</v>
      </c>
      <c r="J30" s="542"/>
      <c r="K30" s="9"/>
      <c r="L30" s="542">
        <f>H38</f>
        <v>0</v>
      </c>
      <c r="M30" s="542">
        <f>I38</f>
        <v>0</v>
      </c>
      <c r="N30" s="542">
        <v>0</v>
      </c>
      <c r="O30" s="17">
        <v>1</v>
      </c>
      <c r="P30" s="12">
        <v>1</v>
      </c>
      <c r="Q30" s="12">
        <v>30</v>
      </c>
      <c r="R30" s="9"/>
      <c r="S30" s="31"/>
      <c r="T30" s="31"/>
      <c r="U30" s="31"/>
      <c r="V30" s="12"/>
    </row>
    <row r="31" spans="1:22">
      <c r="B31" s="9"/>
      <c r="C31" s="23"/>
      <c r="D31" s="9" t="s">
        <v>906</v>
      </c>
      <c r="E31" s="9"/>
      <c r="F31" s="21">
        <f ca="1">VLOOKUP($B$30,Calibration2!$B$172:$T$206,HLOOKUP($D31,Calibration2!$C$3:$T$4,2,FALSE),FALSE)</f>
        <v>0</v>
      </c>
      <c r="G31" s="21">
        <f ca="1">VLOOKUP($B$30,Calibrati22!$B$172:$T$206,HLOOKUP($D31,Calibrati22!$C$3:$T$4,2,FALSE),FALSE)</f>
        <v>0</v>
      </c>
      <c r="H31" s="62">
        <f>IF($H$38=0,0,F31/$H$38)</f>
        <v>0</v>
      </c>
      <c r="I31" s="62">
        <f>IF(I$38=0,0,G31/I$38)</f>
        <v>0</v>
      </c>
      <c r="J31" s="542"/>
      <c r="K31" s="9"/>
      <c r="L31" s="542"/>
      <c r="M31" s="9"/>
      <c r="N31" s="542"/>
      <c r="O31" s="542"/>
      <c r="P31" s="9"/>
      <c r="Q31" s="9"/>
      <c r="R31" s="9"/>
      <c r="S31" s="31"/>
      <c r="T31" s="31"/>
      <c r="U31" s="31"/>
      <c r="V31" s="12"/>
    </row>
    <row r="32" spans="1:22">
      <c r="B32" s="9"/>
      <c r="C32" s="23"/>
      <c r="D32" s="9" t="s">
        <v>909</v>
      </c>
      <c r="E32" s="9"/>
      <c r="F32" s="21">
        <f ca="1">VLOOKUP($B$30,Calibration2!$B$172:$T$206,HLOOKUP($D32,Calibration2!$C$3:$T$4,2,FALSE),FALSE)</f>
        <v>0</v>
      </c>
      <c r="G32" s="21">
        <f ca="1">VLOOKUP($B$30,Calibrati22!$B$172:$T$206,HLOOKUP($D32,Calibrati22!$C$3:$T$4,2,FALSE),FALSE)</f>
        <v>0</v>
      </c>
      <c r="H32" s="62">
        <f>IF($H$38=0,0,F32/$H$38)</f>
        <v>0</v>
      </c>
      <c r="I32" s="62">
        <f>IF(I$38=0,0,G32/I$38)</f>
        <v>0</v>
      </c>
      <c r="J32" s="542"/>
      <c r="K32" s="9"/>
      <c r="L32" s="542"/>
      <c r="M32" s="9"/>
      <c r="N32" s="542"/>
      <c r="O32" s="542"/>
      <c r="P32" s="9"/>
      <c r="Q32" s="9"/>
      <c r="R32" s="9"/>
      <c r="S32" s="31"/>
      <c r="T32" s="427">
        <v>3</v>
      </c>
      <c r="U32" s="31"/>
      <c r="V32" s="12"/>
    </row>
    <row r="33" spans="1:22">
      <c r="B33" s="9"/>
      <c r="C33" s="23"/>
      <c r="D33" s="9" t="s">
        <v>826</v>
      </c>
      <c r="E33" s="9"/>
      <c r="F33" s="21">
        <f ca="1">VLOOKUP($B$30,Calibration2!$B$172:$T$206,HLOOKUP($D33,Calibration2!$C$3:$T$4,2,FALSE),FALSE)</f>
        <v>0</v>
      </c>
      <c r="G33" s="21">
        <f ca="1">VLOOKUP($B$30,Calibrati22!$B$172:$T$206,HLOOKUP($D33,Calibrati22!$C$3:$T$4,2,FALSE),FALSE)</f>
        <v>0</v>
      </c>
      <c r="H33" s="62">
        <f>IF($H$38=0,0,F33/$H$38)</f>
        <v>0</v>
      </c>
      <c r="I33" s="62">
        <f>IF(I$38=0,0,G33/I$38)</f>
        <v>0</v>
      </c>
      <c r="J33" s="542"/>
      <c r="K33" s="9"/>
      <c r="L33" s="542"/>
      <c r="M33" s="9"/>
      <c r="N33" s="542"/>
      <c r="O33" s="542"/>
      <c r="P33" s="9"/>
      <c r="Q33" s="9"/>
      <c r="R33" s="9"/>
      <c r="S33" s="31"/>
      <c r="T33" s="427">
        <v>3</v>
      </c>
      <c r="U33" s="31"/>
      <c r="V33" s="12"/>
    </row>
    <row r="34" spans="1:22">
      <c r="B34" s="9"/>
      <c r="C34" s="23"/>
      <c r="D34" s="9" t="s">
        <v>577</v>
      </c>
      <c r="E34" s="9"/>
      <c r="F34" s="21">
        <f ca="1">VLOOKUP($B$30,Drivers2!$T$58:$V$76,3,FALSE)*VLOOKUP($D34,Calibration2!$A$220:$U$224,21,0)</f>
        <v>0</v>
      </c>
      <c r="G34" s="21">
        <f ca="1">VLOOKUP($B$30,Driver22!$T$58:$V$76,3,FALSE)*VLOOKUP($D34,Calibrati22!$A$220:$U$224,21,0)</f>
        <v>0</v>
      </c>
      <c r="H34" s="62">
        <f>IF($H$38=0,0,F34/$H$38)</f>
        <v>0</v>
      </c>
      <c r="I34" s="62">
        <f>IF(I$38=0,0,G34/I$38)</f>
        <v>0</v>
      </c>
      <c r="J34" s="542"/>
      <c r="K34" s="9"/>
      <c r="L34" s="542"/>
      <c r="M34" s="9"/>
      <c r="N34" s="542"/>
      <c r="O34" s="542"/>
      <c r="P34" s="9"/>
      <c r="Q34" s="9"/>
      <c r="R34" s="9"/>
      <c r="S34" s="31"/>
      <c r="T34" s="31"/>
      <c r="U34" s="31"/>
      <c r="V34" s="12"/>
    </row>
    <row r="35" spans="1:22">
      <c r="B35" s="9"/>
      <c r="C35" s="23"/>
      <c r="D35" s="9" t="s">
        <v>579</v>
      </c>
      <c r="E35" s="9"/>
      <c r="F35" s="21">
        <f ca="1">VLOOKUP($B$30,Drivers2!$T$58:$V$76,2,FALSE)*VLOOKUP($D35,Calibration2!$A$211:$U$215,21,0)</f>
        <v>0</v>
      </c>
      <c r="G35" s="21">
        <f ca="1">VLOOKUP($B$30,Driver22!$T$58:$V$76,2,FALSE)*VLOOKUP($D35,Calibrati22!$A$211:$U$215,21,0)</f>
        <v>0</v>
      </c>
      <c r="H35" s="62">
        <f>IF($H$38=0,0,F35/$H$38)</f>
        <v>0</v>
      </c>
      <c r="I35" s="62">
        <f>IF(I$38=0,0,G35/I$38)</f>
        <v>0</v>
      </c>
      <c r="J35" s="542"/>
      <c r="K35" s="9"/>
      <c r="L35" s="542"/>
      <c r="M35" s="9"/>
      <c r="N35" s="542"/>
      <c r="O35" s="542"/>
      <c r="P35" s="9"/>
      <c r="Q35" s="9"/>
      <c r="R35" s="9"/>
      <c r="S35" s="31"/>
      <c r="T35" s="31"/>
      <c r="U35" s="31"/>
      <c r="V35" s="12"/>
    </row>
    <row r="36" spans="1:22">
      <c r="B36" s="9"/>
      <c r="C36" s="23"/>
      <c r="D36" s="23" t="s">
        <v>1517</v>
      </c>
      <c r="E36" s="9" t="s">
        <v>1283</v>
      </c>
      <c r="F36" s="21"/>
      <c r="G36" s="21"/>
      <c r="H36" s="62"/>
      <c r="I36" s="62">
        <v>0.02</v>
      </c>
      <c r="J36" s="62">
        <f ca="1">IF(H38,Drivers2!$L$133/H38,0)</f>
        <v>0</v>
      </c>
      <c r="K36" s="62">
        <f ca="1">IF(I38,Driver22!$L$133/I38,0)</f>
        <v>0</v>
      </c>
      <c r="L36" s="542"/>
      <c r="M36" s="9"/>
      <c r="N36" s="542"/>
      <c r="O36" s="542"/>
      <c r="P36" s="9"/>
      <c r="Q36" s="9"/>
      <c r="R36" s="9"/>
      <c r="S36" s="31"/>
      <c r="T36" s="31"/>
      <c r="U36" s="31"/>
      <c r="V36" s="12">
        <f>I36*56/100*1000*0.8</f>
        <v>8.9600000000000009</v>
      </c>
    </row>
    <row r="37" spans="1:22" ht="13.5" thickBot="1">
      <c r="A37" s="6"/>
      <c r="B37" s="22"/>
      <c r="C37" s="24"/>
      <c r="D37" s="22"/>
      <c r="E37" s="22" t="s">
        <v>365</v>
      </c>
      <c r="F37" s="28"/>
      <c r="G37" s="28"/>
      <c r="H37" s="541"/>
      <c r="I37" s="9"/>
      <c r="J37" s="545"/>
      <c r="K37" s="9"/>
      <c r="L37" s="545"/>
      <c r="M37" s="9"/>
      <c r="N37" s="545"/>
      <c r="O37" s="545"/>
      <c r="P37" s="22"/>
      <c r="Q37" s="22"/>
      <c r="R37" s="9"/>
      <c r="S37" s="29"/>
      <c r="T37" s="29"/>
      <c r="U37" s="29"/>
      <c r="V37" s="13"/>
    </row>
    <row r="38" spans="1:22">
      <c r="B38" s="516" t="s">
        <v>1380</v>
      </c>
      <c r="C38" s="517" t="str">
        <f>E37</f>
        <v>IISSCR</v>
      </c>
      <c r="D38" s="517"/>
      <c r="E38" s="517"/>
      <c r="F38" s="580">
        <f>SUM(F30:F35)</f>
        <v>0</v>
      </c>
      <c r="G38" s="580">
        <f>SUM(G30:G35)</f>
        <v>0</v>
      </c>
      <c r="H38" s="580">
        <f ca="1">VLOOKUP($C38&amp;"000",Drivers2!$E$58:$H$79,4,FALSE)</f>
        <v>0</v>
      </c>
      <c r="I38" s="580">
        <f ca="1">VLOOKUP($C38&amp;"000",Driver22!$E$58:$H$79,4,FALSE)</f>
        <v>0</v>
      </c>
      <c r="J38" s="580">
        <f>SUMIF($B$6:$B$38,"~*",H$6:H$38)</f>
        <v>0</v>
      </c>
      <c r="K38" s="580">
        <f>SUMIF($B$6:$B$38,"~*",I$6:I$38)</f>
        <v>0</v>
      </c>
      <c r="L38" s="580">
        <f ca="1">F38/(H38+Tiny)</f>
        <v>0</v>
      </c>
      <c r="M38" s="580">
        <f ca="1">G38/(I38+Tiny)</f>
        <v>0</v>
      </c>
      <c r="N38" s="517"/>
      <c r="O38" s="517"/>
      <c r="P38" s="517"/>
      <c r="Q38" s="517" t="s">
        <v>784</v>
      </c>
      <c r="R38" s="517"/>
      <c r="S38" s="517"/>
      <c r="T38" s="517"/>
      <c r="U38" s="517"/>
      <c r="V38" s="517"/>
    </row>
    <row r="39" spans="1:22">
      <c r="A39" s="6"/>
      <c r="B39" s="35" t="s">
        <v>410</v>
      </c>
      <c r="C39" s="23" t="s">
        <v>185</v>
      </c>
      <c r="D39" s="9" t="s">
        <v>646</v>
      </c>
      <c r="E39" s="9"/>
      <c r="F39" s="21">
        <f ca="1">VLOOKUP($B39,Calibration2!$B$172:$T$206,2,FALSE)</f>
        <v>0</v>
      </c>
      <c r="G39" s="21">
        <f ca="1">VLOOKUP($B39,Calibrati22!$B$172:$T$206,2,FALSE)</f>
        <v>0</v>
      </c>
      <c r="H39" s="62">
        <f t="shared" ref="H39:H44" si="2">IF($H$47=0,0,F39/$H$47)</f>
        <v>0</v>
      </c>
      <c r="I39" s="9"/>
      <c r="J39" s="542"/>
      <c r="K39" s="9"/>
      <c r="L39" s="542">
        <f>H47</f>
        <v>0</v>
      </c>
      <c r="M39" s="542">
        <f>I47</f>
        <v>0</v>
      </c>
      <c r="N39" s="542">
        <v>0</v>
      </c>
      <c r="O39" s="17">
        <v>1</v>
      </c>
      <c r="P39" s="12">
        <v>1</v>
      </c>
      <c r="Q39" s="12">
        <v>1</v>
      </c>
      <c r="R39" s="9">
        <v>900</v>
      </c>
      <c r="S39" s="31">
        <f>L39*0.015</f>
        <v>0</v>
      </c>
      <c r="T39" s="55"/>
      <c r="U39" s="55"/>
      <c r="V39" s="49"/>
    </row>
    <row r="40" spans="1:22">
      <c r="A40" s="6"/>
      <c r="B40" s="9"/>
      <c r="C40" s="23"/>
      <c r="D40" s="9" t="s">
        <v>906</v>
      </c>
      <c r="E40" s="9"/>
      <c r="F40" s="21">
        <f ca="1">VLOOKUP($B$39,Calibration2!$B$172:$T$206,HLOOKUP($D40,Calibration2!$C$3:$T$4,2,FALSE),FALSE)</f>
        <v>0</v>
      </c>
      <c r="G40" s="21">
        <f ca="1">VLOOKUP($B$39,Calibrati22!$B$172:$T$206,HLOOKUP($D40,Calibrati22!$C$3:$T$4,2,FALSE),FALSE)</f>
        <v>0</v>
      </c>
      <c r="H40" s="62">
        <f t="shared" si="2"/>
        <v>0</v>
      </c>
      <c r="I40" s="9"/>
      <c r="J40" s="542"/>
      <c r="K40" s="9"/>
      <c r="L40" s="542"/>
      <c r="M40" s="9"/>
      <c r="N40" s="542"/>
      <c r="O40" s="542"/>
      <c r="P40" s="9"/>
      <c r="Q40" s="9"/>
      <c r="R40" s="9"/>
      <c r="S40" s="55"/>
      <c r="T40" s="55"/>
      <c r="U40" s="55"/>
      <c r="V40" s="49"/>
    </row>
    <row r="41" spans="1:22">
      <c r="A41" s="6"/>
      <c r="B41" s="9"/>
      <c r="C41" s="23"/>
      <c r="D41" s="9" t="s">
        <v>909</v>
      </c>
      <c r="E41" s="9"/>
      <c r="F41" s="21">
        <f ca="1">VLOOKUP($B$39,Calibration2!$B$172:$T$206,HLOOKUP($D41,Calibration2!$C$3:$T$4,2,FALSE),FALSE)</f>
        <v>0</v>
      </c>
      <c r="G41" s="21">
        <f ca="1">VLOOKUP($B$39,Calibrati22!$B$172:$T$206,HLOOKUP($D41,Calibrati22!$C$3:$T$4,2,FALSE),FALSE)</f>
        <v>0</v>
      </c>
      <c r="H41" s="62">
        <f t="shared" si="2"/>
        <v>0</v>
      </c>
      <c r="I41" s="9"/>
      <c r="J41" s="542"/>
      <c r="K41" s="9"/>
      <c r="L41" s="542"/>
      <c r="M41" s="9"/>
      <c r="N41" s="542"/>
      <c r="O41" s="542"/>
      <c r="P41" s="9"/>
      <c r="Q41" s="9"/>
      <c r="R41" s="9"/>
      <c r="S41" s="55"/>
      <c r="T41" s="55"/>
      <c r="U41" s="55"/>
      <c r="V41" s="49"/>
    </row>
    <row r="42" spans="1:22">
      <c r="A42" s="6"/>
      <c r="B42" s="9"/>
      <c r="C42" s="23"/>
      <c r="D42" s="9" t="s">
        <v>910</v>
      </c>
      <c r="E42" s="9"/>
      <c r="F42" s="21">
        <f ca="1">VLOOKUP($B$39,Calibration2!$B$172:$T$206,HLOOKUP($D42,Calibration2!$C$3:$T$4,2,FALSE),FALSE)</f>
        <v>0</v>
      </c>
      <c r="G42" s="21">
        <f ca="1">VLOOKUP($B$39,Calibrati22!$B$172:$T$206,HLOOKUP($D42,Calibrati22!$C$3:$T$4,2,FALSE),FALSE)</f>
        <v>0</v>
      </c>
      <c r="H42" s="62">
        <f t="shared" si="2"/>
        <v>0</v>
      </c>
      <c r="I42" s="9"/>
      <c r="J42" s="542"/>
      <c r="K42" s="9"/>
      <c r="L42" s="542"/>
      <c r="M42" s="9"/>
      <c r="N42" s="542"/>
      <c r="O42" s="542"/>
      <c r="P42" s="9"/>
      <c r="Q42" s="9"/>
      <c r="R42" s="9"/>
      <c r="S42" s="55"/>
      <c r="T42" s="55"/>
      <c r="U42" s="55"/>
      <c r="V42" s="49"/>
    </row>
    <row r="43" spans="1:22">
      <c r="A43" s="6"/>
      <c r="B43" s="9"/>
      <c r="C43" s="23"/>
      <c r="D43" s="9" t="s">
        <v>577</v>
      </c>
      <c r="E43" s="9"/>
      <c r="F43" s="21">
        <f ca="1">VLOOKUP($B$39,Drivers2!$T$58:$V$76,3,FALSE)*VLOOKUP($D43,Calibration2!$A$220:$U$224,21,0)</f>
        <v>0</v>
      </c>
      <c r="G43" s="21">
        <f ca="1">VLOOKUP($B$39,Driver22!$T$58:$V$76,3,FALSE)*VLOOKUP($D43,Calibrati22!$A$220:$U$224,21,0)</f>
        <v>0</v>
      </c>
      <c r="H43" s="62">
        <f t="shared" si="2"/>
        <v>0</v>
      </c>
      <c r="I43" s="9"/>
      <c r="J43" s="542"/>
      <c r="K43" s="9"/>
      <c r="L43" s="542"/>
      <c r="M43" s="9"/>
      <c r="N43" s="542"/>
      <c r="O43" s="542"/>
      <c r="P43" s="9"/>
      <c r="Q43" s="9"/>
      <c r="R43" s="9"/>
      <c r="S43" s="55"/>
      <c r="T43" s="55"/>
      <c r="U43" s="55"/>
      <c r="V43" s="49"/>
    </row>
    <row r="44" spans="1:22">
      <c r="A44" s="6"/>
      <c r="B44" s="9"/>
      <c r="C44" s="23"/>
      <c r="D44" s="9" t="s">
        <v>579</v>
      </c>
      <c r="E44" s="9"/>
      <c r="F44" s="21">
        <f ca="1">VLOOKUP($B$39,Drivers2!$T$58:$V$76,2,FALSE)*VLOOKUP($D44,Calibration2!$A$211:$U$215,21,0)</f>
        <v>0</v>
      </c>
      <c r="G44" s="21">
        <f ca="1">VLOOKUP($B$39,Driver22!$T$58:$V$76,2,FALSE)*VLOOKUP($D44,Calibrati22!$A$211:$U$215,21,0)</f>
        <v>0</v>
      </c>
      <c r="H44" s="62">
        <f t="shared" si="2"/>
        <v>0</v>
      </c>
      <c r="I44" s="9"/>
      <c r="J44" s="542"/>
      <c r="K44" s="9"/>
      <c r="L44" s="542"/>
      <c r="M44" s="9"/>
      <c r="N44" s="542"/>
      <c r="O44" s="542"/>
      <c r="P44" s="9"/>
      <c r="Q44" s="9"/>
      <c r="R44" s="9"/>
      <c r="S44" s="55"/>
      <c r="T44" s="55"/>
      <c r="U44" s="55"/>
      <c r="V44" s="49"/>
    </row>
    <row r="45" spans="1:22">
      <c r="A45" s="6"/>
      <c r="B45" s="9"/>
      <c r="C45" s="23"/>
      <c r="D45" s="23" t="s">
        <v>1517</v>
      </c>
      <c r="E45" s="9"/>
      <c r="F45" s="21"/>
      <c r="G45" s="21"/>
      <c r="H45" s="62"/>
      <c r="I45" s="62">
        <v>2.5000000000000001E-2</v>
      </c>
      <c r="J45" s="542"/>
      <c r="K45" s="9"/>
      <c r="L45" s="542"/>
      <c r="M45" s="9"/>
      <c r="N45" s="542"/>
      <c r="O45" s="542"/>
      <c r="P45" s="9"/>
      <c r="Q45" s="9"/>
      <c r="R45" s="9"/>
      <c r="S45" s="55"/>
      <c r="T45" s="55"/>
      <c r="U45" s="55"/>
      <c r="V45" s="178">
        <f>I45*56/100*1000*0.8</f>
        <v>11.200000000000003</v>
      </c>
    </row>
    <row r="46" spans="1:22" ht="13.5" thickBot="1">
      <c r="A46" s="6"/>
      <c r="B46" s="22"/>
      <c r="C46" s="24"/>
      <c r="D46" s="52" t="s">
        <v>1515</v>
      </c>
      <c r="E46" s="22" t="s">
        <v>409</v>
      </c>
      <c r="F46" s="28"/>
      <c r="G46" s="28"/>
      <c r="H46" s="541"/>
      <c r="I46" s="46">
        <v>1.5</v>
      </c>
      <c r="J46" s="545"/>
      <c r="K46" s="9"/>
      <c r="L46" s="545"/>
      <c r="M46" s="9"/>
      <c r="N46" s="545"/>
      <c r="O46" s="545"/>
      <c r="P46" s="22"/>
      <c r="Q46" s="22"/>
      <c r="R46" s="9"/>
      <c r="S46" s="55"/>
      <c r="T46" s="55"/>
      <c r="U46" s="55"/>
      <c r="V46" s="49"/>
    </row>
    <row r="47" spans="1:22">
      <c r="B47" s="516" t="s">
        <v>902</v>
      </c>
      <c r="C47" s="517" t="str">
        <f>E46</f>
        <v>IISFEA</v>
      </c>
      <c r="D47" s="517"/>
      <c r="E47" s="517"/>
      <c r="F47" s="580">
        <f>SUM(F39:F44)</f>
        <v>0</v>
      </c>
      <c r="G47" s="580">
        <f>SUM(G39:G44)</f>
        <v>0</v>
      </c>
      <c r="H47" s="580">
        <f ca="1">VLOOKUP($C47&amp;"000",Drivers2!$E$58:$H$79,4,FALSE)</f>
        <v>0</v>
      </c>
      <c r="I47" s="580">
        <f ca="1">VLOOKUP($C47&amp;"000",Driver22!$E$58:$H$79,4,FALSE)</f>
        <v>0</v>
      </c>
      <c r="J47" s="580"/>
      <c r="K47" s="580"/>
      <c r="L47" s="580">
        <f ca="1">F47/(H47+Tiny)</f>
        <v>0</v>
      </c>
      <c r="M47" s="580">
        <f ca="1">G47/(I47+Tiny)</f>
        <v>0</v>
      </c>
      <c r="N47" s="580"/>
      <c r="O47" s="517"/>
      <c r="P47" s="517"/>
      <c r="Q47" s="517" t="s">
        <v>784</v>
      </c>
      <c r="R47" s="517"/>
      <c r="S47" s="517"/>
      <c r="T47" s="517"/>
      <c r="U47" s="517"/>
      <c r="V47" s="517"/>
    </row>
    <row r="48" spans="1:22">
      <c r="B48" s="35" t="s">
        <v>1286</v>
      </c>
      <c r="C48" s="23" t="s">
        <v>1287</v>
      </c>
      <c r="D48" s="9" t="s">
        <v>646</v>
      </c>
      <c r="E48" s="9"/>
      <c r="F48" s="21">
        <f ca="1">VLOOKUP($B48,Calibration2!$B$172:$T$206,2,FALSE)</f>
        <v>2.8587503415082722E-2</v>
      </c>
      <c r="G48" s="21">
        <f ca="1">VLOOKUP($B48,Calibrati22!$B$172:$T$206,2,FALSE)</f>
        <v>7.9441699547904126E-3</v>
      </c>
      <c r="H48" s="62">
        <f>IF($H$55=0,0,F48/$H$55)</f>
        <v>0.28587503415082721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55"/>
      <c r="T48" s="363">
        <v>2017</v>
      </c>
      <c r="U48" s="55"/>
      <c r="V48" s="49"/>
    </row>
    <row r="49" spans="1:31">
      <c r="B49" s="9"/>
      <c r="C49" s="23"/>
      <c r="D49" s="9" t="s">
        <v>910</v>
      </c>
      <c r="E49" s="9"/>
      <c r="F49" s="21">
        <f ca="1">VLOOKUP($B$48,Calibration2!$B$172:$T$206,HLOOKUP($D49,Calibration2!$C$3:$T$4,2,FALSE),FALSE)</f>
        <v>0</v>
      </c>
      <c r="G49" s="21">
        <f ca="1">VLOOKUP($B$48,Calibrati22!$B$172:$T$206,HLOOKUP($D49,Calibrati22!$C$3:$T$4,2,FALSE),FALSE)</f>
        <v>0</v>
      </c>
      <c r="H49" s="62">
        <f>IF($H$55=0,0,F49/$H$55)</f>
        <v>0</v>
      </c>
      <c r="I49" s="9"/>
      <c r="J49" s="542"/>
      <c r="K49" s="9"/>
      <c r="L49" s="542"/>
      <c r="M49" s="9"/>
      <c r="N49" s="542"/>
      <c r="O49" s="542"/>
      <c r="P49" s="9"/>
      <c r="Q49" s="9"/>
      <c r="R49" s="9"/>
      <c r="S49" s="55"/>
      <c r="T49" s="363">
        <v>2017</v>
      </c>
      <c r="U49" s="55"/>
      <c r="V49" s="49"/>
    </row>
    <row r="50" spans="1:31">
      <c r="B50" s="9"/>
      <c r="C50" s="23"/>
      <c r="D50" s="9" t="s">
        <v>907</v>
      </c>
      <c r="E50" s="9"/>
      <c r="F50" s="21">
        <f ca="1">VLOOKUP($B$48,Calibration2!$B$172:$T$206,HLOOKUP($D50,Calibration2!$C$3:$T$4,2,FALSE),FALSE)</f>
        <v>2.1308463468197786E-2</v>
      </c>
      <c r="G50" s="21">
        <f ca="1">VLOOKUP($B$48,Calibrati22!$B$172:$T$206,HLOOKUP($D50,Calibrati22!$C$3:$T$4,2,FALSE),FALSE)</f>
        <v>4.9933000774040589E-3</v>
      </c>
      <c r="H50" s="62">
        <f>IF($H$55=0,0,F50/$H$55)</f>
        <v>0.21308463468197786</v>
      </c>
      <c r="I50" s="9"/>
      <c r="J50" s="542"/>
      <c r="K50" s="9"/>
      <c r="L50" s="542"/>
      <c r="M50" s="9"/>
      <c r="N50" s="542"/>
      <c r="O50" s="542"/>
      <c r="P50" s="9"/>
      <c r="Q50" s="9"/>
      <c r="R50" s="9"/>
      <c r="S50" s="55"/>
      <c r="T50" s="363">
        <v>2017</v>
      </c>
      <c r="U50" s="55"/>
      <c r="V50" s="49"/>
    </row>
    <row r="51" spans="1:31">
      <c r="B51" s="9"/>
      <c r="C51" s="23"/>
      <c r="D51" s="9" t="s">
        <v>577</v>
      </c>
      <c r="E51" s="9"/>
      <c r="F51" s="21">
        <f ca="1">VLOOKUP($B$48,Drivers2!$T$58:$V$76,3,FALSE)*VLOOKUP($D51,Calibration2!$A$220:$U$224,21,0)</f>
        <v>3.6549731866925457E-2</v>
      </c>
      <c r="G51" s="21">
        <f ca="1">VLOOKUP($B$48,Driver22!$T$58:$V$76,3,FALSE)*VLOOKUP($D51,Calibrati22!$A$220:$U$224,21,0)</f>
        <v>7.4599776020594782E-3</v>
      </c>
      <c r="H51" s="62">
        <f>IF($H$55=0,0,F51/$H$55)</f>
        <v>0.36549731866925456</v>
      </c>
      <c r="I51" s="9"/>
      <c r="J51" s="542"/>
      <c r="K51" s="9"/>
      <c r="L51" s="542"/>
      <c r="M51" s="9"/>
      <c r="N51" s="542"/>
      <c r="O51" s="542"/>
      <c r="P51" s="9"/>
      <c r="Q51" s="9"/>
      <c r="R51" s="9"/>
      <c r="S51" s="55"/>
      <c r="T51" s="363">
        <v>2017</v>
      </c>
      <c r="U51" s="55"/>
      <c r="V51" s="49"/>
    </row>
    <row r="52" spans="1:31">
      <c r="B52" s="9"/>
      <c r="C52" s="23"/>
      <c r="D52" s="9" t="s">
        <v>579</v>
      </c>
      <c r="E52" s="9"/>
      <c r="F52" s="21">
        <f ca="1">VLOOKUP($B$48,Drivers2!$T$58:$V$76,2,FALSE)*VLOOKUP($D52,Calibration2!$A$211:$U$215,21,0)</f>
        <v>3.9913828384080877E-2</v>
      </c>
      <c r="G52" s="21">
        <f ca="1">VLOOKUP($B$48,Driver22!$T$58:$V$76,2,FALSE)*VLOOKUP($D52,Calibrati22!$A$211:$U$215,21,0)</f>
        <v>1.3686994253398336E-2</v>
      </c>
      <c r="H52" s="62">
        <f>IF($H$55=0,0,F52/$H$55)</f>
        <v>0.39913828384080874</v>
      </c>
      <c r="I52" s="9"/>
      <c r="J52" s="542"/>
      <c r="K52" s="9"/>
      <c r="L52" s="542"/>
      <c r="M52" s="9"/>
      <c r="N52" s="542"/>
      <c r="O52" s="542"/>
      <c r="P52" s="9"/>
      <c r="Q52" s="9"/>
      <c r="R52" s="9"/>
      <c r="S52" s="55"/>
      <c r="T52" s="363">
        <v>2017</v>
      </c>
      <c r="U52" s="55"/>
      <c r="V52" s="49"/>
    </row>
    <row r="53" spans="1:31">
      <c r="B53" s="9"/>
      <c r="C53" s="23"/>
      <c r="D53" s="23" t="s">
        <v>395</v>
      </c>
      <c r="E53" s="9"/>
      <c r="F53" s="21"/>
      <c r="G53" s="21"/>
      <c r="H53" s="62">
        <v>1</v>
      </c>
      <c r="I53" s="9"/>
      <c r="J53" s="542"/>
      <c r="K53" s="9"/>
      <c r="L53" s="542"/>
      <c r="M53" s="9"/>
      <c r="N53" s="542"/>
      <c r="O53" s="542"/>
      <c r="P53" s="9"/>
      <c r="Q53" s="9"/>
      <c r="R53" s="9"/>
      <c r="S53" s="55"/>
      <c r="T53" s="55"/>
      <c r="U53" s="55"/>
      <c r="V53" s="49"/>
    </row>
    <row r="54" spans="1:31" ht="13.5" thickBot="1">
      <c r="B54" s="22"/>
      <c r="C54" s="24"/>
      <c r="D54" s="22"/>
      <c r="E54" s="22" t="s">
        <v>1285</v>
      </c>
      <c r="F54" s="28"/>
      <c r="G54" s="28"/>
      <c r="H54" s="541"/>
      <c r="I54" s="9"/>
      <c r="J54" s="545"/>
      <c r="K54" s="545"/>
      <c r="L54" s="545"/>
      <c r="M54" s="545"/>
      <c r="N54" s="545"/>
      <c r="O54" s="545"/>
      <c r="P54" s="545"/>
      <c r="Q54" s="545"/>
      <c r="R54" s="545"/>
      <c r="S54" s="55"/>
      <c r="T54" s="55"/>
      <c r="U54" s="55"/>
      <c r="V54" s="49"/>
    </row>
    <row r="55" spans="1:31">
      <c r="B55" s="516" t="s">
        <v>902</v>
      </c>
      <c r="C55" s="517" t="str">
        <f>E54</f>
        <v>IISOTH</v>
      </c>
      <c r="D55" s="517"/>
      <c r="E55" s="517"/>
      <c r="F55" s="580">
        <f>SUM(F48:F53)</f>
        <v>0.12635952713428683</v>
      </c>
      <c r="G55" s="580">
        <f>SUM(G48:G53)</f>
        <v>3.4084441887652285E-2</v>
      </c>
      <c r="H55" s="580">
        <f>MAX(0.1,SUMIF($B$6:$B$38,"~*",H$6:H$38))</f>
        <v>0.1</v>
      </c>
      <c r="I55" s="580">
        <f>MAX(0.1,SUMIF($B$6:$B$38,"~*",I$6:I$38))</f>
        <v>0.1</v>
      </c>
      <c r="J55" s="580"/>
      <c r="K55" s="580"/>
      <c r="L55" s="580">
        <f ca="1">F55/(H55+Tiny)</f>
        <v>1.2635952587069157</v>
      </c>
      <c r="M55" s="580">
        <f ca="1">G55/(I55+Tiny)</f>
        <v>0.3408444154680787</v>
      </c>
      <c r="N55" s="517"/>
      <c r="O55" s="517"/>
      <c r="P55" s="517"/>
      <c r="Q55" s="517" t="s">
        <v>784</v>
      </c>
      <c r="R55" s="517"/>
      <c r="S55" s="517"/>
      <c r="T55" s="517"/>
      <c r="U55" s="517"/>
      <c r="V55" s="517"/>
    </row>
    <row r="56" spans="1:31" ht="25.5">
      <c r="B56" s="484" t="s">
        <v>384</v>
      </c>
      <c r="C56" s="326" t="s">
        <v>397</v>
      </c>
      <c r="D56" s="169" t="s">
        <v>1245</v>
      </c>
      <c r="E56" s="169"/>
      <c r="F56" s="485">
        <f>SUMIF($D$6:$D$55,$E57,F$6:F$55)</f>
        <v>2.8587503415082722E-2</v>
      </c>
      <c r="G56" s="485">
        <f>SUMIF($D$6:$D$55,$E57,G$6:G$55)</f>
        <v>7.9441699547904126E-3</v>
      </c>
      <c r="H56" s="485">
        <v>1</v>
      </c>
      <c r="I56" s="485">
        <v>1</v>
      </c>
      <c r="J56" s="486"/>
      <c r="K56" s="486"/>
      <c r="L56" s="486"/>
      <c r="M56" s="486"/>
      <c r="N56" s="486"/>
      <c r="O56" s="487">
        <v>1</v>
      </c>
      <c r="P56" s="487">
        <v>1</v>
      </c>
      <c r="Q56" s="491">
        <v>30</v>
      </c>
      <c r="R56" s="491">
        <v>100</v>
      </c>
      <c r="S56" s="486"/>
      <c r="T56" s="486"/>
      <c r="U56" s="486"/>
      <c r="V56" s="486"/>
    </row>
    <row r="57" spans="1:31" ht="13.5" thickBot="1">
      <c r="B57" s="22"/>
      <c r="C57" s="24"/>
      <c r="D57" s="22"/>
      <c r="E57" s="22" t="s">
        <v>646</v>
      </c>
      <c r="F57" s="28"/>
      <c r="G57" s="28"/>
      <c r="H57" s="28"/>
      <c r="I57" s="28"/>
      <c r="J57" s="488"/>
      <c r="K57" s="488"/>
      <c r="L57" s="488"/>
      <c r="M57" s="488"/>
      <c r="N57" s="488"/>
      <c r="O57" s="489"/>
      <c r="P57" s="489"/>
      <c r="Q57" s="489"/>
      <c r="R57" s="489"/>
      <c r="S57" s="488"/>
      <c r="T57" s="488"/>
      <c r="U57" s="488"/>
      <c r="V57" s="488"/>
    </row>
    <row r="58" spans="1:31" ht="18">
      <c r="A58" s="8"/>
      <c r="E58" s="216"/>
    </row>
    <row r="59" spans="1:31" ht="18">
      <c r="A59" s="8"/>
      <c r="B59" s="10"/>
      <c r="C59" s="11"/>
      <c r="E59" s="216"/>
    </row>
    <row r="60" spans="1:31" ht="18">
      <c r="B60" s="86" t="s">
        <v>90</v>
      </c>
      <c r="C60" s="88"/>
      <c r="D60" s="88"/>
      <c r="E60" s="230"/>
      <c r="F60" s="34" t="s">
        <v>784</v>
      </c>
      <c r="H60" s="225" t="str">
        <f>"~FI_T: "&amp;Region</f>
        <v>~FI_T: FIM</v>
      </c>
      <c r="J60" s="34" t="s">
        <v>784</v>
      </c>
      <c r="K60" s="34"/>
      <c r="Z60" s="1"/>
      <c r="AA60" s="1"/>
      <c r="AB60" s="1"/>
      <c r="AC60" s="1"/>
      <c r="AD60" s="1"/>
      <c r="AE60" s="1"/>
    </row>
    <row r="61" spans="1:31" ht="39" thickBot="1">
      <c r="B61" s="45" t="s">
        <v>649</v>
      </c>
      <c r="C61" s="45" t="s">
        <v>650</v>
      </c>
      <c r="D61" s="45" t="s">
        <v>648</v>
      </c>
      <c r="E61" s="45" t="s">
        <v>189</v>
      </c>
      <c r="F61" s="45" t="s">
        <v>651</v>
      </c>
      <c r="G61" s="45" t="s">
        <v>724</v>
      </c>
      <c r="H61" s="346" t="s">
        <v>1443</v>
      </c>
      <c r="I61" s="356" t="s">
        <v>190</v>
      </c>
      <c r="J61" s="355">
        <f ca="1">BaseYear</f>
        <v>2010</v>
      </c>
      <c r="K61" s="45">
        <f ca="1">AuxYear</f>
        <v>2017</v>
      </c>
      <c r="L61" s="45">
        <v>2020</v>
      </c>
      <c r="M61" s="45">
        <v>2030</v>
      </c>
      <c r="N61" s="45">
        <v>2040</v>
      </c>
      <c r="O61" s="45">
        <v>2050</v>
      </c>
      <c r="P61" s="354">
        <v>2100</v>
      </c>
      <c r="Q61" s="45" t="s">
        <v>1342</v>
      </c>
      <c r="R61" s="45" t="str">
        <f ca="1">"VDA_FLOP~MATI~"&amp;AuxYear</f>
        <v>VDA_FLOP~MATI~2017</v>
      </c>
      <c r="S61" s="45" t="s">
        <v>848</v>
      </c>
      <c r="T61" s="45" t="s">
        <v>556</v>
      </c>
      <c r="U61" s="45" t="str">
        <f>CONCATENATE("\I:","Base share")</f>
        <v>\I:Base share</v>
      </c>
      <c r="V61" s="45" t="str">
        <f>CONCATENATE("\I:","Base share")</f>
        <v>\I:Base share</v>
      </c>
    </row>
    <row r="62" spans="1:31">
      <c r="B62" s="35" t="s">
        <v>569</v>
      </c>
      <c r="C62" s="23" t="s">
        <v>290</v>
      </c>
      <c r="D62" s="52" t="s">
        <v>213</v>
      </c>
      <c r="E62" s="52"/>
      <c r="F62" s="9"/>
      <c r="G62" s="304" t="s">
        <v>147</v>
      </c>
      <c r="H62" s="9" t="s">
        <v>1444</v>
      </c>
      <c r="I62" s="373">
        <v>3</v>
      </c>
      <c r="J62" s="351">
        <f t="shared" ref="J62:K64" si="3">U62+0.002</f>
        <v>1.002</v>
      </c>
      <c r="K62" s="54">
        <f t="shared" si="3"/>
        <v>1.002</v>
      </c>
      <c r="L62" s="54">
        <f>(K62+1)/2</f>
        <v>1.0009999999999999</v>
      </c>
      <c r="M62" s="54"/>
      <c r="N62" s="54">
        <v>1</v>
      </c>
      <c r="O62" s="54">
        <v>1</v>
      </c>
      <c r="P62" s="347"/>
      <c r="Q62" s="31">
        <f>J38/H$55</f>
        <v>0</v>
      </c>
      <c r="R62" s="31">
        <f>K38/I$55</f>
        <v>0</v>
      </c>
      <c r="S62" s="31">
        <v>1</v>
      </c>
      <c r="T62" s="31">
        <v>5</v>
      </c>
      <c r="U62" s="31">
        <f t="shared" ref="U62:V64" si="4">IF(J$38,SUMIF($C$5:$C$38,$D62,H$5:H$38)/J$38,1)</f>
        <v>1</v>
      </c>
      <c r="V62" s="31">
        <f t="shared" si="4"/>
        <v>1</v>
      </c>
    </row>
    <row r="63" spans="1:31">
      <c r="B63" s="9"/>
      <c r="C63" s="23"/>
      <c r="D63" s="52" t="s">
        <v>367</v>
      </c>
      <c r="E63" s="52"/>
      <c r="F63" s="9"/>
      <c r="G63" s="304" t="s">
        <v>147</v>
      </c>
      <c r="H63" s="9" t="s">
        <v>1444</v>
      </c>
      <c r="I63" s="374">
        <v>3</v>
      </c>
      <c r="J63" s="352">
        <f t="shared" si="3"/>
        <v>1.002</v>
      </c>
      <c r="K63" s="55">
        <f t="shared" si="3"/>
        <v>1.002</v>
      </c>
      <c r="L63" s="55"/>
      <c r="M63" s="55">
        <f>MAX(MIN(0.35,U63+0.1),0.25,J63)</f>
        <v>1.002</v>
      </c>
      <c r="N63" s="55"/>
      <c r="O63" s="55">
        <f>MAX(J63+0.15,0.33)</f>
        <v>1.1519999999999999</v>
      </c>
      <c r="P63" s="348"/>
      <c r="Q63" s="31"/>
      <c r="R63" s="31"/>
      <c r="S63" s="31"/>
      <c r="T63" s="31"/>
      <c r="U63" s="31">
        <f t="shared" si="4"/>
        <v>1</v>
      </c>
      <c r="V63" s="31">
        <f t="shared" si="4"/>
        <v>1</v>
      </c>
    </row>
    <row r="64" spans="1:31">
      <c r="B64" s="9"/>
      <c r="C64" s="23"/>
      <c r="D64" s="52" t="s">
        <v>365</v>
      </c>
      <c r="E64" s="52"/>
      <c r="F64" s="9"/>
      <c r="G64" s="304" t="s">
        <v>147</v>
      </c>
      <c r="H64" s="9" t="s">
        <v>1444</v>
      </c>
      <c r="I64" s="374">
        <v>3</v>
      </c>
      <c r="J64" s="352">
        <f t="shared" si="3"/>
        <v>1.002</v>
      </c>
      <c r="K64" s="55">
        <f t="shared" si="3"/>
        <v>1.002</v>
      </c>
      <c r="L64" s="55"/>
      <c r="M64" s="55"/>
      <c r="N64" s="55"/>
      <c r="O64" s="55">
        <f>MAX(J64,0.6)</f>
        <v>1.002</v>
      </c>
      <c r="P64" s="348">
        <f>MAX(O64,0.7)</f>
        <v>1.002</v>
      </c>
      <c r="Q64" s="31"/>
      <c r="R64" s="31"/>
      <c r="S64" s="31"/>
      <c r="T64" s="31"/>
      <c r="U64" s="31">
        <f t="shared" si="4"/>
        <v>1</v>
      </c>
      <c r="V64" s="31">
        <f t="shared" si="4"/>
        <v>1</v>
      </c>
    </row>
    <row r="65" spans="1:22">
      <c r="B65" s="9"/>
      <c r="C65" s="23"/>
      <c r="D65" s="52"/>
      <c r="E65" s="52" t="s">
        <v>409</v>
      </c>
      <c r="F65" s="9"/>
      <c r="G65" s="9"/>
      <c r="H65" s="9" t="s">
        <v>388</v>
      </c>
      <c r="I65" s="374"/>
      <c r="J65" s="352">
        <f ca="1">Drivers2!$H$61/H$55</f>
        <v>0</v>
      </c>
      <c r="K65" s="55">
        <f ca="1">Driver22!$H$61/I$55</f>
        <v>0</v>
      </c>
      <c r="L65" s="55"/>
      <c r="M65" s="55">
        <f>$J65+MIN(0.2,4*$J65)*(1-0.99^(M$61-$J$61))</f>
        <v>0</v>
      </c>
      <c r="N65" s="55"/>
      <c r="O65" s="55">
        <f>$J65+MIN(0.2,4*$J65)*(1-0.99^(O$61-$J$61))</f>
        <v>0</v>
      </c>
      <c r="P65" s="348">
        <f>$J65+MIN(0.2,4*$J65)*(1-0.99^(P$61-$J$61))</f>
        <v>0</v>
      </c>
      <c r="Q65" s="31"/>
      <c r="R65" s="31"/>
      <c r="S65" s="31"/>
      <c r="T65" s="31"/>
      <c r="U65" s="31"/>
      <c r="V65" s="31"/>
    </row>
    <row r="66" spans="1:22">
      <c r="B66" s="9"/>
      <c r="C66" s="23"/>
      <c r="D66" s="52"/>
      <c r="E66" s="52" t="s">
        <v>1283</v>
      </c>
      <c r="F66" s="9"/>
      <c r="G66" s="9"/>
      <c r="H66" s="9" t="s">
        <v>388</v>
      </c>
      <c r="I66" s="374">
        <v>15</v>
      </c>
      <c r="J66" s="55">
        <f>J36*H38/IF(J$38,J$38,1)*0.99</f>
        <v>0</v>
      </c>
      <c r="K66" s="55">
        <f>K36*I38/IF(K$38,K$38,1)*0.99</f>
        <v>0</v>
      </c>
      <c r="L66" s="55"/>
      <c r="M66" s="55"/>
      <c r="N66" s="55"/>
      <c r="O66" s="55"/>
      <c r="P66" s="348"/>
      <c r="Q66" s="31"/>
      <c r="R66" s="31"/>
      <c r="S66" s="31"/>
      <c r="T66" s="31"/>
      <c r="U66" s="31"/>
      <c r="V66" s="31"/>
    </row>
    <row r="67" spans="1:22">
      <c r="B67" s="9"/>
      <c r="C67" s="23"/>
      <c r="D67" s="52"/>
      <c r="E67" s="52" t="s">
        <v>1285</v>
      </c>
      <c r="F67" s="9"/>
      <c r="G67" s="9"/>
      <c r="H67" s="9" t="s">
        <v>388</v>
      </c>
      <c r="I67" s="374"/>
      <c r="J67" s="352">
        <v>1</v>
      </c>
      <c r="K67" s="55"/>
      <c r="L67" s="55"/>
      <c r="M67" s="55"/>
      <c r="N67" s="55"/>
      <c r="O67" s="55"/>
      <c r="P67" s="348"/>
      <c r="Q67" s="31"/>
      <c r="R67" s="31"/>
      <c r="S67" s="31"/>
      <c r="T67" s="31"/>
      <c r="U67" s="31"/>
      <c r="V67" s="31"/>
    </row>
    <row r="68" spans="1:22" ht="13.5" thickBot="1">
      <c r="A68" s="6"/>
      <c r="B68" s="22"/>
      <c r="C68" s="24"/>
      <c r="D68" s="22"/>
      <c r="E68" s="22"/>
      <c r="F68" s="22" t="s">
        <v>568</v>
      </c>
      <c r="G68" s="22"/>
      <c r="H68" s="22"/>
      <c r="I68" s="350"/>
      <c r="J68" s="353"/>
      <c r="K68" s="29"/>
      <c r="L68" s="29"/>
      <c r="M68" s="29"/>
      <c r="N68" s="29"/>
      <c r="O68" s="29"/>
      <c r="P68" s="349"/>
      <c r="Q68" s="29"/>
      <c r="R68" s="29"/>
      <c r="S68" s="29"/>
      <c r="T68" s="29"/>
      <c r="U68" s="29"/>
      <c r="V68" s="29"/>
    </row>
    <row r="69" spans="1:22">
      <c r="B69" s="192" t="s">
        <v>902</v>
      </c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9">
        <f>SUM(U62:U64)</f>
        <v>3</v>
      </c>
      <c r="V69" s="199">
        <f>SUM(V62:V64)</f>
        <v>3</v>
      </c>
    </row>
    <row r="72" spans="1:22">
      <c r="D72" s="216"/>
    </row>
    <row r="73" spans="1:22" ht="18">
      <c r="B73" s="124" t="s">
        <v>89</v>
      </c>
      <c r="C73" s="125"/>
      <c r="D73" s="225"/>
      <c r="M73" s="2"/>
      <c r="N73" s="2"/>
      <c r="O73" s="2"/>
    </row>
    <row r="74" spans="1:22" ht="27.75" customHeight="1" thickBot="1">
      <c r="B74" s="25" t="s">
        <v>772</v>
      </c>
      <c r="C74" s="25" t="s">
        <v>773</v>
      </c>
      <c r="D74" s="25" t="s">
        <v>778</v>
      </c>
      <c r="E74" s="25" t="s">
        <v>1083</v>
      </c>
      <c r="F74" s="25" t="str">
        <f ca="1">"DEMAND~"&amp;AuxYear</f>
        <v>DEMAND~2017</v>
      </c>
      <c r="G74" s="25"/>
      <c r="H74" s="25"/>
      <c r="M74" s="2"/>
      <c r="N74" s="2"/>
      <c r="O74" s="2"/>
      <c r="P74" s="25"/>
      <c r="Q74" s="25">
        <f ca="1">BaseYear</f>
        <v>2010</v>
      </c>
      <c r="R74" s="25">
        <f ca="1">AuxYear</f>
        <v>2017</v>
      </c>
    </row>
    <row r="75" spans="1:22">
      <c r="B75" s="27" t="s">
        <v>568</v>
      </c>
      <c r="C75" s="27" t="s">
        <v>559</v>
      </c>
      <c r="D75" s="483" t="s">
        <v>976</v>
      </c>
      <c r="E75" s="338">
        <f>H$55</f>
        <v>0.1</v>
      </c>
      <c r="F75" s="338">
        <f>I$55</f>
        <v>0.1</v>
      </c>
      <c r="G75" s="12"/>
      <c r="H75" s="12"/>
      <c r="M75" s="2"/>
      <c r="N75" s="2"/>
      <c r="O75" s="2"/>
      <c r="P75" s="782" t="s">
        <v>456</v>
      </c>
      <c r="Q75" s="782">
        <f>H20*H17</f>
        <v>0</v>
      </c>
      <c r="R75" s="782">
        <f>I20*I17</f>
        <v>0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5"/>
  <dimension ref="A1:AD76"/>
  <sheetViews>
    <sheetView zoomScale="75" workbookViewId="0">
      <selection activeCell="P5" sqref="P5"/>
    </sheetView>
  </sheetViews>
  <sheetFormatPr defaultColWidth="8.85546875" defaultRowHeight="12.75"/>
  <cols>
    <col min="1" max="1" width="8.85546875" customWidth="1"/>
    <col min="2" max="2" width="19.7109375" customWidth="1"/>
    <col min="3" max="3" width="24.28515625" customWidth="1"/>
    <col min="4" max="4" width="10.7109375" customWidth="1"/>
  </cols>
  <sheetData>
    <row r="1" spans="1:18" ht="18">
      <c r="A1" s="5" t="s">
        <v>878</v>
      </c>
    </row>
    <row r="2" spans="1:18" ht="18">
      <c r="A2" s="8"/>
      <c r="E2" s="216"/>
    </row>
    <row r="3" spans="1:18" ht="18">
      <c r="A3" s="8"/>
      <c r="B3" s="10"/>
      <c r="C3" s="11"/>
      <c r="E3" s="216"/>
    </row>
    <row r="4" spans="1:18" ht="18">
      <c r="B4" s="86" t="s">
        <v>90</v>
      </c>
      <c r="C4" s="88"/>
      <c r="D4" s="88"/>
      <c r="E4" s="225" t="str">
        <f>"~FI_T: "&amp;Region</f>
        <v>~FI_T: FIM</v>
      </c>
      <c r="F4" s="34"/>
      <c r="G4" s="34"/>
      <c r="R4" s="1"/>
    </row>
    <row r="5" spans="1:18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 ca="1">CONCATENATE("\I:",IEAData2!$D$2," service demand")</f>
        <v>\I:2010 service demand</v>
      </c>
      <c r="G5" s="64" t="str">
        <f ca="1">CONCATENATE("\I:",AuxData2!$D$2," service demand")</f>
        <v>\I:2017 service demand</v>
      </c>
      <c r="H5" s="45" t="s">
        <v>388</v>
      </c>
      <c r="I5" s="45" t="str">
        <f ca="1">"INPUT~"&amp;AuxYear</f>
        <v>INPUT~2017</v>
      </c>
      <c r="J5" s="45" t="str">
        <f ca="1">"RESID~"&amp;BaseYear</f>
        <v>RESID~2010</v>
      </c>
      <c r="K5" s="45" t="str">
        <f ca="1">"RESID~"&amp;AuxYear</f>
        <v>RESID~2017</v>
      </c>
      <c r="L5" s="45" t="str">
        <f ca="1">"RESID~"&amp;CEILING(AuxYear+24,5)</f>
        <v>RESID~2045</v>
      </c>
      <c r="M5" s="45" t="s">
        <v>848</v>
      </c>
      <c r="N5" s="64" t="s">
        <v>872</v>
      </c>
      <c r="O5" s="64" t="s">
        <v>556</v>
      </c>
      <c r="P5" s="45" t="s">
        <v>1507</v>
      </c>
      <c r="Q5" s="45" t="s">
        <v>526</v>
      </c>
      <c r="R5" s="45" t="s">
        <v>108</v>
      </c>
    </row>
    <row r="6" spans="1:18">
      <c r="B6" s="35" t="s">
        <v>259</v>
      </c>
      <c r="C6" s="23" t="s">
        <v>287</v>
      </c>
      <c r="D6" s="9" t="s">
        <v>864</v>
      </c>
      <c r="E6" s="9"/>
      <c r="F6" s="21">
        <f ca="1">VLOOKUP($B6,Calibration2!$B$172:$T$206,2,FALSE)</f>
        <v>0</v>
      </c>
      <c r="G6" s="21">
        <f ca="1">VLOOKUP($B6,Calibrati22!$B$172:$T$206,2,FALSE)</f>
        <v>0</v>
      </c>
      <c r="H6" s="62">
        <f>IF(H$15=0,0,F6/H$15)</f>
        <v>0</v>
      </c>
      <c r="I6" s="62">
        <f>IF(I$15=0,0,G6/I$15)</f>
        <v>0</v>
      </c>
      <c r="J6" s="542">
        <f>H15</f>
        <v>0</v>
      </c>
      <c r="K6" s="542">
        <f>I15</f>
        <v>0</v>
      </c>
      <c r="L6" s="542">
        <v>0</v>
      </c>
      <c r="M6" s="17">
        <v>1</v>
      </c>
      <c r="N6" s="12">
        <v>1</v>
      </c>
      <c r="O6" s="12">
        <v>30</v>
      </c>
      <c r="P6" s="9"/>
      <c r="Q6" s="31"/>
      <c r="R6" s="31"/>
    </row>
    <row r="7" spans="1:18">
      <c r="B7" s="9"/>
      <c r="C7" s="23"/>
      <c r="D7" s="9" t="s">
        <v>906</v>
      </c>
      <c r="E7" s="9"/>
      <c r="F7" s="21">
        <f ca="1">VLOOKUP($B$6,Calibration2!$B$172:$T$206,HLOOKUP($D7,Calibration2!$C$3:$T$4,2,FALSE),FALSE)</f>
        <v>0</v>
      </c>
      <c r="G7" s="21">
        <f ca="1">VLOOKUP($B$6,Calibrati22!$B$172:$T$206,HLOOKUP($D7,Calibrati22!$C$3:$T$4,2,FALSE),FALSE)</f>
        <v>0</v>
      </c>
      <c r="H7" s="62">
        <f t="shared" ref="H7:H12" si="0">IF($H$15=0,0,F7/$H$15)</f>
        <v>0</v>
      </c>
      <c r="I7" s="62">
        <f t="shared" ref="I7:I12" si="1">IF(I$15=0,0,G7/I$15)</f>
        <v>0</v>
      </c>
      <c r="J7" s="542"/>
      <c r="K7" s="9"/>
      <c r="L7" s="542"/>
      <c r="M7" s="542"/>
      <c r="N7" s="9"/>
      <c r="O7" s="9"/>
      <c r="P7" s="9"/>
      <c r="Q7" s="31"/>
      <c r="R7" s="31"/>
    </row>
    <row r="8" spans="1:18">
      <c r="B8" s="9"/>
      <c r="C8" s="23"/>
      <c r="D8" s="9" t="s">
        <v>909</v>
      </c>
      <c r="E8" s="9"/>
      <c r="F8" s="21">
        <f ca="1">VLOOKUP($B$6,Calibration2!$B$172:$T$206,HLOOKUP($D8,Calibration2!$C$3:$T$4,2,FALSE),FALSE)</f>
        <v>0</v>
      </c>
      <c r="G8" s="21">
        <f ca="1">VLOOKUP($B$6,Calibrati22!$B$172:$T$206,HLOOKUP($D8,Calibrati22!$C$3:$T$4,2,FALSE),FALSE)</f>
        <v>0</v>
      </c>
      <c r="H8" s="62">
        <f t="shared" si="0"/>
        <v>0</v>
      </c>
      <c r="I8" s="62">
        <f t="shared" si="1"/>
        <v>0</v>
      </c>
      <c r="J8" s="542"/>
      <c r="K8" s="9"/>
      <c r="L8" s="542"/>
      <c r="M8" s="542"/>
      <c r="N8" s="9"/>
      <c r="O8" s="9"/>
      <c r="P8" s="9"/>
      <c r="Q8" s="31"/>
      <c r="R8" s="427">
        <v>3</v>
      </c>
    </row>
    <row r="9" spans="1:18">
      <c r="B9" s="9"/>
      <c r="C9" s="23"/>
      <c r="D9" s="9" t="s">
        <v>910</v>
      </c>
      <c r="E9" s="9"/>
      <c r="F9" s="21">
        <f ca="1">VLOOKUP($B$6,Calibration2!$B$172:$T$206,HLOOKUP($D9,Calibration2!$C$3:$T$4,2,FALSE),FALSE)</f>
        <v>0</v>
      </c>
      <c r="G9" s="21">
        <f ca="1">VLOOKUP($B$6,Calibrati22!$B$172:$T$206,HLOOKUP($D9,Calibrati22!$C$3:$T$4,2,FALSE),FALSE)</f>
        <v>0</v>
      </c>
      <c r="H9" s="62">
        <f t="shared" si="0"/>
        <v>0</v>
      </c>
      <c r="I9" s="62">
        <f t="shared" si="1"/>
        <v>0</v>
      </c>
      <c r="J9" s="542"/>
      <c r="K9" s="9"/>
      <c r="L9" s="542"/>
      <c r="M9" s="542"/>
      <c r="N9" s="9"/>
      <c r="O9" s="9"/>
      <c r="P9" s="9"/>
      <c r="Q9" s="31"/>
      <c r="R9" s="427">
        <v>3</v>
      </c>
    </row>
    <row r="10" spans="1:18">
      <c r="B10" s="9"/>
      <c r="C10" s="23"/>
      <c r="D10" s="9" t="s">
        <v>913</v>
      </c>
      <c r="E10" s="9"/>
      <c r="F10" s="21">
        <f ca="1">VLOOKUP($B$6,Calibration2!$B$172:$T$206,HLOOKUP($D10,Calibration2!$C$3:$T$4,2,FALSE),FALSE)</f>
        <v>0</v>
      </c>
      <c r="G10" s="21">
        <f ca="1">VLOOKUP($B$6,Calibrati22!$B$172:$T$206,HLOOKUP($D10,Calibrati22!$C$3:$T$4,2,FALSE),FALSE)</f>
        <v>0</v>
      </c>
      <c r="H10" s="62">
        <f t="shared" si="0"/>
        <v>0</v>
      </c>
      <c r="I10" s="62">
        <f t="shared" si="1"/>
        <v>0</v>
      </c>
      <c r="J10" s="542"/>
      <c r="K10" s="9"/>
      <c r="L10" s="542"/>
      <c r="M10" s="542"/>
      <c r="N10" s="9"/>
      <c r="O10" s="9"/>
      <c r="P10" s="9"/>
      <c r="Q10" s="31"/>
      <c r="R10" s="427">
        <v>3</v>
      </c>
    </row>
    <row r="11" spans="1:18">
      <c r="B11" s="9"/>
      <c r="C11" s="23"/>
      <c r="D11" s="9" t="s">
        <v>859</v>
      </c>
      <c r="E11" s="9"/>
      <c r="F11" s="21">
        <f ca="1">VLOOKUP($B$6,Drivers2!$T$58:$V$76,3,FALSE)*VLOOKUP($D11,Calibration2!$A$220:$U$224,21,0)</f>
        <v>0</v>
      </c>
      <c r="G11" s="21">
        <f ca="1">VLOOKUP($B$6,Driver22!$T$58:$V$76,3,FALSE)*VLOOKUP($D11,Calibrati22!$A$220:$U$224,21,0)</f>
        <v>0</v>
      </c>
      <c r="H11" s="62">
        <f t="shared" si="0"/>
        <v>0</v>
      </c>
      <c r="I11" s="62">
        <f t="shared" si="1"/>
        <v>0</v>
      </c>
      <c r="J11" s="542"/>
      <c r="K11" s="9"/>
      <c r="L11" s="542"/>
      <c r="M11" s="542"/>
      <c r="N11" s="9"/>
      <c r="O11" s="9"/>
      <c r="P11" s="9"/>
      <c r="Q11" s="31"/>
      <c r="R11" s="31"/>
    </row>
    <row r="12" spans="1:18">
      <c r="B12" s="9"/>
      <c r="C12" s="23"/>
      <c r="D12" s="9" t="s">
        <v>862</v>
      </c>
      <c r="E12" s="9"/>
      <c r="F12" s="21">
        <f ca="1">VLOOKUP($B$6,Drivers2!$T$58:$V$76,2,FALSE)*VLOOKUP($D12,Calibration2!$A$211:$U$215,21,0)</f>
        <v>0</v>
      </c>
      <c r="G12" s="21">
        <f ca="1">VLOOKUP($B$6,Driver22!$T$58:$V$76,2,FALSE)*VLOOKUP($D12,Calibrati22!$A$211:$U$215,21,0)</f>
        <v>0</v>
      </c>
      <c r="H12" s="62">
        <f t="shared" si="0"/>
        <v>0</v>
      </c>
      <c r="I12" s="62">
        <f t="shared" si="1"/>
        <v>0</v>
      </c>
      <c r="J12" s="542"/>
      <c r="K12" s="9"/>
      <c r="L12" s="542"/>
      <c r="M12" s="542"/>
      <c r="N12" s="9"/>
      <c r="O12" s="9"/>
      <c r="P12" s="9"/>
      <c r="Q12" s="31"/>
      <c r="R12" s="31"/>
    </row>
    <row r="13" spans="1:18">
      <c r="B13" s="9"/>
      <c r="C13" s="23"/>
      <c r="D13" s="23" t="s">
        <v>395</v>
      </c>
      <c r="E13" s="9"/>
      <c r="F13" s="21"/>
      <c r="G13" s="21"/>
      <c r="H13" s="62">
        <v>1</v>
      </c>
      <c r="I13" s="62"/>
      <c r="J13" s="542"/>
      <c r="K13" s="9"/>
      <c r="L13" s="542"/>
      <c r="M13" s="542"/>
      <c r="N13" s="9"/>
      <c r="O13" s="9"/>
      <c r="P13" s="9"/>
      <c r="Q13" s="31"/>
      <c r="R13" s="31"/>
    </row>
    <row r="14" spans="1:18" ht="13.5" thickBot="1">
      <c r="A14" s="6"/>
      <c r="B14" s="22"/>
      <c r="C14" s="24"/>
      <c r="D14" s="22"/>
      <c r="E14" s="22" t="s">
        <v>221</v>
      </c>
      <c r="F14" s="28"/>
      <c r="G14" s="28"/>
      <c r="H14" s="541"/>
      <c r="I14" s="9"/>
      <c r="J14" s="545"/>
      <c r="K14" s="9"/>
      <c r="L14" s="545"/>
      <c r="M14" s="545"/>
      <c r="N14" s="22"/>
      <c r="O14" s="22"/>
      <c r="P14" s="9"/>
      <c r="Q14" s="29"/>
      <c r="R14" s="29"/>
    </row>
    <row r="15" spans="1:18">
      <c r="B15" s="516" t="s">
        <v>1380</v>
      </c>
      <c r="C15" s="517" t="s">
        <v>221</v>
      </c>
      <c r="D15" s="517"/>
      <c r="E15" s="517"/>
      <c r="F15" s="581">
        <f>SUM(F6:F14)</f>
        <v>0</v>
      </c>
      <c r="G15" s="581">
        <f>SUM(G6:G14)</f>
        <v>0</v>
      </c>
      <c r="H15" s="581">
        <f ca="1">VLOOKUP($C15&amp;"000",Drivers2!$E$58:$H$79,4,FALSE)</f>
        <v>0</v>
      </c>
      <c r="I15" s="581">
        <f ca="1">VLOOKUP($C15&amp;"000",Driver22!$E$58:$H$79,4,FALSE)</f>
        <v>0</v>
      </c>
      <c r="J15" s="581">
        <f ca="1">F15/(H15+Tiny)</f>
        <v>0</v>
      </c>
      <c r="K15" s="581">
        <f ca="1">G15/(I15+Tiny)</f>
        <v>0</v>
      </c>
      <c r="L15" s="518"/>
      <c r="M15" s="518"/>
      <c r="N15" s="517"/>
      <c r="O15" s="517" t="s">
        <v>784</v>
      </c>
      <c r="P15" s="517" t="s">
        <v>784</v>
      </c>
      <c r="Q15" s="517" t="s">
        <v>784</v>
      </c>
      <c r="R15" s="517" t="s">
        <v>784</v>
      </c>
    </row>
    <row r="16" spans="1:18">
      <c r="B16" s="35" t="s">
        <v>370</v>
      </c>
      <c r="C16" s="23" t="s">
        <v>288</v>
      </c>
      <c r="D16" s="9" t="s">
        <v>864</v>
      </c>
      <c r="E16" s="9"/>
      <c r="F16" s="21">
        <f ca="1">VLOOKUP($B16,Calibration2!$B$172:$T$206,2,FALSE)</f>
        <v>0</v>
      </c>
      <c r="G16" s="21">
        <f ca="1">VLOOKUP($B16,Calibrati22!$B$172:$T$206,2,FALSE)</f>
        <v>0</v>
      </c>
      <c r="H16" s="62">
        <f>IF(H$25=0,0,F16/H$25)</f>
        <v>0</v>
      </c>
      <c r="I16" s="62">
        <f>IF(I$25=0,0,G16/I$25)</f>
        <v>0</v>
      </c>
      <c r="J16" s="542">
        <f>H25</f>
        <v>0</v>
      </c>
      <c r="K16" s="542">
        <f>I25</f>
        <v>0</v>
      </c>
      <c r="L16" s="542">
        <v>0</v>
      </c>
      <c r="M16" s="17">
        <v>1</v>
      </c>
      <c r="N16" s="12">
        <v>1</v>
      </c>
      <c r="O16" s="12">
        <v>30</v>
      </c>
      <c r="P16" s="9"/>
      <c r="Q16" s="31"/>
      <c r="R16" s="31"/>
    </row>
    <row r="17" spans="1:18">
      <c r="B17" s="9"/>
      <c r="C17" s="23"/>
      <c r="D17" s="9" t="s">
        <v>906</v>
      </c>
      <c r="E17" s="9"/>
      <c r="F17" s="21">
        <f ca="1">VLOOKUP($B$16,Calibration2!$B$172:$T$206,HLOOKUP($D17,Calibration2!$C$3:$T$4,2,FALSE),FALSE)</f>
        <v>0</v>
      </c>
      <c r="G17" s="21">
        <f ca="1">VLOOKUP($B$16,Calibrati22!$B$172:$T$206,HLOOKUP($D17,Calibrati22!$C$3:$T$4,2,FALSE),FALSE)</f>
        <v>0</v>
      </c>
      <c r="H17" s="62">
        <f t="shared" ref="H17:H22" si="2">IF($H$25=0,0,F17/$H$25)</f>
        <v>0</v>
      </c>
      <c r="I17" s="62">
        <f t="shared" ref="I17:I22" si="3">IF(I$25=0,0,G17/I$25)</f>
        <v>0</v>
      </c>
      <c r="J17" s="542"/>
      <c r="K17" s="9"/>
      <c r="L17" s="542"/>
      <c r="M17" s="542"/>
      <c r="N17" s="9"/>
      <c r="O17" s="9"/>
      <c r="P17" s="9"/>
      <c r="Q17" s="31"/>
      <c r="R17" s="427">
        <v>3</v>
      </c>
    </row>
    <row r="18" spans="1:18">
      <c r="B18" s="9"/>
      <c r="C18" s="23"/>
      <c r="D18" s="9" t="s">
        <v>909</v>
      </c>
      <c r="E18" s="9"/>
      <c r="F18" s="21">
        <f ca="1">VLOOKUP($B$16,Calibration2!$B$172:$T$206,HLOOKUP($D18,Calibration2!$C$3:$T$4,2,FALSE),FALSE)</f>
        <v>0</v>
      </c>
      <c r="G18" s="21">
        <f ca="1">VLOOKUP($B$16,Calibrati22!$B$172:$T$206,HLOOKUP($D18,Calibrati22!$C$3:$T$4,2,FALSE),FALSE)</f>
        <v>0</v>
      </c>
      <c r="H18" s="62">
        <f t="shared" si="2"/>
        <v>0</v>
      </c>
      <c r="I18" s="62">
        <f t="shared" si="3"/>
        <v>0</v>
      </c>
      <c r="J18" s="542"/>
      <c r="K18" s="9"/>
      <c r="L18" s="542"/>
      <c r="M18" s="542"/>
      <c r="N18" s="9"/>
      <c r="O18" s="9"/>
      <c r="P18" s="9"/>
      <c r="Q18" s="31"/>
      <c r="R18" s="427">
        <v>3</v>
      </c>
    </row>
    <row r="19" spans="1:18">
      <c r="B19" s="9"/>
      <c r="C19" s="23"/>
      <c r="D19" s="9" t="s">
        <v>910</v>
      </c>
      <c r="E19" s="9"/>
      <c r="F19" s="21">
        <f ca="1">VLOOKUP($B$16,Calibration2!$B$172:$T$206,HLOOKUP($D19,Calibration2!$C$3:$T$4,2,FALSE),FALSE)</f>
        <v>0</v>
      </c>
      <c r="G19" s="21">
        <f ca="1">VLOOKUP($B$16,Calibrati22!$B$172:$T$206,HLOOKUP($D19,Calibrati22!$C$3:$T$4,2,FALSE),FALSE)</f>
        <v>0</v>
      </c>
      <c r="H19" s="62">
        <f t="shared" si="2"/>
        <v>0</v>
      </c>
      <c r="I19" s="62">
        <f t="shared" si="3"/>
        <v>0</v>
      </c>
      <c r="J19" s="542"/>
      <c r="K19" s="9"/>
      <c r="L19" s="542"/>
      <c r="M19" s="542"/>
      <c r="N19" s="9"/>
      <c r="O19" s="9"/>
      <c r="P19" s="9"/>
      <c r="Q19" s="31"/>
      <c r="R19" s="427">
        <v>3</v>
      </c>
    </row>
    <row r="20" spans="1:18">
      <c r="B20" s="9"/>
      <c r="C20" s="23"/>
      <c r="D20" s="9" t="s">
        <v>913</v>
      </c>
      <c r="E20" s="9"/>
      <c r="F20" s="21">
        <f ca="1">VLOOKUP($B$16,Calibration2!$B$172:$T$206,HLOOKUP($D20,Calibration2!$C$3:$T$4,2,FALSE),FALSE)</f>
        <v>0</v>
      </c>
      <c r="G20" s="21">
        <f ca="1">VLOOKUP($B$16,Calibrati22!$B$172:$T$206,HLOOKUP($D20,Calibrati22!$C$3:$T$4,2,FALSE),FALSE)</f>
        <v>0</v>
      </c>
      <c r="H20" s="62">
        <f t="shared" si="2"/>
        <v>0</v>
      </c>
      <c r="I20" s="62">
        <f t="shared" si="3"/>
        <v>0</v>
      </c>
      <c r="J20" s="542"/>
      <c r="K20" s="9"/>
      <c r="L20" s="542"/>
      <c r="M20" s="542"/>
      <c r="N20" s="9"/>
      <c r="O20" s="9"/>
      <c r="P20" s="9"/>
      <c r="Q20" s="31"/>
      <c r="R20" s="427">
        <v>3</v>
      </c>
    </row>
    <row r="21" spans="1:18">
      <c r="B21" s="9"/>
      <c r="C21" s="23"/>
      <c r="D21" s="9" t="s">
        <v>859</v>
      </c>
      <c r="E21" s="9"/>
      <c r="F21" s="21">
        <f ca="1">VLOOKUP($B$16,Drivers2!$T$58:$V$76,3,FALSE)*VLOOKUP($D21,Calibration2!$A$220:$U$224,21,0)</f>
        <v>0</v>
      </c>
      <c r="G21" s="21">
        <f ca="1">VLOOKUP($B$16,Driver22!$T$58:$V$76,3,FALSE)*VLOOKUP($D21,Calibrati22!$A$220:$U$224,21,0)</f>
        <v>0</v>
      </c>
      <c r="H21" s="62">
        <f t="shared" si="2"/>
        <v>0</v>
      </c>
      <c r="I21" s="62">
        <f t="shared" si="3"/>
        <v>0</v>
      </c>
      <c r="J21" s="542"/>
      <c r="K21" s="9"/>
      <c r="L21" s="542"/>
      <c r="M21" s="542"/>
      <c r="N21" s="9"/>
      <c r="O21" s="9"/>
      <c r="P21" s="9"/>
      <c r="Q21" s="31"/>
      <c r="R21" s="31"/>
    </row>
    <row r="22" spans="1:18">
      <c r="B22" s="9"/>
      <c r="C22" s="23"/>
      <c r="D22" s="9" t="s">
        <v>862</v>
      </c>
      <c r="E22" s="9"/>
      <c r="F22" s="21">
        <f ca="1">VLOOKUP($B$16,Drivers2!$T$58:$V$76,2,FALSE)*VLOOKUP($D22,Calibration2!$A$211:$U$215,21,0)</f>
        <v>0</v>
      </c>
      <c r="G22" s="21">
        <f ca="1">VLOOKUP($B$16,Driver22!$T$58:$V$76,2,FALSE)*VLOOKUP($D22,Calibrati22!$A$211:$U$215,21,0)</f>
        <v>0</v>
      </c>
      <c r="H22" s="62">
        <f t="shared" si="2"/>
        <v>0</v>
      </c>
      <c r="I22" s="62">
        <f t="shared" si="3"/>
        <v>0</v>
      </c>
      <c r="J22" s="542"/>
      <c r="K22" s="9"/>
      <c r="L22" s="542"/>
      <c r="M22" s="542"/>
      <c r="N22" s="9"/>
      <c r="O22" s="9"/>
      <c r="P22" s="9"/>
      <c r="Q22" s="31"/>
      <c r="R22" s="31"/>
    </row>
    <row r="23" spans="1:18">
      <c r="B23" s="9"/>
      <c r="C23" s="23"/>
      <c r="D23" s="23" t="s">
        <v>395</v>
      </c>
      <c r="E23" s="9"/>
      <c r="F23" s="21"/>
      <c r="G23" s="21"/>
      <c r="H23" s="62">
        <v>1</v>
      </c>
      <c r="I23" s="9"/>
      <c r="J23" s="542"/>
      <c r="K23" s="9"/>
      <c r="L23" s="542"/>
      <c r="M23" s="542"/>
      <c r="N23" s="9"/>
      <c r="O23" s="9"/>
      <c r="P23" s="9"/>
      <c r="Q23" s="31"/>
      <c r="R23" s="31"/>
    </row>
    <row r="24" spans="1:18" ht="13.5" thickBot="1">
      <c r="B24" s="22"/>
      <c r="C24" s="24"/>
      <c r="D24" s="22"/>
      <c r="E24" s="22" t="s">
        <v>369</v>
      </c>
      <c r="F24" s="28"/>
      <c r="G24" s="28"/>
      <c r="H24" s="541"/>
      <c r="I24" s="9"/>
      <c r="J24" s="545"/>
      <c r="K24" s="9"/>
      <c r="L24" s="545"/>
      <c r="M24" s="545"/>
      <c r="N24" s="22"/>
      <c r="O24" s="22"/>
      <c r="P24" s="9"/>
      <c r="Q24" s="29"/>
      <c r="R24" s="29"/>
    </row>
    <row r="25" spans="1:18">
      <c r="B25" s="516" t="s">
        <v>1380</v>
      </c>
      <c r="C25" s="517" t="s">
        <v>369</v>
      </c>
      <c r="D25" s="517"/>
      <c r="E25" s="517"/>
      <c r="F25" s="580">
        <f>SUM(F16:F24)</f>
        <v>0</v>
      </c>
      <c r="G25" s="580">
        <f>SUM(G16:G24)</f>
        <v>0</v>
      </c>
      <c r="H25" s="580">
        <f ca="1">VLOOKUP($C25&amp;"000",Drivers2!$E$58:$H$79,4,FALSE)</f>
        <v>0</v>
      </c>
      <c r="I25" s="580">
        <f ca="1">VLOOKUP($C25&amp;"000",Driver22!$E$58:$H$79,4,FALSE)</f>
        <v>0</v>
      </c>
      <c r="J25" s="580">
        <f ca="1">F25/(H25+Tiny)</f>
        <v>0</v>
      </c>
      <c r="K25" s="580">
        <f ca="1">G25/(I25+Tiny)</f>
        <v>0</v>
      </c>
      <c r="L25" s="518"/>
      <c r="M25" s="518"/>
      <c r="N25" s="517"/>
      <c r="O25" s="517" t="s">
        <v>784</v>
      </c>
      <c r="P25" s="517"/>
      <c r="Q25" s="517"/>
      <c r="R25" s="517"/>
    </row>
    <row r="26" spans="1:18">
      <c r="B26" s="35" t="s">
        <v>417</v>
      </c>
      <c r="C26" s="23" t="s">
        <v>441</v>
      </c>
      <c r="D26" s="9" t="s">
        <v>864</v>
      </c>
      <c r="E26" s="9"/>
      <c r="F26" s="21">
        <f ca="1">VLOOKUP($B26,Calibration2!$B$172:$T$206,2,FALSE)</f>
        <v>0</v>
      </c>
      <c r="G26" s="21">
        <f ca="1">VLOOKUP($B26,Calibrati22!$B$172:$T$206,2,FALSE)</f>
        <v>0</v>
      </c>
      <c r="H26" s="62">
        <f>IF(H$33=0,0,F26/H$33)</f>
        <v>0</v>
      </c>
      <c r="I26" s="62">
        <f>IF(I$33=0,0,G26/I$33)</f>
        <v>0</v>
      </c>
      <c r="J26" s="542">
        <f>H33</f>
        <v>0</v>
      </c>
      <c r="K26" s="542">
        <f>I33</f>
        <v>0</v>
      </c>
      <c r="L26" s="542">
        <v>0</v>
      </c>
      <c r="M26" s="17">
        <v>1</v>
      </c>
      <c r="N26" s="12">
        <v>1</v>
      </c>
      <c r="O26" s="12">
        <v>30</v>
      </c>
      <c r="P26" s="9"/>
      <c r="Q26" s="31"/>
      <c r="R26" s="31"/>
    </row>
    <row r="27" spans="1:18">
      <c r="B27" s="9"/>
      <c r="C27" s="23"/>
      <c r="D27" s="9" t="s">
        <v>906</v>
      </c>
      <c r="E27" s="9"/>
      <c r="F27" s="21">
        <f ca="1">VLOOKUP($B$26,Calibration2!$B$172:$T$206,HLOOKUP($D27,Calibration2!$C$3:$T$4,2,FALSE),FALSE)</f>
        <v>0</v>
      </c>
      <c r="G27" s="21">
        <f ca="1">VLOOKUP($B$26,Calibrati22!$B$172:$T$206,HLOOKUP($D27,Calibrati22!$C$3:$T$4,2,FALSE),FALSE)</f>
        <v>0</v>
      </c>
      <c r="H27" s="62">
        <f>IF($H$33=0,0,F27/$H$33)</f>
        <v>0</v>
      </c>
      <c r="I27" s="62">
        <f>IF(I$33=0,0,G27/I$33)</f>
        <v>0</v>
      </c>
      <c r="J27" s="542"/>
      <c r="K27" s="9"/>
      <c r="L27" s="542"/>
      <c r="M27" s="542"/>
      <c r="N27" s="9"/>
      <c r="O27" s="9"/>
      <c r="P27" s="9"/>
      <c r="Q27" s="31"/>
      <c r="R27" s="427">
        <v>3</v>
      </c>
    </row>
    <row r="28" spans="1:18">
      <c r="B28" s="9"/>
      <c r="C28" s="23"/>
      <c r="D28" s="9" t="s">
        <v>913</v>
      </c>
      <c r="E28" s="9"/>
      <c r="F28" s="21">
        <f ca="1">VLOOKUP($B$26,Calibration2!$B$172:$T$206,HLOOKUP($D28,Calibration2!$C$3:$T$4,2,FALSE),FALSE)</f>
        <v>0</v>
      </c>
      <c r="G28" s="21">
        <f ca="1">VLOOKUP($B$26,Calibrati22!$B$172:$T$206,HLOOKUP($D28,Calibrati22!$C$3:$T$4,2,FALSE),FALSE)</f>
        <v>0</v>
      </c>
      <c r="H28" s="62">
        <f>IF($H$33=0,0,F28/$H$33)</f>
        <v>0</v>
      </c>
      <c r="I28" s="62">
        <f>IF(I$33=0,0,G28/I$33)</f>
        <v>0</v>
      </c>
      <c r="J28" s="542"/>
      <c r="K28" s="9"/>
      <c r="L28" s="542"/>
      <c r="M28" s="542"/>
      <c r="N28" s="9"/>
      <c r="O28" s="9"/>
      <c r="P28" s="9"/>
      <c r="Q28" s="31"/>
      <c r="R28" s="427">
        <v>3</v>
      </c>
    </row>
    <row r="29" spans="1:18">
      <c r="B29" s="9"/>
      <c r="C29" s="23"/>
      <c r="D29" s="9" t="s">
        <v>859</v>
      </c>
      <c r="E29" s="9"/>
      <c r="F29" s="21">
        <f ca="1">VLOOKUP($B$26,Drivers2!$T$58:$V$76,3,FALSE)*VLOOKUP($D29,Calibration2!$A$220:$U$224,21,0)</f>
        <v>0</v>
      </c>
      <c r="G29" s="21">
        <f ca="1">VLOOKUP($B$26,Driver22!$T$58:$V$76,3,FALSE)*VLOOKUP($D29,Calibrati22!$A$220:$U$224,21,0)</f>
        <v>0</v>
      </c>
      <c r="H29" s="62">
        <f>IF($H$33=0,0,F29/$H$33)</f>
        <v>0</v>
      </c>
      <c r="I29" s="62">
        <f>IF(I$33=0,0,G29/I$33)</f>
        <v>0</v>
      </c>
      <c r="J29" s="542"/>
      <c r="K29" s="9"/>
      <c r="L29" s="542"/>
      <c r="M29" s="542"/>
      <c r="N29" s="9"/>
      <c r="O29" s="9"/>
      <c r="P29" s="9"/>
      <c r="Q29" s="31"/>
      <c r="R29" s="31"/>
    </row>
    <row r="30" spans="1:18">
      <c r="B30" s="9"/>
      <c r="C30" s="23"/>
      <c r="D30" s="9" t="s">
        <v>862</v>
      </c>
      <c r="E30" s="9"/>
      <c r="F30" s="21">
        <f ca="1">VLOOKUP($B$26,Drivers2!$T$58:$V$76,2,FALSE)*VLOOKUP($D30,Calibration2!$A$211:$U$215,21,0)</f>
        <v>0</v>
      </c>
      <c r="G30" s="21">
        <f ca="1">VLOOKUP($B$26,Driver22!$T$58:$V$76,2,FALSE)*VLOOKUP($D30,Calibrati22!$A$211:$U$215,21,0)</f>
        <v>0</v>
      </c>
      <c r="H30" s="62">
        <f>IF($H$33=0,0,F30/$H$33)</f>
        <v>0</v>
      </c>
      <c r="I30" s="62">
        <f>IF(I$33=0,0,G30/I$33)</f>
        <v>0</v>
      </c>
      <c r="J30" s="542"/>
      <c r="K30" s="9"/>
      <c r="L30" s="542"/>
      <c r="M30" s="542"/>
      <c r="N30" s="9"/>
      <c r="O30" s="9"/>
      <c r="P30" s="9"/>
      <c r="Q30" s="31"/>
      <c r="R30" s="31"/>
    </row>
    <row r="31" spans="1:18">
      <c r="B31" s="9"/>
      <c r="C31" s="23"/>
      <c r="D31" s="23" t="s">
        <v>395</v>
      </c>
      <c r="E31" s="9"/>
      <c r="F31" s="21"/>
      <c r="G31" s="21"/>
      <c r="H31" s="62">
        <v>1</v>
      </c>
      <c r="I31" s="9"/>
      <c r="J31" s="542"/>
      <c r="K31" s="9"/>
      <c r="L31" s="542"/>
      <c r="M31" s="542"/>
      <c r="N31" s="9"/>
      <c r="O31" s="9"/>
      <c r="P31" s="9"/>
      <c r="Q31" s="31"/>
      <c r="R31" s="31"/>
    </row>
    <row r="32" spans="1:18" ht="13.5" thickBot="1">
      <c r="A32" s="6"/>
      <c r="B32" s="22"/>
      <c r="C32" s="24"/>
      <c r="D32" s="22"/>
      <c r="E32" s="22" t="s">
        <v>404</v>
      </c>
      <c r="F32" s="28"/>
      <c r="G32" s="28"/>
      <c r="H32" s="541"/>
      <c r="I32" s="9"/>
      <c r="J32" s="545"/>
      <c r="K32" s="9"/>
      <c r="L32" s="545"/>
      <c r="M32" s="545"/>
      <c r="N32" s="22"/>
      <c r="O32" s="22"/>
      <c r="P32" s="9"/>
      <c r="Q32" s="29"/>
      <c r="R32" s="29"/>
    </row>
    <row r="33" spans="1:18">
      <c r="B33" s="516" t="s">
        <v>1380</v>
      </c>
      <c r="C33" s="517" t="s">
        <v>404</v>
      </c>
      <c r="D33" s="517"/>
      <c r="E33" s="517"/>
      <c r="F33" s="580">
        <f>SUM(F26:F32)</f>
        <v>0</v>
      </c>
      <c r="G33" s="580">
        <f>SUM(G26:G32)</f>
        <v>0</v>
      </c>
      <c r="H33" s="580">
        <f ca="1">VLOOKUP($C33&amp;"000",Drivers2!$E$58:$H$79,4,FALSE)</f>
        <v>0</v>
      </c>
      <c r="I33" s="580">
        <f ca="1">VLOOKUP($C33&amp;"000",Driver22!$E$58:$H$79,4,FALSE)</f>
        <v>0</v>
      </c>
      <c r="J33" s="580">
        <f ca="1">F33/(H33+Tiny)</f>
        <v>0</v>
      </c>
      <c r="K33" s="580">
        <f ca="1">G33/(I33+Tiny)</f>
        <v>0</v>
      </c>
      <c r="L33" s="518"/>
      <c r="M33" s="518"/>
      <c r="N33" s="517"/>
      <c r="O33" s="517" t="s">
        <v>784</v>
      </c>
      <c r="P33" s="517"/>
      <c r="Q33" s="517"/>
      <c r="R33" s="517"/>
    </row>
    <row r="34" spans="1:18">
      <c r="B34" s="35" t="s">
        <v>418</v>
      </c>
      <c r="C34" s="23" t="s">
        <v>442</v>
      </c>
      <c r="D34" s="9" t="s">
        <v>864</v>
      </c>
      <c r="E34" s="9"/>
      <c r="F34" s="21">
        <f ca="1">VLOOKUP($B34,Calibration2!$B$172:$T$206,2,FALSE)</f>
        <v>1.013990716872851E-2</v>
      </c>
      <c r="G34" s="21">
        <f ca="1">VLOOKUP($B34,Calibrati22!$B$172:$T$206,2,FALSE)</f>
        <v>3.4508264761600608E-3</v>
      </c>
      <c r="H34" s="62">
        <f>IF(H$43=0,0,F34/H$43)</f>
        <v>0.1013990716872851</v>
      </c>
      <c r="I34" s="62">
        <f>IF(I$43=0,0,G34/I$43)</f>
        <v>3.4508264761600606E-2</v>
      </c>
      <c r="J34" s="542"/>
      <c r="K34" s="9"/>
      <c r="L34" s="542"/>
      <c r="M34" s="17"/>
      <c r="N34" s="12"/>
      <c r="O34" s="12"/>
      <c r="P34" s="9"/>
      <c r="Q34" s="31"/>
      <c r="R34" s="427">
        <v>2017</v>
      </c>
    </row>
    <row r="35" spans="1:18">
      <c r="B35" s="9"/>
      <c r="C35" s="23"/>
      <c r="D35" s="9" t="s">
        <v>906</v>
      </c>
      <c r="E35" s="9"/>
      <c r="F35" s="21">
        <f ca="1">VLOOKUP($B$34,Calibration2!$B$172:$T$206,HLOOKUP($D35,Calibration2!$C$3:$T$4,2,FALSE),FALSE)</f>
        <v>6.2456066094593126E-4</v>
      </c>
      <c r="G35" s="21">
        <f ca="1">VLOOKUP($B$34,Calibrati22!$B$172:$T$206,HLOOKUP($D35,Calibrati22!$C$3:$T$4,2,FALSE),FALSE)</f>
        <v>0</v>
      </c>
      <c r="H35" s="62">
        <f t="shared" ref="H35:H40" si="4">IF($H$43=0,0,F35/$H$43)</f>
        <v>6.2456066094593119E-3</v>
      </c>
      <c r="I35" s="62">
        <f t="shared" ref="I35:I40" si="5">IF(I$43=0,0,G35/I$43)</f>
        <v>0</v>
      </c>
      <c r="J35" s="542"/>
      <c r="K35" s="9"/>
      <c r="L35" s="542"/>
      <c r="M35" s="542"/>
      <c r="N35" s="9"/>
      <c r="O35" s="9"/>
      <c r="P35" s="9"/>
      <c r="Q35" s="31"/>
      <c r="R35" s="427">
        <v>2017</v>
      </c>
    </row>
    <row r="36" spans="1:18">
      <c r="B36" s="9"/>
      <c r="C36" s="23"/>
      <c r="D36" s="9" t="s">
        <v>907</v>
      </c>
      <c r="E36" s="9"/>
      <c r="F36" s="21">
        <f ca="1">VLOOKUP($B$34,Calibration2!$B$172:$T$206,HLOOKUP($D36,Calibration2!$C$3:$T$4,2,FALSE),FALSE)</f>
        <v>1.754832140445613E-3</v>
      </c>
      <c r="G36" s="21">
        <f ca="1">VLOOKUP($B$34,Calibrati22!$B$172:$T$206,HLOOKUP($D36,Calibrati22!$C$3:$T$4,2,FALSE),FALSE)</f>
        <v>1.0918643557663132E-3</v>
      </c>
      <c r="H36" s="62">
        <f t="shared" si="4"/>
        <v>1.754832140445613E-2</v>
      </c>
      <c r="I36" s="62">
        <f t="shared" si="5"/>
        <v>1.0918643557663131E-2</v>
      </c>
      <c r="J36" s="542"/>
      <c r="K36" s="9"/>
      <c r="L36" s="542"/>
      <c r="M36" s="542"/>
      <c r="N36" s="9"/>
      <c r="O36" s="9"/>
      <c r="P36" s="9"/>
      <c r="Q36" s="31"/>
      <c r="R36" s="427">
        <v>2017</v>
      </c>
    </row>
    <row r="37" spans="1:18">
      <c r="B37" s="9"/>
      <c r="C37" s="23"/>
      <c r="D37" s="9" t="s">
        <v>910</v>
      </c>
      <c r="E37" s="9"/>
      <c r="F37" s="21">
        <f ca="1">VLOOKUP($B$34,Calibration2!$B$172:$T$206,HLOOKUP($D37,Calibration2!$C$3:$T$4,2,FALSE),FALSE)</f>
        <v>0</v>
      </c>
      <c r="G37" s="21">
        <f ca="1">VLOOKUP($B$34,Calibrati22!$B$172:$T$206,HLOOKUP($D37,Calibrati22!$C$3:$T$4,2,FALSE),FALSE)</f>
        <v>0</v>
      </c>
      <c r="H37" s="62">
        <f t="shared" si="4"/>
        <v>0</v>
      </c>
      <c r="I37" s="62">
        <f t="shared" si="5"/>
        <v>0</v>
      </c>
      <c r="J37" s="542"/>
      <c r="K37" s="9"/>
      <c r="L37" s="542"/>
      <c r="M37" s="542"/>
      <c r="N37" s="9"/>
      <c r="O37" s="9"/>
      <c r="P37" s="9"/>
      <c r="Q37" s="31"/>
      <c r="R37" s="427">
        <v>2017</v>
      </c>
    </row>
    <row r="38" spans="1:18">
      <c r="B38" s="9"/>
      <c r="C38" s="23"/>
      <c r="D38" s="9" t="s">
        <v>913</v>
      </c>
      <c r="E38" s="9"/>
      <c r="F38" s="21">
        <f ca="1">VLOOKUP($B$34,Calibration2!$B$172:$T$206,HLOOKUP($D38,Calibration2!$C$3:$T$4,2,FALSE),FALSE)</f>
        <v>3.7407502108978306E-3</v>
      </c>
      <c r="G38" s="21">
        <f ca="1">VLOOKUP($B$34,Calibrati22!$B$172:$T$206,HLOOKUP($D38,Calibrati22!$C$3:$T$4,2,FALSE),FALSE)</f>
        <v>7.5405694859281283E-4</v>
      </c>
      <c r="H38" s="62">
        <f t="shared" si="4"/>
        <v>3.7407502108978301E-2</v>
      </c>
      <c r="I38" s="62">
        <f t="shared" si="5"/>
        <v>7.540569485928128E-3</v>
      </c>
      <c r="J38" s="542"/>
      <c r="K38" s="9"/>
      <c r="L38" s="542"/>
      <c r="M38" s="542"/>
      <c r="N38" s="9"/>
      <c r="O38" s="9"/>
      <c r="P38" s="9"/>
      <c r="Q38" s="31"/>
      <c r="R38" s="427">
        <v>2017</v>
      </c>
    </row>
    <row r="39" spans="1:18">
      <c r="B39" s="9"/>
      <c r="C39" s="23"/>
      <c r="D39" s="9" t="s">
        <v>859</v>
      </c>
      <c r="E39" s="9"/>
      <c r="F39" s="21">
        <f ca="1">VLOOKUP($B$34,Drivers2!$T$58:$V$76,3,FALSE)*VLOOKUP($D39,Calibration2!$A$220:$U$224,21,0)</f>
        <v>3.2320078723201515E-2</v>
      </c>
      <c r="G39" s="21">
        <f ca="1">VLOOKUP($B$34,Driver22!$T$58:$V$76,3,FALSE)*VLOOKUP($D39,Calibrati22!$A$220:$U$224,21,0)</f>
        <v>9.7911029598700995E-3</v>
      </c>
      <c r="H39" s="62">
        <f t="shared" si="4"/>
        <v>0.32320078723201512</v>
      </c>
      <c r="I39" s="62">
        <f t="shared" si="5"/>
        <v>9.7911029598700988E-2</v>
      </c>
      <c r="J39" s="542"/>
      <c r="K39" s="9"/>
      <c r="L39" s="542"/>
      <c r="M39" s="542"/>
      <c r="N39" s="9"/>
      <c r="O39" s="9"/>
      <c r="P39" s="9"/>
      <c r="Q39" s="31"/>
      <c r="R39" s="427">
        <v>2017</v>
      </c>
    </row>
    <row r="40" spans="1:18">
      <c r="B40" s="9"/>
      <c r="C40" s="23"/>
      <c r="D40" s="9" t="s">
        <v>862</v>
      </c>
      <c r="E40" s="9"/>
      <c r="F40" s="21">
        <f ca="1">VLOOKUP($B$34,Drivers2!$T$58:$V$76,2,FALSE)*VLOOKUP($D40,Calibration2!$A$211:$U$215,21,0)</f>
        <v>5.4651072522885341E-2</v>
      </c>
      <c r="G40" s="21">
        <f ca="1">VLOOKUP($B$34,Driver22!$T$58:$V$76,2,FALSE)*VLOOKUP($D40,Calibrati22!$A$211:$U$215,21,0)</f>
        <v>1.7489850925198766E-2</v>
      </c>
      <c r="H40" s="62">
        <f t="shared" si="4"/>
        <v>0.54651072522885336</v>
      </c>
      <c r="I40" s="62">
        <f t="shared" si="5"/>
        <v>0.17489850925198766</v>
      </c>
      <c r="J40" s="542"/>
      <c r="K40" s="9"/>
      <c r="L40" s="542"/>
      <c r="M40" s="542"/>
      <c r="N40" s="9"/>
      <c r="O40" s="9"/>
      <c r="P40" s="9"/>
      <c r="Q40" s="31"/>
      <c r="R40" s="427">
        <v>2017</v>
      </c>
    </row>
    <row r="41" spans="1:18">
      <c r="B41" s="9"/>
      <c r="C41" s="23"/>
      <c r="D41" s="23" t="s">
        <v>395</v>
      </c>
      <c r="E41" s="9"/>
      <c r="F41" s="21"/>
      <c r="G41" s="21"/>
      <c r="H41" s="62">
        <f ca="1">Tiny</f>
        <v>1.0000000000000001E-9</v>
      </c>
      <c r="I41" s="9"/>
      <c r="J41" s="542"/>
      <c r="K41" s="9"/>
      <c r="L41" s="542"/>
      <c r="M41" s="542"/>
      <c r="N41" s="9"/>
      <c r="O41" s="9"/>
      <c r="P41" s="9"/>
      <c r="Q41" s="31"/>
      <c r="R41" s="31"/>
    </row>
    <row r="42" spans="1:18" ht="13.5" thickBot="1">
      <c r="A42" s="6"/>
      <c r="B42" s="22"/>
      <c r="C42" s="24"/>
      <c r="D42" s="22"/>
      <c r="E42" s="22" t="s">
        <v>405</v>
      </c>
      <c r="F42" s="28"/>
      <c r="G42" s="28"/>
      <c r="H42" s="541"/>
      <c r="I42" s="545"/>
      <c r="J42" s="545"/>
      <c r="K42" s="545"/>
      <c r="L42" s="545"/>
      <c r="M42" s="545"/>
      <c r="N42" s="22"/>
      <c r="O42" s="22"/>
      <c r="P42" s="9"/>
      <c r="Q42" s="29"/>
      <c r="R42" s="29"/>
    </row>
    <row r="43" spans="1:18">
      <c r="B43" s="516" t="s">
        <v>1380</v>
      </c>
      <c r="C43" s="517" t="s">
        <v>405</v>
      </c>
      <c r="D43" s="517"/>
      <c r="E43" s="517"/>
      <c r="F43" s="580">
        <f>SUM(F34:F42)</f>
        <v>0.10323120142710474</v>
      </c>
      <c r="G43" s="580">
        <f>SUM(G34:G42)</f>
        <v>3.2577701665588051E-2</v>
      </c>
      <c r="H43" s="580">
        <f>MAX(0.1,SUMIF($B$6:$B$37,"~*",H$6:H$37))</f>
        <v>0.1</v>
      </c>
      <c r="I43" s="580">
        <f>MAX(0.1,SUMIF($B$6:$B$37,"~*",I$6:I$37))</f>
        <v>0.1</v>
      </c>
      <c r="J43" s="580">
        <f ca="1">F43/(H43+Tiny)</f>
        <v>1.0323120039479272</v>
      </c>
      <c r="K43" s="580">
        <f ca="1">G43/(I43+Tiny)</f>
        <v>0.32577701339811038</v>
      </c>
      <c r="L43" s="518"/>
      <c r="M43" s="518"/>
      <c r="N43" s="517"/>
      <c r="O43" s="517" t="s">
        <v>784</v>
      </c>
      <c r="P43" s="517"/>
      <c r="Q43" s="517"/>
      <c r="R43" s="517"/>
    </row>
    <row r="44" spans="1:18" ht="38.25">
      <c r="B44" s="264" t="s">
        <v>383</v>
      </c>
      <c r="C44" s="50" t="s">
        <v>398</v>
      </c>
      <c r="D44" s="52" t="s">
        <v>1246</v>
      </c>
      <c r="E44" s="52"/>
      <c r="F44" s="53">
        <f>SUMIF($D$5:$D$43,"IENF",F$5:F$43)</f>
        <v>1.013990716872851E-2</v>
      </c>
      <c r="G44" s="53">
        <f>SUMIF($D$5:$D$43,"IENF",G$5:G$43)</f>
        <v>3.4508264761600608E-3</v>
      </c>
      <c r="H44" s="485">
        <v>1</v>
      </c>
      <c r="I44" s="485">
        <v>1</v>
      </c>
      <c r="J44" s="490"/>
      <c r="K44" s="490"/>
      <c r="L44" s="490"/>
      <c r="M44" s="490">
        <v>1</v>
      </c>
      <c r="N44" s="490">
        <v>1</v>
      </c>
      <c r="O44" s="491">
        <v>30</v>
      </c>
      <c r="P44" s="486">
        <v>100</v>
      </c>
      <c r="Q44" s="31"/>
      <c r="R44" s="31"/>
    </row>
    <row r="45" spans="1:18" ht="13.5" thickBot="1">
      <c r="B45" s="22"/>
      <c r="C45" s="24"/>
      <c r="D45" s="22"/>
      <c r="E45" s="22" t="s">
        <v>864</v>
      </c>
      <c r="F45" s="28"/>
      <c r="G45" s="28"/>
      <c r="H45" s="28"/>
      <c r="I45" s="28"/>
      <c r="J45" s="489"/>
      <c r="K45" s="489"/>
      <c r="L45" s="489"/>
      <c r="M45" s="489"/>
      <c r="N45" s="489"/>
      <c r="O45" s="489"/>
      <c r="P45" s="488"/>
      <c r="Q45" s="29"/>
      <c r="R45" s="29"/>
    </row>
    <row r="47" spans="1:18" ht="18">
      <c r="A47" s="8"/>
      <c r="E47" s="216"/>
    </row>
    <row r="48" spans="1:18" ht="18">
      <c r="A48" s="8"/>
      <c r="B48" s="10"/>
      <c r="C48" s="11"/>
      <c r="E48" s="216"/>
    </row>
    <row r="49" spans="1:30" ht="18">
      <c r="B49" s="86" t="s">
        <v>90</v>
      </c>
      <c r="C49" s="88"/>
      <c r="D49" s="88"/>
      <c r="E49" s="225" t="str">
        <f>"~FI_T: "&amp;Region</f>
        <v>~FI_T: FIM</v>
      </c>
      <c r="F49" s="34"/>
      <c r="G49" s="34" t="s">
        <v>784</v>
      </c>
      <c r="H49" s="34" t="s">
        <v>784</v>
      </c>
      <c r="I49" s="34" t="s">
        <v>784</v>
      </c>
      <c r="J49" s="34"/>
      <c r="Y49" s="1"/>
      <c r="Z49" s="1"/>
      <c r="AA49" s="1"/>
      <c r="AB49" s="1"/>
      <c r="AC49" s="1"/>
      <c r="AD49" s="1"/>
    </row>
    <row r="50" spans="1:30" ht="26.25" thickBot="1">
      <c r="B50" s="45" t="s">
        <v>649</v>
      </c>
      <c r="C50" s="45" t="s">
        <v>650</v>
      </c>
      <c r="D50" s="45" t="s">
        <v>648</v>
      </c>
      <c r="E50" s="45" t="s">
        <v>651</v>
      </c>
      <c r="F50" s="45" t="s">
        <v>1288</v>
      </c>
      <c r="G50" s="45" t="s">
        <v>848</v>
      </c>
      <c r="H50" s="45" t="s">
        <v>556</v>
      </c>
      <c r="I50" s="45" t="s">
        <v>564</v>
      </c>
      <c r="J50" s="45" t="str">
        <f ca="1">"Input~"&amp;BaseYear</f>
        <v>Input~2010</v>
      </c>
      <c r="K50" s="45" t="str">
        <f ca="1">"Input~"&amp;AuxYear</f>
        <v>Input~2017</v>
      </c>
      <c r="L50" s="45" t="str">
        <f ca="1">"Input~"&amp;BaseYear+20</f>
        <v>Input~2030</v>
      </c>
      <c r="M50" s="45" t="str">
        <f ca="1">"Input~"&amp;BaseYear+30</f>
        <v>Input~2040</v>
      </c>
      <c r="N50" s="45" t="str">
        <f>"Input~"&amp;2050</f>
        <v>Input~2050</v>
      </c>
      <c r="O50" s="45" t="str">
        <f>"Input~"&amp;2100</f>
        <v>Input~2100</v>
      </c>
    </row>
    <row r="51" spans="1:30">
      <c r="B51" s="35" t="s">
        <v>785</v>
      </c>
      <c r="C51" s="23" t="s">
        <v>816</v>
      </c>
      <c r="D51" s="52" t="s">
        <v>221</v>
      </c>
      <c r="E51" s="9"/>
      <c r="F51" s="62">
        <v>1</v>
      </c>
      <c r="G51" s="62">
        <v>1</v>
      </c>
      <c r="H51" s="62">
        <v>5</v>
      </c>
      <c r="I51" s="31">
        <v>3</v>
      </c>
      <c r="J51" s="31">
        <f>IF($G$43,SUMIF($C$6:$C$42,$D51,H$6:H$42)/H$43,0)</f>
        <v>0</v>
      </c>
      <c r="K51" s="31">
        <f>IF($G$43,SUMIF($C$6:$C$42,$D51,I$6:I$42)/I$43,0)</f>
        <v>0</v>
      </c>
      <c r="L51" s="31"/>
      <c r="M51" s="31"/>
      <c r="N51" s="31"/>
      <c r="O51" s="31"/>
    </row>
    <row r="52" spans="1:30">
      <c r="B52" s="9"/>
      <c r="C52" s="23"/>
      <c r="D52" s="52" t="s">
        <v>369</v>
      </c>
      <c r="E52" s="9"/>
      <c r="F52" s="62"/>
      <c r="G52" s="62"/>
      <c r="H52" s="62"/>
      <c r="I52" s="31">
        <v>3</v>
      </c>
      <c r="J52" s="31">
        <f>IF($G$43,SUMIF($C$6:$C$42,D52,$H$6:$H$42)/H$43,0)</f>
        <v>0</v>
      </c>
      <c r="K52" s="31">
        <f>IF($G$43,SUMIF($C$6:$C$42,$D52,I$6:I$42)/I$43,0)</f>
        <v>0</v>
      </c>
      <c r="L52" s="31"/>
      <c r="M52" s="31"/>
      <c r="N52" s="31"/>
      <c r="O52" s="31"/>
    </row>
    <row r="53" spans="1:30">
      <c r="B53" s="9"/>
      <c r="C53" s="23"/>
      <c r="D53" s="52" t="s">
        <v>404</v>
      </c>
      <c r="E53" s="9"/>
      <c r="F53" s="62"/>
      <c r="G53" s="62"/>
      <c r="H53" s="62"/>
      <c r="I53" s="31">
        <v>3</v>
      </c>
      <c r="J53" s="31">
        <f>IF($G$43,SUMIF($C$6:$C$42,D53,$H$6:$H$42)/H$43,0)</f>
        <v>0</v>
      </c>
      <c r="K53" s="31">
        <f>IF($G$43,SUMIF($C$6:$C$42,$D53,I$6:I$42)/I$43,0)</f>
        <v>0</v>
      </c>
      <c r="L53" s="31"/>
      <c r="M53" s="31"/>
      <c r="N53" s="31"/>
      <c r="O53" s="31"/>
    </row>
    <row r="54" spans="1:30">
      <c r="B54" s="9"/>
      <c r="C54" s="23"/>
      <c r="D54" s="52" t="s">
        <v>405</v>
      </c>
      <c r="E54" s="9"/>
      <c r="F54" s="62"/>
      <c r="G54" s="62"/>
      <c r="H54" s="62"/>
      <c r="I54" s="31"/>
      <c r="J54" s="31">
        <f>IF($G$43,SUMIF($C$6:$C$43,$D54,H$6:H$43)/H$43,0)</f>
        <v>1</v>
      </c>
      <c r="K54" s="31">
        <f>IF($G$43,SUMIF($C$6:$C$43,$D54,I$6:I$43)/I$43,0)</f>
        <v>1</v>
      </c>
      <c r="L54" s="31"/>
      <c r="M54" s="31"/>
      <c r="N54" s="31"/>
      <c r="O54" s="31"/>
    </row>
    <row r="55" spans="1:30" ht="13.5" thickBot="1">
      <c r="A55" s="6"/>
      <c r="B55" s="22"/>
      <c r="C55" s="24"/>
      <c r="D55" s="22"/>
      <c r="E55" s="22" t="s">
        <v>880</v>
      </c>
      <c r="F55" s="541"/>
      <c r="G55" s="541"/>
      <c r="H55" s="541"/>
      <c r="I55" s="29"/>
      <c r="J55" s="29"/>
      <c r="K55" s="29"/>
      <c r="L55" s="29"/>
      <c r="M55" s="29"/>
      <c r="N55" s="29"/>
      <c r="O55" s="29"/>
    </row>
    <row r="56" spans="1:30">
      <c r="B56" s="192" t="s">
        <v>902</v>
      </c>
      <c r="C56" s="198"/>
      <c r="D56" s="198"/>
      <c r="E56" s="198"/>
      <c r="F56" s="198"/>
      <c r="G56" s="198"/>
      <c r="H56" s="198"/>
      <c r="I56" s="198"/>
      <c r="J56" s="199">
        <f>SUM(J51:J53)</f>
        <v>0</v>
      </c>
      <c r="K56" s="198"/>
      <c r="L56" s="198"/>
      <c r="M56" s="198"/>
      <c r="N56" s="198"/>
      <c r="O56" s="198"/>
    </row>
    <row r="59" spans="1:30">
      <c r="D59" s="216"/>
    </row>
    <row r="60" spans="1:30" ht="18">
      <c r="B60" s="124" t="s">
        <v>89</v>
      </c>
      <c r="C60" s="125"/>
      <c r="D60" s="225"/>
      <c r="M60" s="2"/>
      <c r="N60" s="2"/>
      <c r="O60" s="2"/>
    </row>
    <row r="61" spans="1:30" ht="27.75" customHeight="1" thickBot="1">
      <c r="B61" s="25" t="s">
        <v>772</v>
      </c>
      <c r="C61" s="25" t="s">
        <v>773</v>
      </c>
      <c r="D61" s="25" t="s">
        <v>778</v>
      </c>
      <c r="E61" s="25" t="s">
        <v>1083</v>
      </c>
      <c r="F61" s="25" t="str">
        <f ca="1">"DEMAND~"&amp;AuxYear</f>
        <v>DEMAND~2017</v>
      </c>
      <c r="G61" s="25"/>
      <c r="H61" s="25"/>
      <c r="M61" s="2"/>
      <c r="N61" s="2"/>
      <c r="O61" s="2"/>
      <c r="P61" s="47"/>
    </row>
    <row r="62" spans="1:30">
      <c r="B62" s="27" t="s">
        <v>880</v>
      </c>
      <c r="C62" s="27" t="s">
        <v>886</v>
      </c>
      <c r="D62" s="483" t="s">
        <v>976</v>
      </c>
      <c r="E62" s="17">
        <f>H$43</f>
        <v>0.1</v>
      </c>
      <c r="F62" s="17">
        <f>I$43</f>
        <v>0.1</v>
      </c>
      <c r="G62" s="12"/>
      <c r="H62" s="12"/>
      <c r="M62" s="2"/>
      <c r="N62" s="2"/>
      <c r="O62" s="2"/>
      <c r="P62" s="48"/>
    </row>
    <row r="70" spans="2:28"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</row>
    <row r="71" spans="2:28"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</row>
    <row r="72" spans="2:28"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</row>
    <row r="73" spans="2:28"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</row>
    <row r="74" spans="2:28"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</row>
    <row r="75" spans="2:28"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</row>
    <row r="76" spans="2:28"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591"/>
  <dimension ref="A1:AE94"/>
  <sheetViews>
    <sheetView zoomScale="75" workbookViewId="0">
      <selection activeCell="P5" sqref="P5"/>
    </sheetView>
  </sheetViews>
  <sheetFormatPr defaultColWidth="8.85546875" defaultRowHeight="12.75"/>
  <cols>
    <col min="1" max="1" width="8.85546875" customWidth="1"/>
    <col min="2" max="2" width="16.140625" customWidth="1"/>
    <col min="3" max="3" width="21.28515625" bestFit="1" customWidth="1"/>
    <col min="4" max="4" width="12.140625" bestFit="1" customWidth="1"/>
  </cols>
  <sheetData>
    <row r="1" spans="1:23" ht="18">
      <c r="A1" s="5" t="s">
        <v>786</v>
      </c>
    </row>
    <row r="2" spans="1:23" ht="18">
      <c r="A2" s="8"/>
      <c r="E2" s="216"/>
    </row>
    <row r="3" spans="1:23" ht="18">
      <c r="A3" s="8"/>
      <c r="B3" s="10"/>
      <c r="C3" s="11"/>
      <c r="E3" s="216"/>
    </row>
    <row r="4" spans="1:23" ht="18">
      <c r="B4" s="86" t="s">
        <v>90</v>
      </c>
      <c r="C4" s="88"/>
      <c r="D4" s="88"/>
      <c r="E4" s="225" t="str">
        <f>"~FI_T: "&amp;Region</f>
        <v>~FI_T: FIM</v>
      </c>
      <c r="F4" s="34"/>
      <c r="S4" s="1"/>
      <c r="T4" s="1"/>
      <c r="U4" s="1"/>
      <c r="V4" s="1"/>
    </row>
    <row r="5" spans="1:23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 ca="1">CONCATENATE("\I:",BaseYear," service demand")</f>
        <v>\I:2010 service demand</v>
      </c>
      <c r="G5" s="64" t="str">
        <f ca="1">CONCATENATE("\I:",AuxData2!$D$2," service demand")</f>
        <v>\I:2017 service demand</v>
      </c>
      <c r="H5" s="45" t="s">
        <v>388</v>
      </c>
      <c r="I5" s="45" t="str">
        <f ca="1">"INPUT~"&amp;AuxYear</f>
        <v>INPUT~2017</v>
      </c>
      <c r="J5" s="45" t="str">
        <f ca="1">"RESID~"&amp;BaseYear</f>
        <v>RESID~2010</v>
      </c>
      <c r="K5" s="45" t="str">
        <f ca="1">"RESID~"&amp;AuxYear</f>
        <v>RESID~2017</v>
      </c>
      <c r="L5" s="45" t="str">
        <f ca="1">"RESID~"&amp;CEILING(AuxYear+25,5)</f>
        <v>RESID~2045</v>
      </c>
      <c r="M5" s="45" t="s">
        <v>848</v>
      </c>
      <c r="N5" s="64" t="s">
        <v>872</v>
      </c>
      <c r="O5" s="64" t="s">
        <v>556</v>
      </c>
      <c r="P5" s="45" t="s">
        <v>1507</v>
      </c>
      <c r="Q5" s="45" t="str">
        <f ca="1">"AF~LO~"&amp;AuxYear</f>
        <v>AF~LO~2017</v>
      </c>
      <c r="R5" s="45" t="str">
        <f>"AF~LO~"&amp;RIGHT(L5,4)</f>
        <v>AF~LO~2045</v>
      </c>
      <c r="S5" s="45" t="s">
        <v>526</v>
      </c>
      <c r="T5" s="45" t="s">
        <v>108</v>
      </c>
      <c r="U5" s="45" t="s">
        <v>8</v>
      </c>
      <c r="V5" s="45" t="s">
        <v>9</v>
      </c>
      <c r="W5" s="45" t="s">
        <v>10</v>
      </c>
    </row>
    <row r="6" spans="1:23">
      <c r="B6" s="35" t="s">
        <v>360</v>
      </c>
      <c r="C6" s="23" t="s">
        <v>325</v>
      </c>
      <c r="D6" s="9" t="s">
        <v>84</v>
      </c>
      <c r="E6" s="9"/>
      <c r="F6" s="21">
        <f ca="1">VLOOKUP($B6,Calibration2!$B$172:$T$206,2,FALSE)</f>
        <v>0</v>
      </c>
      <c r="G6" s="21">
        <f ca="1">VLOOKUP($B6,Calibrati22!$B$172:$T$206,2,FALSE)</f>
        <v>0</v>
      </c>
      <c r="H6" s="62">
        <f t="shared" ref="H6:H15" si="0">IF($H$17=0,0,F6/$H$17)</f>
        <v>0</v>
      </c>
      <c r="I6" s="62">
        <f t="shared" ref="I6:I15" si="1">IF($H$17=0,0,G6/$H$17)</f>
        <v>0</v>
      </c>
      <c r="J6" s="542">
        <f>H17</f>
        <v>0</v>
      </c>
      <c r="K6" s="542">
        <f>I17</f>
        <v>0</v>
      </c>
      <c r="L6" s="542">
        <v>0</v>
      </c>
      <c r="M6" s="17">
        <v>1</v>
      </c>
      <c r="N6" s="12">
        <v>1</v>
      </c>
      <c r="O6" s="12">
        <v>30</v>
      </c>
      <c r="P6" s="9"/>
      <c r="Q6" s="31">
        <v>0.9</v>
      </c>
      <c r="R6" s="31">
        <v>0.2</v>
      </c>
      <c r="S6" s="31"/>
      <c r="T6" s="31"/>
      <c r="U6" s="31"/>
      <c r="V6" s="31"/>
      <c r="W6" s="31"/>
    </row>
    <row r="7" spans="1:23">
      <c r="B7" s="9"/>
      <c r="C7" s="23"/>
      <c r="D7" s="9" t="s">
        <v>906</v>
      </c>
      <c r="E7" s="9"/>
      <c r="F7" s="21">
        <f ca="1">VLOOKUP($B$6,Calibration2!$B$172:$T$206,HLOOKUP($D7,Calibration2!$C$3:$T$4,2,FALSE),FALSE)</f>
        <v>0</v>
      </c>
      <c r="G7" s="21">
        <f ca="1">VLOOKUP($B$6,Calibrati22!$B$172:$T$206,HLOOKUP($D7,Calibrati22!$C$3:$T$4,2,FALSE),FALSE)</f>
        <v>0</v>
      </c>
      <c r="H7" s="62">
        <f t="shared" si="0"/>
        <v>0</v>
      </c>
      <c r="I7" s="62">
        <f t="shared" si="1"/>
        <v>0</v>
      </c>
      <c r="J7" s="542"/>
      <c r="K7" s="9"/>
      <c r="L7" s="542"/>
      <c r="M7" s="542"/>
      <c r="N7" s="9"/>
      <c r="O7" s="9"/>
      <c r="P7" s="9"/>
      <c r="Q7" s="31"/>
      <c r="R7" s="31"/>
      <c r="S7" s="31"/>
      <c r="T7" s="31"/>
      <c r="U7" s="31"/>
      <c r="V7" s="31"/>
      <c r="W7" s="31"/>
    </row>
    <row r="8" spans="1:23">
      <c r="B8" s="9"/>
      <c r="C8" s="23"/>
      <c r="D8" s="9" t="s">
        <v>907</v>
      </c>
      <c r="E8" s="9"/>
      <c r="F8" s="21">
        <f ca="1">VLOOKUP($B$6,Calibration2!$B$172:$T$206,HLOOKUP($D8,Calibration2!$C$3:$T$4,2,FALSE),FALSE)</f>
        <v>0</v>
      </c>
      <c r="G8" s="21">
        <f ca="1">VLOOKUP($B$6,Calibrati22!$B$172:$T$206,HLOOKUP($D8,Calibrati22!$C$3:$T$4,2,FALSE),FALSE)</f>
        <v>0</v>
      </c>
      <c r="H8" s="62">
        <f t="shared" si="0"/>
        <v>0</v>
      </c>
      <c r="I8" s="62">
        <f t="shared" si="1"/>
        <v>0</v>
      </c>
      <c r="J8" s="542"/>
      <c r="K8" s="9"/>
      <c r="L8" s="542"/>
      <c r="M8" s="542"/>
      <c r="N8" s="9"/>
      <c r="O8" s="9"/>
      <c r="P8" s="9"/>
      <c r="Q8" s="31"/>
      <c r="R8" s="31"/>
      <c r="S8" s="31"/>
      <c r="T8" s="427">
        <v>3</v>
      </c>
      <c r="U8" s="31"/>
      <c r="V8" s="31"/>
      <c r="W8" s="31"/>
    </row>
    <row r="9" spans="1:23">
      <c r="B9" s="9"/>
      <c r="C9" s="23"/>
      <c r="D9" s="9" t="s">
        <v>913</v>
      </c>
      <c r="E9" s="9"/>
      <c r="F9" s="21">
        <f ca="1">VLOOKUP($B$6,Calibration2!$B$172:$T$206,HLOOKUP($D9,Calibration2!$C$3:$T$4,2,FALSE),FALSE)</f>
        <v>0</v>
      </c>
      <c r="G9" s="21">
        <f ca="1">VLOOKUP($B$6,Calibrati22!$B$172:$T$206,HLOOKUP($D9,Calibrati22!$C$3:$T$4,2,FALSE),FALSE)</f>
        <v>0</v>
      </c>
      <c r="H9" s="62">
        <f t="shared" si="0"/>
        <v>0</v>
      </c>
      <c r="I9" s="62">
        <f t="shared" si="1"/>
        <v>0</v>
      </c>
      <c r="J9" s="542"/>
      <c r="K9" s="9"/>
      <c r="L9" s="542"/>
      <c r="M9" s="542"/>
      <c r="N9" s="9"/>
      <c r="O9" s="9"/>
      <c r="P9" s="9"/>
      <c r="Q9" s="31"/>
      <c r="R9" s="31"/>
      <c r="S9" s="31"/>
      <c r="T9" s="427">
        <v>3</v>
      </c>
      <c r="U9" s="31"/>
      <c r="V9" s="31"/>
      <c r="W9" s="31"/>
    </row>
    <row r="10" spans="1:23">
      <c r="A10" s="6"/>
      <c r="B10" s="52"/>
      <c r="C10" s="50"/>
      <c r="D10" s="52" t="s">
        <v>826</v>
      </c>
      <c r="E10" s="52"/>
      <c r="F10" s="21">
        <f ca="1">VLOOKUP($B$6,Calibration2!$B$172:$T$206,HLOOKUP($D10,Calibration2!$C$3:$T$4,2,FALSE),FALSE)</f>
        <v>0</v>
      </c>
      <c r="G10" s="21">
        <f ca="1">VLOOKUP($B$6,Calibrati22!$B$172:$T$206,HLOOKUP($D10,Calibrati22!$C$3:$T$4,2,FALSE),FALSE)</f>
        <v>0</v>
      </c>
      <c r="H10" s="62">
        <f t="shared" si="0"/>
        <v>0</v>
      </c>
      <c r="I10" s="62">
        <f t="shared" si="1"/>
        <v>0</v>
      </c>
      <c r="J10" s="543"/>
      <c r="K10" s="9"/>
      <c r="L10" s="543"/>
      <c r="M10" s="543"/>
      <c r="N10" s="52"/>
      <c r="O10" s="52"/>
      <c r="P10" s="9"/>
      <c r="Q10" s="31"/>
      <c r="R10" s="31"/>
      <c r="S10" s="31"/>
      <c r="T10" s="427">
        <v>3</v>
      </c>
      <c r="U10" s="31"/>
      <c r="V10" s="31"/>
      <c r="W10" s="31"/>
    </row>
    <row r="11" spans="1:23">
      <c r="B11" s="9"/>
      <c r="C11" s="23"/>
      <c r="D11" s="9" t="s">
        <v>914</v>
      </c>
      <c r="E11" s="9"/>
      <c r="F11" s="21">
        <f ca="1">VLOOKUP($B$6,Calibration2!$B$172:$T$206,HLOOKUP($D11,Calibration2!$C$3:$T$4,2,FALSE),FALSE)</f>
        <v>0</v>
      </c>
      <c r="G11" s="21">
        <f ca="1">VLOOKUP($B$6,Calibrati22!$B$172:$T$206,HLOOKUP($D11,Calibrati22!$C$3:$T$4,2,FALSE),FALSE)</f>
        <v>0</v>
      </c>
      <c r="H11" s="62">
        <f t="shared" si="0"/>
        <v>0</v>
      </c>
      <c r="I11" s="62">
        <f t="shared" si="1"/>
        <v>0</v>
      </c>
      <c r="J11" s="542"/>
      <c r="K11" s="9"/>
      <c r="L11" s="542"/>
      <c r="M11" s="542"/>
      <c r="N11" s="9"/>
      <c r="O11" s="9"/>
      <c r="P11" s="9"/>
      <c r="Q11" s="31"/>
      <c r="R11" s="31"/>
      <c r="S11" s="31"/>
      <c r="T11" s="427">
        <v>3</v>
      </c>
      <c r="U11" s="31"/>
      <c r="V11" s="31"/>
      <c r="W11" s="31"/>
    </row>
    <row r="12" spans="1:23">
      <c r="B12" s="9"/>
      <c r="C12" s="23"/>
      <c r="D12" s="9" t="s">
        <v>915</v>
      </c>
      <c r="E12" s="9"/>
      <c r="F12" s="21">
        <f ca="1">VLOOKUP($B$6,Calibration2!$B$172:$T$206,HLOOKUP($D12,Calibration2!$C$3:$T$4,2,FALSE),FALSE)</f>
        <v>0</v>
      </c>
      <c r="G12" s="21">
        <f ca="1">VLOOKUP($B$6,Calibrati22!$B$172:$T$206,HLOOKUP($D12,Calibrati22!$C$3:$T$4,2,FALSE),FALSE)</f>
        <v>0</v>
      </c>
      <c r="H12" s="62">
        <f t="shared" si="0"/>
        <v>0</v>
      </c>
      <c r="I12" s="62">
        <f t="shared" si="1"/>
        <v>0</v>
      </c>
      <c r="J12" s="542"/>
      <c r="K12" s="9"/>
      <c r="L12" s="542"/>
      <c r="M12" s="542"/>
      <c r="N12" s="9"/>
      <c r="O12" s="9"/>
      <c r="P12" s="9"/>
      <c r="Q12" s="31"/>
      <c r="R12" s="31"/>
      <c r="S12" s="31"/>
      <c r="T12" s="427">
        <v>3</v>
      </c>
      <c r="U12" s="31"/>
      <c r="V12" s="31"/>
      <c r="W12" s="31"/>
    </row>
    <row r="13" spans="1:23">
      <c r="B13" s="9"/>
      <c r="C13" s="23"/>
      <c r="D13" s="23" t="s">
        <v>960</v>
      </c>
      <c r="E13" s="9"/>
      <c r="F13" s="21">
        <f ca="1">INDEX(Calibration2!$AL$251:$AL$255,MATCH($B6,Calibration2!$B$251:$B$255,0))</f>
        <v>0</v>
      </c>
      <c r="G13" s="21">
        <f ca="1">INDEX(Calibrati22!$AL$251:$AL$255,MATCH($B6,Calibrati22!$B$251:$B$255,0))</f>
        <v>0</v>
      </c>
      <c r="H13" s="62">
        <f t="shared" si="0"/>
        <v>0</v>
      </c>
      <c r="I13" s="62">
        <f t="shared" si="1"/>
        <v>0</v>
      </c>
      <c r="J13" s="542"/>
      <c r="K13" s="9"/>
      <c r="L13" s="542"/>
      <c r="M13" s="542"/>
      <c r="N13" s="9"/>
      <c r="O13" s="9"/>
      <c r="P13" s="9"/>
      <c r="Q13" s="31"/>
      <c r="R13" s="31"/>
      <c r="S13" s="31"/>
      <c r="T13" s="319"/>
      <c r="U13" s="319"/>
      <c r="V13" s="319"/>
      <c r="W13" s="319"/>
    </row>
    <row r="14" spans="1:23">
      <c r="B14" s="9"/>
      <c r="C14" s="23"/>
      <c r="D14" s="9" t="s">
        <v>570</v>
      </c>
      <c r="E14" s="9"/>
      <c r="F14" s="21">
        <f ca="1">VLOOKUP($B$6,Drivers2!$T$58:$V$76,3,FALSE)*VLOOKUP($D14,Calibration2!$A$220:$U$224,21,0)</f>
        <v>0</v>
      </c>
      <c r="G14" s="21">
        <f ca="1">VLOOKUP($B$6,Driver22!$T$58:$V$76,3,FALSE)*VLOOKUP($D14,Calibrati22!$A$220:$U$224,21,0)</f>
        <v>0</v>
      </c>
      <c r="H14" s="62">
        <f t="shared" si="0"/>
        <v>0</v>
      </c>
      <c r="I14" s="62">
        <f t="shared" si="1"/>
        <v>0</v>
      </c>
      <c r="J14" s="542"/>
      <c r="K14" s="9"/>
      <c r="L14" s="542"/>
      <c r="M14" s="542"/>
      <c r="N14" s="9"/>
      <c r="O14" s="9"/>
      <c r="P14" s="9"/>
      <c r="Q14" s="31"/>
      <c r="R14" s="31"/>
      <c r="S14" s="31"/>
      <c r="T14" s="31"/>
      <c r="U14" s="31"/>
      <c r="V14" s="31"/>
      <c r="W14" s="31"/>
    </row>
    <row r="15" spans="1:23">
      <c r="B15" s="9"/>
      <c r="C15" s="23"/>
      <c r="D15" s="9" t="s">
        <v>572</v>
      </c>
      <c r="E15" s="9"/>
      <c r="F15" s="21">
        <f ca="1">VLOOKUP($B$6,Drivers2!$T$58:$V$76,2,FALSE)*VLOOKUP($D15,Calibration2!$A$211:$U$215,21,0)</f>
        <v>0</v>
      </c>
      <c r="G15" s="21">
        <f ca="1">VLOOKUP($B$6,Driver22!$T$58:$V$76,2,FALSE)*VLOOKUP($D15,Calibrati22!$A$211:$U$215,21,0)</f>
        <v>0</v>
      </c>
      <c r="H15" s="62">
        <f t="shared" si="0"/>
        <v>0</v>
      </c>
      <c r="I15" s="62">
        <f t="shared" si="1"/>
        <v>0</v>
      </c>
      <c r="J15" s="542"/>
      <c r="K15" s="9"/>
      <c r="L15" s="542"/>
      <c r="M15" s="542"/>
      <c r="N15" s="9"/>
      <c r="O15" s="9"/>
      <c r="P15" s="9"/>
      <c r="Q15" s="31"/>
      <c r="R15" s="31"/>
      <c r="S15" s="31"/>
      <c r="T15" s="31"/>
      <c r="U15" s="31"/>
      <c r="V15" s="31"/>
      <c r="W15" s="31"/>
    </row>
    <row r="16" spans="1:23" ht="13.5" thickBot="1">
      <c r="A16" s="6"/>
      <c r="B16" s="22"/>
      <c r="C16" s="24"/>
      <c r="D16" s="22"/>
      <c r="E16" s="22" t="s">
        <v>359</v>
      </c>
      <c r="F16" s="28"/>
      <c r="G16" s="28"/>
      <c r="H16" s="541"/>
      <c r="I16" s="9"/>
      <c r="J16" s="545"/>
      <c r="K16" s="9"/>
      <c r="L16" s="545"/>
      <c r="M16" s="545"/>
      <c r="N16" s="22"/>
      <c r="O16" s="22"/>
      <c r="P16" s="9"/>
      <c r="Q16" s="29"/>
      <c r="R16" s="29"/>
      <c r="S16" s="29"/>
      <c r="T16" s="29"/>
      <c r="U16" s="29"/>
      <c r="V16" s="29"/>
      <c r="W16" s="29"/>
    </row>
    <row r="17" spans="2:23">
      <c r="B17" s="516" t="s">
        <v>1380</v>
      </c>
      <c r="C17" s="517" t="str">
        <f>E16</f>
        <v>ICHOLF</v>
      </c>
      <c r="D17" s="517"/>
      <c r="E17" s="517"/>
      <c r="F17" s="580">
        <f ca="1">SUM(F6:F16)</f>
        <v>0</v>
      </c>
      <c r="G17" s="580">
        <f ca="1">SUM(G6:G16)</f>
        <v>0</v>
      </c>
      <c r="H17" s="580">
        <f ca="1">VLOOKUP($E16&amp;"000",Drivers2!$E$58:$H$79,4,FALSE)</f>
        <v>0</v>
      </c>
      <c r="I17" s="580">
        <f ca="1">VLOOKUP($E16&amp;"000",Driver22!$E$58:$H$79,4,FALSE)</f>
        <v>0</v>
      </c>
      <c r="J17" s="580">
        <f ca="1">F17/(H17+Tiny)</f>
        <v>0</v>
      </c>
      <c r="K17" s="580">
        <f ca="1">G17/(I17+Tiny)</f>
        <v>0</v>
      </c>
      <c r="L17" s="518"/>
      <c r="M17" s="518"/>
      <c r="N17" s="517"/>
      <c r="O17" s="517" t="s">
        <v>784</v>
      </c>
      <c r="P17" s="517"/>
      <c r="Q17" s="517"/>
      <c r="R17" s="517"/>
      <c r="S17" s="517"/>
      <c r="T17" s="517"/>
      <c r="U17" s="517"/>
      <c r="V17" s="517"/>
      <c r="W17" s="517"/>
    </row>
    <row r="18" spans="2:23">
      <c r="B18" s="35" t="s">
        <v>972</v>
      </c>
      <c r="C18" s="23" t="s">
        <v>326</v>
      </c>
      <c r="D18" s="9" t="s">
        <v>84</v>
      </c>
      <c r="E18" s="9"/>
      <c r="F18" s="21">
        <f ca="1">VLOOKUP($B18,Calibration2!$B$172:$T$206,2,FALSE)</f>
        <v>0</v>
      </c>
      <c r="G18" s="21">
        <f ca="1">VLOOKUP($B18,Calibrati22!$B$172:$T$206,2,FALSE)</f>
        <v>0</v>
      </c>
      <c r="H18" s="62">
        <f t="shared" ref="H18:I24" si="2">IF($H$29=0,0,F18/$H$29)</f>
        <v>0</v>
      </c>
      <c r="I18" s="62">
        <f t="shared" si="2"/>
        <v>0</v>
      </c>
      <c r="J18" s="542">
        <f>H29</f>
        <v>0</v>
      </c>
      <c r="K18" s="542">
        <f>I29</f>
        <v>0</v>
      </c>
      <c r="L18" s="542">
        <v>0</v>
      </c>
      <c r="M18" s="17">
        <v>1</v>
      </c>
      <c r="N18" s="12">
        <v>1</v>
      </c>
      <c r="O18" s="12">
        <v>30</v>
      </c>
      <c r="P18" s="9"/>
      <c r="Q18" s="31">
        <v>0.9</v>
      </c>
      <c r="R18" s="31">
        <v>0.2</v>
      </c>
      <c r="S18" s="31"/>
      <c r="T18" s="31"/>
      <c r="U18" s="31"/>
      <c r="V18" s="31"/>
      <c r="W18" s="31"/>
    </row>
    <row r="19" spans="2:23">
      <c r="B19" s="35"/>
      <c r="C19" s="23"/>
      <c r="D19" s="9" t="s">
        <v>906</v>
      </c>
      <c r="E19" s="9"/>
      <c r="F19" s="21">
        <f ca="1">VLOOKUP($B$18,Calibration2!$B$172:$T$206,HLOOKUP($D19,Calibration2!$C$3:$T$4,2,FALSE),FALSE)</f>
        <v>0</v>
      </c>
      <c r="G19" s="21">
        <f ca="1">VLOOKUP($B$18,Calibrati22!$B$172:$T$206,HLOOKUP($D19,Calibrati22!$C$3:$T$4,2,FALSE),FALSE)</f>
        <v>0</v>
      </c>
      <c r="H19" s="62">
        <f t="shared" si="2"/>
        <v>0</v>
      </c>
      <c r="I19" s="62">
        <f t="shared" si="2"/>
        <v>0</v>
      </c>
      <c r="J19" s="542"/>
      <c r="K19" s="9"/>
      <c r="L19" s="542"/>
      <c r="M19" s="542"/>
      <c r="N19" s="9"/>
      <c r="O19" s="9"/>
      <c r="P19" s="9"/>
      <c r="Q19" s="31"/>
      <c r="R19" s="31"/>
      <c r="S19" s="31"/>
      <c r="T19" s="31"/>
      <c r="U19" s="31"/>
      <c r="V19" s="31"/>
      <c r="W19" s="31"/>
    </row>
    <row r="20" spans="2:23">
      <c r="B20" s="9"/>
      <c r="C20" s="23"/>
      <c r="D20" s="9" t="s">
        <v>907</v>
      </c>
      <c r="E20" s="9"/>
      <c r="F20" s="21">
        <f ca="1">VLOOKUP($B$18,Calibration2!$B$172:$T$206,HLOOKUP($D20,Calibration2!$C$3:$T$4,2,FALSE),FALSE)</f>
        <v>0</v>
      </c>
      <c r="G20" s="21">
        <f ca="1">VLOOKUP($B$18,Calibrati22!$B$172:$T$206,HLOOKUP($D20,Calibrati22!$C$3:$T$4,2,FALSE),FALSE)</f>
        <v>0</v>
      </c>
      <c r="H20" s="62">
        <f t="shared" si="2"/>
        <v>0</v>
      </c>
      <c r="I20" s="62">
        <f t="shared" si="2"/>
        <v>0</v>
      </c>
      <c r="J20" s="542"/>
      <c r="K20" s="9"/>
      <c r="L20" s="542"/>
      <c r="M20" s="542"/>
      <c r="N20" s="9"/>
      <c r="O20" s="9"/>
      <c r="P20" s="9"/>
      <c r="Q20" s="31"/>
      <c r="R20" s="31"/>
      <c r="S20" s="31"/>
      <c r="T20" s="427">
        <v>3</v>
      </c>
      <c r="U20" s="31"/>
      <c r="V20" s="31"/>
      <c r="W20" s="31"/>
    </row>
    <row r="21" spans="2:23">
      <c r="B21" s="9"/>
      <c r="C21" s="23"/>
      <c r="D21" s="9" t="s">
        <v>913</v>
      </c>
      <c r="E21" s="9"/>
      <c r="F21" s="21">
        <f ca="1">VLOOKUP($B$18,Calibration2!$B$172:$T$206,HLOOKUP($D21,Calibration2!$C$3:$T$4,2,FALSE),FALSE)</f>
        <v>0</v>
      </c>
      <c r="G21" s="21">
        <f ca="1">VLOOKUP($B$18,Calibrati22!$B$172:$T$206,HLOOKUP($D21,Calibrati22!$C$3:$T$4,2,FALSE),FALSE)</f>
        <v>0</v>
      </c>
      <c r="H21" s="62">
        <f t="shared" si="2"/>
        <v>0</v>
      </c>
      <c r="I21" s="62">
        <f t="shared" si="2"/>
        <v>0</v>
      </c>
      <c r="J21" s="542"/>
      <c r="K21" s="9"/>
      <c r="L21" s="542"/>
      <c r="M21" s="542"/>
      <c r="N21" s="9"/>
      <c r="O21" s="9"/>
      <c r="P21" s="9"/>
      <c r="Q21" s="31"/>
      <c r="R21" s="31"/>
      <c r="S21" s="31"/>
      <c r="T21" s="427">
        <v>3</v>
      </c>
      <c r="U21" s="31"/>
      <c r="V21" s="31"/>
      <c r="W21" s="31"/>
    </row>
    <row r="22" spans="2:23">
      <c r="B22" s="9"/>
      <c r="C22" s="23"/>
      <c r="D22" s="9" t="s">
        <v>826</v>
      </c>
      <c r="E22" s="9"/>
      <c r="F22" s="21">
        <f ca="1">VLOOKUP($B$18,Calibration2!$B$172:$T$206,HLOOKUP($D22,Calibration2!$C$3:$T$4,2,FALSE),FALSE)</f>
        <v>0</v>
      </c>
      <c r="G22" s="21">
        <f ca="1">VLOOKUP($B$18,Calibrati22!$B$172:$T$206,HLOOKUP($D22,Calibrati22!$C$3:$T$4,2,FALSE),FALSE)</f>
        <v>0</v>
      </c>
      <c r="H22" s="62">
        <f t="shared" si="2"/>
        <v>0</v>
      </c>
      <c r="I22" s="62">
        <f t="shared" si="2"/>
        <v>0</v>
      </c>
      <c r="J22" s="542"/>
      <c r="K22" s="9"/>
      <c r="L22" s="542"/>
      <c r="M22" s="542"/>
      <c r="N22" s="9"/>
      <c r="O22" s="9"/>
      <c r="P22" s="9"/>
      <c r="Q22" s="31"/>
      <c r="R22" s="31"/>
      <c r="S22" s="31"/>
      <c r="T22" s="427">
        <v>3</v>
      </c>
      <c r="U22" s="31"/>
      <c r="V22" s="31"/>
      <c r="W22" s="31"/>
    </row>
    <row r="23" spans="2:23">
      <c r="B23" s="9"/>
      <c r="C23" s="23"/>
      <c r="D23" s="9" t="s">
        <v>914</v>
      </c>
      <c r="E23" s="9"/>
      <c r="F23" s="21">
        <f ca="1">VLOOKUP($B$18,Calibration2!$B$172:$T$206,HLOOKUP($D23,Calibration2!$C$3:$T$4,2,FALSE),FALSE)</f>
        <v>0</v>
      </c>
      <c r="G23" s="21">
        <f ca="1">VLOOKUP($B$18,Calibrati22!$B$172:$T$206,HLOOKUP($D23,Calibrati22!$C$3:$T$4,2,FALSE),FALSE)</f>
        <v>0</v>
      </c>
      <c r="H23" s="62">
        <f t="shared" si="2"/>
        <v>0</v>
      </c>
      <c r="I23" s="62">
        <f t="shared" si="2"/>
        <v>0</v>
      </c>
      <c r="J23" s="542"/>
      <c r="K23" s="9"/>
      <c r="L23" s="542"/>
      <c r="M23" s="542"/>
      <c r="N23" s="9"/>
      <c r="O23" s="9"/>
      <c r="P23" s="9"/>
      <c r="Q23" s="31"/>
      <c r="R23" s="31"/>
      <c r="S23" s="31"/>
      <c r="T23" s="427">
        <v>3</v>
      </c>
      <c r="U23" s="31"/>
      <c r="V23" s="31"/>
      <c r="W23" s="31"/>
    </row>
    <row r="24" spans="2:23">
      <c r="B24" s="52"/>
      <c r="C24" s="50"/>
      <c r="D24" s="52" t="s">
        <v>915</v>
      </c>
      <c r="E24" s="52"/>
      <c r="F24" s="21">
        <f ca="1">VLOOKUP($B$18,Calibration2!$B$172:$T$206,HLOOKUP($D24,Calibration2!$C$3:$T$4,2,FALSE),FALSE)</f>
        <v>0</v>
      </c>
      <c r="G24" s="21">
        <f ca="1">VLOOKUP($B$18,Calibrati22!$B$172:$T$206,HLOOKUP($D24,Calibrati22!$C$3:$T$4,2,FALSE),FALSE)</f>
        <v>0</v>
      </c>
      <c r="H24" s="62">
        <f t="shared" si="2"/>
        <v>0</v>
      </c>
      <c r="I24" s="62">
        <f t="shared" si="2"/>
        <v>0</v>
      </c>
      <c r="J24" s="543"/>
      <c r="K24" s="9"/>
      <c r="L24" s="543"/>
      <c r="M24" s="543"/>
      <c r="N24" s="52"/>
      <c r="O24" s="52"/>
      <c r="P24" s="9"/>
      <c r="Q24" s="31"/>
      <c r="R24" s="31"/>
      <c r="S24" s="31"/>
      <c r="T24" s="427">
        <v>3</v>
      </c>
      <c r="U24" s="31"/>
      <c r="V24" s="31"/>
      <c r="W24" s="31"/>
    </row>
    <row r="25" spans="2:23">
      <c r="B25" s="52"/>
      <c r="C25" s="50"/>
      <c r="D25" s="23" t="s">
        <v>960</v>
      </c>
      <c r="E25" s="9"/>
      <c r="F25" s="21">
        <f ca="1">INDEX(Calibration2!$AL$251:$AL$255,MATCH($B18,Calibration2!$B$251:$B$255,0))</f>
        <v>0</v>
      </c>
      <c r="G25" s="21">
        <f ca="1">INDEX(Calibrati22!$AL$251:$AL$255,MATCH($B18,Calibrati22!$B$251:$B$255,0))</f>
        <v>0</v>
      </c>
      <c r="H25" s="62">
        <f>IF($H$17=0,0,F25/$H$29)</f>
        <v>0</v>
      </c>
      <c r="I25" s="62">
        <f>IF($H$17=0,0,G25/$H$29)</f>
        <v>0</v>
      </c>
      <c r="J25" s="543"/>
      <c r="K25" s="9"/>
      <c r="L25" s="543"/>
      <c r="M25" s="543"/>
      <c r="N25" s="52"/>
      <c r="O25" s="52"/>
      <c r="P25" s="9"/>
      <c r="Q25" s="31"/>
      <c r="R25" s="31"/>
      <c r="S25" s="31"/>
      <c r="T25" s="319"/>
      <c r="U25" s="319"/>
      <c r="V25" s="319"/>
      <c r="W25" s="319"/>
    </row>
    <row r="26" spans="2:23">
      <c r="B26" s="9"/>
      <c r="C26" s="23"/>
      <c r="D26" s="9" t="s">
        <v>570</v>
      </c>
      <c r="E26" s="9"/>
      <c r="F26" s="21">
        <f ca="1">VLOOKUP($B$18,Drivers2!$T$58:$V$76,3,FALSE)*VLOOKUP($D26,Calibration2!$A$220:$U$224,21,0)</f>
        <v>0</v>
      </c>
      <c r="G26" s="21">
        <f ca="1">VLOOKUP($B$18,Driver22!$T$58:$V$76,3,FALSE)*VLOOKUP($D26,Calibrati22!$A$220:$U$224,21,0)</f>
        <v>0</v>
      </c>
      <c r="H26" s="62">
        <f>IF($H$29=0,0,F26/$H$29)</f>
        <v>0</v>
      </c>
      <c r="I26" s="62">
        <f>IF($H$29=0,0,G26/$H$29)</f>
        <v>0</v>
      </c>
      <c r="J26" s="542"/>
      <c r="K26" s="9"/>
      <c r="L26" s="542"/>
      <c r="M26" s="542"/>
      <c r="N26" s="9"/>
      <c r="O26" s="9"/>
      <c r="P26" s="9"/>
      <c r="Q26" s="31"/>
      <c r="R26" s="31"/>
      <c r="S26" s="31"/>
      <c r="T26" s="31"/>
      <c r="U26" s="31"/>
      <c r="V26" s="31"/>
      <c r="W26" s="31"/>
    </row>
    <row r="27" spans="2:23">
      <c r="B27" s="9"/>
      <c r="C27" s="23"/>
      <c r="D27" s="9" t="s">
        <v>572</v>
      </c>
      <c r="E27" s="9"/>
      <c r="F27" s="21">
        <f ca="1">VLOOKUP($B$18,Drivers2!$T$58:$V$76,2,FALSE)*VLOOKUP($D27,Calibration2!$A$211:$U$215,21,0)</f>
        <v>0</v>
      </c>
      <c r="G27" s="21">
        <f ca="1">VLOOKUP($B$18,Driver22!$T$58:$V$76,2,FALSE)*VLOOKUP($D27,Calibrati22!$A$211:$U$215,21,0)</f>
        <v>0</v>
      </c>
      <c r="H27" s="62">
        <f>IF($H$29=0,0,F27/$H$29)</f>
        <v>0</v>
      </c>
      <c r="I27" s="62">
        <f>IF($H$29=0,0,G27/$H$29)</f>
        <v>0</v>
      </c>
      <c r="J27" s="542"/>
      <c r="K27" s="9"/>
      <c r="L27" s="542"/>
      <c r="M27" s="542"/>
      <c r="N27" s="9"/>
      <c r="O27" s="9"/>
      <c r="P27" s="9"/>
      <c r="Q27" s="31"/>
      <c r="R27" s="31"/>
      <c r="S27" s="31"/>
      <c r="T27" s="31"/>
      <c r="U27" s="31"/>
      <c r="V27" s="31"/>
      <c r="W27" s="31"/>
    </row>
    <row r="28" spans="2:23" ht="13.5" thickBot="1">
      <c r="B28" s="22"/>
      <c r="C28" s="24"/>
      <c r="D28" s="22"/>
      <c r="E28" s="22" t="s">
        <v>253</v>
      </c>
      <c r="F28" s="28"/>
      <c r="G28" s="28"/>
      <c r="H28" s="541"/>
      <c r="I28" s="9"/>
      <c r="J28" s="545"/>
      <c r="K28" s="9"/>
      <c r="L28" s="545"/>
      <c r="M28" s="545"/>
      <c r="N28" s="22"/>
      <c r="O28" s="22"/>
      <c r="P28" s="9"/>
      <c r="Q28" s="29"/>
      <c r="R28" s="29"/>
      <c r="S28" s="29"/>
      <c r="T28" s="29"/>
      <c r="U28" s="29"/>
      <c r="V28" s="29"/>
      <c r="W28" s="29"/>
    </row>
    <row r="29" spans="2:23">
      <c r="B29" s="516" t="s">
        <v>1380</v>
      </c>
      <c r="C29" s="517" t="str">
        <f>E28</f>
        <v>ICHBTX</v>
      </c>
      <c r="D29" s="517"/>
      <c r="E29" s="517"/>
      <c r="F29" s="580">
        <f ca="1">SUM(F18:F28)</f>
        <v>0</v>
      </c>
      <c r="G29" s="580">
        <f ca="1">SUM(G18:G28)</f>
        <v>0</v>
      </c>
      <c r="H29" s="580">
        <f ca="1">VLOOKUP($E28&amp;"000",Drivers2!$E$58:$H$79,4,FALSE)</f>
        <v>0</v>
      </c>
      <c r="I29" s="580">
        <f ca="1">VLOOKUP($E28&amp;"000",Driver22!$E$58:$H$79,4,FALSE)</f>
        <v>0</v>
      </c>
      <c r="J29" s="580">
        <f ca="1">F29/(H29+Tiny)</f>
        <v>0</v>
      </c>
      <c r="K29" s="580">
        <f ca="1">G29/(I29+Tiny)</f>
        <v>0</v>
      </c>
      <c r="L29" s="518"/>
      <c r="M29" s="518"/>
      <c r="N29" s="517"/>
      <c r="O29" s="517" t="s">
        <v>784</v>
      </c>
      <c r="P29" s="517"/>
      <c r="Q29" s="517"/>
      <c r="R29" s="517"/>
      <c r="S29" s="517"/>
      <c r="T29" s="517"/>
      <c r="U29" s="517"/>
      <c r="V29" s="517"/>
      <c r="W29" s="517"/>
    </row>
    <row r="30" spans="2:23">
      <c r="B30" s="35" t="s">
        <v>358</v>
      </c>
      <c r="C30" s="23" t="s">
        <v>327</v>
      </c>
      <c r="D30" s="9" t="s">
        <v>84</v>
      </c>
      <c r="E30" s="9"/>
      <c r="F30" s="21">
        <f ca="1">VLOOKUP($B30,Calibration2!$B$172:$T$206,2,FALSE)</f>
        <v>0</v>
      </c>
      <c r="G30" s="21">
        <f ca="1">VLOOKUP($B30,Calibrati22!$B$172:$T$206,2,FALSE)</f>
        <v>0</v>
      </c>
      <c r="H30" s="62">
        <f t="shared" ref="H30:I36" si="3">IF($H$38=0,0,F30/$H$38)</f>
        <v>0</v>
      </c>
      <c r="I30" s="62">
        <f t="shared" si="3"/>
        <v>0</v>
      </c>
      <c r="J30" s="542">
        <f>H38</f>
        <v>0</v>
      </c>
      <c r="K30" s="542">
        <f>I38</f>
        <v>0</v>
      </c>
      <c r="L30" s="542">
        <v>0</v>
      </c>
      <c r="M30" s="17">
        <v>1</v>
      </c>
      <c r="N30" s="12">
        <v>1</v>
      </c>
      <c r="O30" s="12">
        <v>30</v>
      </c>
      <c r="P30" s="9"/>
      <c r="Q30" s="31">
        <v>0.9</v>
      </c>
      <c r="R30" s="31">
        <v>0.2</v>
      </c>
      <c r="S30" s="31"/>
      <c r="T30" s="31"/>
      <c r="U30" s="31"/>
      <c r="V30" s="31"/>
      <c r="W30" s="31"/>
    </row>
    <row r="31" spans="2:23">
      <c r="B31" s="9"/>
      <c r="C31" s="23"/>
      <c r="D31" s="9" t="s">
        <v>906</v>
      </c>
      <c r="E31" s="9"/>
      <c r="F31" s="21">
        <f ca="1">VLOOKUP($B$30,Calibration2!$B$172:$T$206,HLOOKUP($D31,Calibration2!$C$3:$T$4,2,FALSE),FALSE)</f>
        <v>0</v>
      </c>
      <c r="G31" s="21">
        <f ca="1">VLOOKUP($B$30,Calibrati22!$B$172:$T$206,HLOOKUP($D31,Calibrati22!$C$3:$T$4,2,FALSE),FALSE)</f>
        <v>0</v>
      </c>
      <c r="H31" s="62">
        <f t="shared" si="3"/>
        <v>0</v>
      </c>
      <c r="I31" s="62">
        <f t="shared" si="3"/>
        <v>0</v>
      </c>
      <c r="J31" s="542"/>
      <c r="K31" s="9"/>
      <c r="L31" s="542"/>
      <c r="M31" s="542"/>
      <c r="N31" s="9"/>
      <c r="O31" s="9"/>
      <c r="P31" s="9"/>
      <c r="Q31" s="31"/>
      <c r="R31" s="31"/>
      <c r="S31" s="31"/>
      <c r="T31" s="31"/>
      <c r="U31" s="31"/>
      <c r="V31" s="31"/>
      <c r="W31" s="31"/>
    </row>
    <row r="32" spans="2:23">
      <c r="B32" s="9"/>
      <c r="C32" s="23"/>
      <c r="D32" s="9" t="s">
        <v>909</v>
      </c>
      <c r="E32" s="9"/>
      <c r="F32" s="21">
        <f ca="1">VLOOKUP($B$30,Calibration2!$B$172:$T$206,HLOOKUP($D32,Calibration2!$C$3:$T$4,2,FALSE),FALSE)</f>
        <v>0</v>
      </c>
      <c r="G32" s="21">
        <f ca="1">VLOOKUP($B$30,Calibrati22!$B$172:$T$206,HLOOKUP($D32,Calibrati22!$C$3:$T$4,2,FALSE),FALSE)</f>
        <v>0</v>
      </c>
      <c r="H32" s="62">
        <f t="shared" si="3"/>
        <v>0</v>
      </c>
      <c r="I32" s="62">
        <f t="shared" si="3"/>
        <v>0</v>
      </c>
      <c r="J32" s="542"/>
      <c r="K32" s="9"/>
      <c r="L32" s="542"/>
      <c r="M32" s="542"/>
      <c r="N32" s="9"/>
      <c r="O32" s="9"/>
      <c r="P32" s="9"/>
      <c r="Q32" s="31"/>
      <c r="R32" s="31"/>
      <c r="S32" s="31"/>
      <c r="T32" s="427">
        <v>3</v>
      </c>
      <c r="U32" s="31"/>
      <c r="V32" s="31"/>
      <c r="W32" s="31"/>
    </row>
    <row r="33" spans="1:23">
      <c r="B33" s="9"/>
      <c r="C33" s="23"/>
      <c r="D33" s="9" t="s">
        <v>915</v>
      </c>
      <c r="E33" s="9"/>
      <c r="F33" s="21">
        <f ca="1">VLOOKUP($B$30,Calibration2!$B$172:$T$206,HLOOKUP($D33,Calibration2!$C$3:$T$4,2,FALSE),FALSE)</f>
        <v>0</v>
      </c>
      <c r="G33" s="21">
        <f ca="1">VLOOKUP($B$30,Calibrati22!$B$172:$T$206,HLOOKUP($D33,Calibrati22!$C$3:$T$4,2,FALSE),FALSE)</f>
        <v>0</v>
      </c>
      <c r="H33" s="62">
        <f t="shared" si="3"/>
        <v>0</v>
      </c>
      <c r="I33" s="62">
        <f t="shared" si="3"/>
        <v>0</v>
      </c>
      <c r="J33" s="542"/>
      <c r="K33" s="9"/>
      <c r="L33" s="542"/>
      <c r="M33" s="542"/>
      <c r="N33" s="9"/>
      <c r="O33" s="9"/>
      <c r="P33" s="9"/>
      <c r="Q33" s="31"/>
      <c r="R33" s="31"/>
      <c r="S33" s="31"/>
      <c r="T33" s="427">
        <v>3</v>
      </c>
      <c r="U33" s="31"/>
      <c r="V33" s="31"/>
      <c r="W33" s="31"/>
    </row>
    <row r="34" spans="1:23">
      <c r="B34" s="9"/>
      <c r="C34" s="50"/>
      <c r="D34" s="23" t="s">
        <v>960</v>
      </c>
      <c r="E34" s="9"/>
      <c r="F34" s="21">
        <f ca="1">INDEX(Calibration2!$AL$251:$AL$255,MATCH($B30,Calibration2!$B$251:$B$255,0))</f>
        <v>0</v>
      </c>
      <c r="G34" s="21">
        <f ca="1">INDEX(Calibrati22!$AL$251:$AL$255,MATCH($B30,Calibrati22!$B$251:$B$255,0))</f>
        <v>0</v>
      </c>
      <c r="H34" s="62">
        <f t="shared" si="3"/>
        <v>0</v>
      </c>
      <c r="I34" s="62">
        <f t="shared" si="3"/>
        <v>0</v>
      </c>
      <c r="J34" s="542"/>
      <c r="K34" s="9"/>
      <c r="L34" s="542"/>
      <c r="M34" s="542"/>
      <c r="N34" s="9"/>
      <c r="O34" s="9"/>
      <c r="P34" s="9"/>
      <c r="Q34" s="31"/>
      <c r="R34" s="31"/>
      <c r="S34" s="31"/>
      <c r="T34" s="319"/>
      <c r="U34" s="319"/>
      <c r="V34" s="319"/>
      <c r="W34" s="319"/>
    </row>
    <row r="35" spans="1:23">
      <c r="B35" s="9"/>
      <c r="C35" s="23"/>
      <c r="D35" s="9" t="s">
        <v>570</v>
      </c>
      <c r="E35" s="9"/>
      <c r="F35" s="21">
        <f ca="1">VLOOKUP($B$30,Drivers2!$T$58:$V$76,3,FALSE)*VLOOKUP($D35,Calibration2!$A$220:$U$224,21,0)</f>
        <v>0</v>
      </c>
      <c r="G35" s="21">
        <f ca="1">VLOOKUP($B$30,Driver22!$T$58:$V$76,3,FALSE)*VLOOKUP($D35,Calibrati22!$A$220:$U$224,21,0)</f>
        <v>0</v>
      </c>
      <c r="H35" s="62">
        <f t="shared" si="3"/>
        <v>0</v>
      </c>
      <c r="I35" s="62">
        <f t="shared" si="3"/>
        <v>0</v>
      </c>
      <c r="J35" s="542"/>
      <c r="K35" s="9"/>
      <c r="L35" s="542"/>
      <c r="M35" s="542"/>
      <c r="N35" s="9"/>
      <c r="O35" s="9"/>
      <c r="P35" s="9"/>
      <c r="Q35" s="31"/>
      <c r="R35" s="31"/>
      <c r="S35" s="31"/>
      <c r="T35" s="31"/>
      <c r="U35" s="31"/>
      <c r="V35" s="31"/>
      <c r="W35" s="31"/>
    </row>
    <row r="36" spans="1:23">
      <c r="B36" s="9"/>
      <c r="C36" s="23"/>
      <c r="D36" s="9" t="s">
        <v>572</v>
      </c>
      <c r="E36" s="9"/>
      <c r="F36" s="21">
        <f ca="1">VLOOKUP($B$30,Drivers2!$T$58:$V$76,2,FALSE)*VLOOKUP($D36,Calibration2!$A$211:$U$215,21,0)</f>
        <v>0</v>
      </c>
      <c r="G36" s="21">
        <f ca="1">VLOOKUP($B$30,Driver22!$T$58:$V$76,2,FALSE)*VLOOKUP($D36,Calibrati22!$A$211:$U$215,21,0)</f>
        <v>0</v>
      </c>
      <c r="H36" s="62">
        <f t="shared" si="3"/>
        <v>0</v>
      </c>
      <c r="I36" s="62">
        <f t="shared" si="3"/>
        <v>0</v>
      </c>
      <c r="J36" s="542"/>
      <c r="K36" s="9"/>
      <c r="L36" s="542"/>
      <c r="M36" s="542"/>
      <c r="N36" s="9"/>
      <c r="O36" s="9"/>
      <c r="P36" s="9"/>
      <c r="Q36" s="31"/>
      <c r="R36" s="31"/>
      <c r="S36" s="31"/>
      <c r="T36" s="31"/>
      <c r="U36" s="31"/>
      <c r="V36" s="31"/>
      <c r="W36" s="31"/>
    </row>
    <row r="37" spans="1:23" ht="13.5" thickBot="1">
      <c r="A37" s="6"/>
      <c r="B37" s="22"/>
      <c r="C37" s="24"/>
      <c r="D37" s="22"/>
      <c r="E37" s="22" t="s">
        <v>357</v>
      </c>
      <c r="F37" s="28"/>
      <c r="G37" s="28"/>
      <c r="H37" s="541"/>
      <c r="I37" s="9"/>
      <c r="J37" s="545"/>
      <c r="K37" s="9"/>
      <c r="L37" s="545"/>
      <c r="M37" s="545"/>
      <c r="N37" s="22"/>
      <c r="O37" s="22"/>
      <c r="P37" s="9"/>
      <c r="Q37" s="29"/>
      <c r="R37" s="29"/>
      <c r="S37" s="29"/>
      <c r="T37" s="29"/>
      <c r="U37" s="29"/>
      <c r="V37" s="29"/>
      <c r="W37" s="29"/>
    </row>
    <row r="38" spans="1:23">
      <c r="B38" s="516" t="s">
        <v>1380</v>
      </c>
      <c r="C38" s="517" t="str">
        <f>E37</f>
        <v>ICHAMM</v>
      </c>
      <c r="D38" s="517"/>
      <c r="E38" s="517"/>
      <c r="F38" s="580">
        <f ca="1">SUM(F30:F36)</f>
        <v>0</v>
      </c>
      <c r="G38" s="580">
        <f ca="1">SUM(G30:G36)</f>
        <v>0</v>
      </c>
      <c r="H38" s="580">
        <f ca="1">VLOOKUP($E37&amp;"000",Drivers2!$E$58:$H$79,4,FALSE)</f>
        <v>0</v>
      </c>
      <c r="I38" s="580">
        <f ca="1">VLOOKUP($E37&amp;"000",Driver22!$E$58:$H$79,4,FALSE)</f>
        <v>0</v>
      </c>
      <c r="J38" s="580">
        <f ca="1">F38/(H38+Tiny)</f>
        <v>0</v>
      </c>
      <c r="K38" s="580">
        <f ca="1">G38/(I38+Tiny)</f>
        <v>0</v>
      </c>
      <c r="L38" s="518"/>
      <c r="M38" s="518"/>
      <c r="N38" s="517"/>
      <c r="O38" s="517" t="s">
        <v>784</v>
      </c>
      <c r="P38" s="517"/>
      <c r="Q38" s="517"/>
      <c r="R38" s="517"/>
      <c r="S38" s="517"/>
      <c r="T38" s="517"/>
      <c r="U38" s="517"/>
      <c r="V38" s="517"/>
      <c r="W38" s="517"/>
    </row>
    <row r="39" spans="1:23">
      <c r="B39" s="35" t="s">
        <v>356</v>
      </c>
      <c r="C39" s="23" t="s">
        <v>355</v>
      </c>
      <c r="D39" s="9" t="s">
        <v>84</v>
      </c>
      <c r="E39" s="9"/>
      <c r="F39" s="21">
        <f ca="1">VLOOKUP($B39,Calibration2!$B$172:$T$206,2,FALSE)</f>
        <v>0</v>
      </c>
      <c r="G39" s="21">
        <f ca="1">VLOOKUP($B39,Calibrati22!$B$172:$T$206,2,FALSE)</f>
        <v>0</v>
      </c>
      <c r="H39" s="62">
        <f t="shared" ref="H39:I44" si="4">IF($H$46=0,0,F39/$H$46)</f>
        <v>0</v>
      </c>
      <c r="I39" s="62">
        <f t="shared" si="4"/>
        <v>0</v>
      </c>
      <c r="J39" s="542">
        <f>H46</f>
        <v>0</v>
      </c>
      <c r="K39" s="542">
        <f>I46</f>
        <v>0</v>
      </c>
      <c r="L39" s="542">
        <v>0</v>
      </c>
      <c r="M39" s="17">
        <v>1</v>
      </c>
      <c r="N39" s="12">
        <v>1</v>
      </c>
      <c r="O39" s="12">
        <v>30</v>
      </c>
      <c r="P39" s="9"/>
      <c r="Q39" s="31"/>
      <c r="R39" s="31"/>
      <c r="S39" s="31"/>
      <c r="T39" s="31"/>
      <c r="U39" s="31"/>
      <c r="V39" s="31"/>
      <c r="W39" s="31"/>
    </row>
    <row r="40" spans="1:23">
      <c r="B40" s="9"/>
      <c r="C40" s="23"/>
      <c r="D40" s="9" t="s">
        <v>906</v>
      </c>
      <c r="E40" s="9"/>
      <c r="F40" s="21">
        <f ca="1">VLOOKUP($B$39,Calibration2!$B$172:$T$206,HLOOKUP($D40,Calibration2!$C$3:$T$4,2,FALSE),FALSE)</f>
        <v>0</v>
      </c>
      <c r="G40" s="21">
        <f ca="1">VLOOKUP($B$39,Calibrati22!$B$172:$T$206,HLOOKUP($D40,Calibrati22!$C$3:$T$4,2,FALSE),FALSE)</f>
        <v>0</v>
      </c>
      <c r="H40" s="62">
        <f t="shared" si="4"/>
        <v>0</v>
      </c>
      <c r="I40" s="62">
        <f t="shared" si="4"/>
        <v>0</v>
      </c>
      <c r="J40" s="542"/>
      <c r="K40" s="9"/>
      <c r="L40" s="542"/>
      <c r="M40" s="542"/>
      <c r="N40" s="9"/>
      <c r="O40" s="9"/>
      <c r="P40" s="9"/>
      <c r="Q40" s="31"/>
      <c r="R40" s="31"/>
      <c r="S40" s="31"/>
      <c r="T40" s="31"/>
      <c r="U40" s="31"/>
      <c r="V40" s="31"/>
      <c r="W40" s="31"/>
    </row>
    <row r="41" spans="1:23">
      <c r="B41" s="9"/>
      <c r="C41" s="23"/>
      <c r="D41" s="9" t="s">
        <v>909</v>
      </c>
      <c r="E41" s="9"/>
      <c r="F41" s="21">
        <f ca="1">VLOOKUP($B$39,Calibration2!$B$172:$T$206,HLOOKUP($D41,Calibration2!$C$3:$T$4,2,FALSE),FALSE)</f>
        <v>0</v>
      </c>
      <c r="G41" s="21">
        <f ca="1">VLOOKUP($B$39,Calibrati22!$B$172:$T$206,HLOOKUP($D41,Calibrati22!$C$3:$T$4,2,FALSE),FALSE)</f>
        <v>0</v>
      </c>
      <c r="H41" s="62">
        <f t="shared" si="4"/>
        <v>0</v>
      </c>
      <c r="I41" s="62">
        <f t="shared" si="4"/>
        <v>0</v>
      </c>
      <c r="J41" s="542"/>
      <c r="K41" s="9"/>
      <c r="L41" s="542"/>
      <c r="M41" s="542"/>
      <c r="N41" s="9"/>
      <c r="O41" s="9"/>
      <c r="P41" s="9"/>
      <c r="Q41" s="31"/>
      <c r="R41" s="31"/>
      <c r="S41" s="31"/>
      <c r="T41" s="427">
        <v>3</v>
      </c>
      <c r="U41" s="31"/>
      <c r="V41" s="31"/>
      <c r="W41" s="31"/>
    </row>
    <row r="42" spans="1:23">
      <c r="B42" s="9"/>
      <c r="C42" s="50"/>
      <c r="D42" s="23" t="s">
        <v>960</v>
      </c>
      <c r="E42" s="9"/>
      <c r="F42" s="21">
        <f ca="1">INDEX(Calibration2!$AL$251:$AL$255,MATCH($B39,Calibration2!$B$251:$B$255,0))</f>
        <v>0</v>
      </c>
      <c r="G42" s="21">
        <f ca="1">INDEX(Calibrati22!$AL$251:$AL$255,MATCH($B39,Calibrati22!$B$251:$B$255,0))</f>
        <v>0</v>
      </c>
      <c r="H42" s="62">
        <f t="shared" si="4"/>
        <v>0</v>
      </c>
      <c r="I42" s="62">
        <f t="shared" si="4"/>
        <v>0</v>
      </c>
      <c r="J42" s="542"/>
      <c r="K42" s="9"/>
      <c r="L42" s="542"/>
      <c r="M42" s="542"/>
      <c r="N42" s="9"/>
      <c r="O42" s="9"/>
      <c r="P42" s="9"/>
      <c r="Q42" s="31"/>
      <c r="R42" s="31"/>
      <c r="S42" s="31"/>
      <c r="T42" s="319"/>
      <c r="U42" s="319"/>
      <c r="V42" s="319"/>
      <c r="W42" s="319"/>
    </row>
    <row r="43" spans="1:23">
      <c r="B43" s="9"/>
      <c r="C43" s="23"/>
      <c r="D43" s="9" t="s">
        <v>570</v>
      </c>
      <c r="E43" s="9"/>
      <c r="F43" s="21">
        <f ca="1">VLOOKUP($B$39,Drivers2!$T$58:$V$76,3,FALSE)*VLOOKUP($D43,Calibration2!$A$220:$U$224,21,0)</f>
        <v>0</v>
      </c>
      <c r="G43" s="21">
        <f ca="1">VLOOKUP($B$39,Driver22!$T$58:$V$76,3,FALSE)*VLOOKUP($D43,Calibrati22!$A$220:$U$224,21,0)</f>
        <v>0</v>
      </c>
      <c r="H43" s="62">
        <f t="shared" si="4"/>
        <v>0</v>
      </c>
      <c r="I43" s="62">
        <f t="shared" si="4"/>
        <v>0</v>
      </c>
      <c r="J43" s="542"/>
      <c r="K43" s="9"/>
      <c r="L43" s="542"/>
      <c r="M43" s="542"/>
      <c r="N43" s="9"/>
      <c r="O43" s="9"/>
      <c r="P43" s="9"/>
      <c r="Q43" s="31"/>
      <c r="R43" s="31"/>
      <c r="S43" s="31"/>
      <c r="T43" s="31"/>
      <c r="U43" s="31"/>
      <c r="V43" s="31"/>
      <c r="W43" s="31"/>
    </row>
    <row r="44" spans="1:23">
      <c r="B44" s="9"/>
      <c r="C44" s="23"/>
      <c r="D44" s="9" t="s">
        <v>572</v>
      </c>
      <c r="E44" s="9"/>
      <c r="F44" s="21">
        <f ca="1">VLOOKUP($B$39,Drivers2!$T$58:$V$76,2,FALSE)*VLOOKUP($D44,Calibration2!$A$211:$U$215,21,0)</f>
        <v>0</v>
      </c>
      <c r="G44" s="21">
        <f ca="1">VLOOKUP($B$39,Driver22!$T$58:$V$76,2,FALSE)*VLOOKUP($D44,Calibrati22!$A$211:$U$215,21,0)</f>
        <v>0</v>
      </c>
      <c r="H44" s="62">
        <f t="shared" si="4"/>
        <v>0</v>
      </c>
      <c r="I44" s="62">
        <f t="shared" si="4"/>
        <v>0</v>
      </c>
      <c r="J44" s="542"/>
      <c r="K44" s="9"/>
      <c r="L44" s="542"/>
      <c r="M44" s="542"/>
      <c r="N44" s="9"/>
      <c r="O44" s="9"/>
      <c r="P44" s="9"/>
      <c r="Q44" s="31"/>
      <c r="R44" s="31"/>
      <c r="S44" s="31"/>
      <c r="T44" s="31"/>
      <c r="U44" s="31"/>
      <c r="V44" s="31"/>
      <c r="W44" s="31"/>
    </row>
    <row r="45" spans="1:23" ht="13.5" thickBot="1">
      <c r="A45" s="6"/>
      <c r="B45" s="22"/>
      <c r="C45" s="24"/>
      <c r="D45" s="22"/>
      <c r="E45" s="22" t="s">
        <v>354</v>
      </c>
      <c r="F45" s="28"/>
      <c r="G45" s="28"/>
      <c r="H45" s="541"/>
      <c r="I45" s="9"/>
      <c r="J45" s="545"/>
      <c r="K45" s="9"/>
      <c r="L45" s="545"/>
      <c r="M45" s="545"/>
      <c r="N45" s="22"/>
      <c r="O45" s="22"/>
      <c r="P45" s="9"/>
      <c r="Q45" s="29"/>
      <c r="R45" s="29"/>
      <c r="S45" s="29"/>
      <c r="T45" s="29"/>
      <c r="U45" s="29"/>
      <c r="V45" s="29"/>
      <c r="W45" s="29"/>
    </row>
    <row r="46" spans="1:23">
      <c r="A46" s="6"/>
      <c r="B46" s="516" t="s">
        <v>1380</v>
      </c>
      <c r="C46" s="517" t="str">
        <f>E45</f>
        <v>ICHMTH</v>
      </c>
      <c r="D46" s="517"/>
      <c r="E46" s="517"/>
      <c r="F46" s="581">
        <f ca="1">SUM(F39:F44)</f>
        <v>0</v>
      </c>
      <c r="G46" s="581">
        <f ca="1">SUM(G39:G44)</f>
        <v>0</v>
      </c>
      <c r="H46" s="581">
        <f ca="1">VLOOKUP($E45&amp;"000",Drivers2!$E$58:$H$79,4,FALSE)</f>
        <v>0</v>
      </c>
      <c r="I46" s="581">
        <f ca="1">VLOOKUP($E45&amp;"000",Driver22!$E$58:$H$79,4,FALSE)</f>
        <v>0</v>
      </c>
      <c r="J46" s="581">
        <f ca="1">F46/(H46+Tiny)</f>
        <v>0</v>
      </c>
      <c r="K46" s="581">
        <f ca="1">G46/(I46+Tiny)</f>
        <v>0</v>
      </c>
      <c r="L46" s="518"/>
      <c r="M46" s="518"/>
      <c r="N46" s="517"/>
      <c r="O46" s="517"/>
      <c r="P46" s="517"/>
      <c r="Q46" s="517"/>
      <c r="R46" s="517"/>
      <c r="S46" s="517"/>
      <c r="T46" s="517"/>
      <c r="U46" s="517"/>
      <c r="V46" s="517"/>
      <c r="W46" s="517"/>
    </row>
    <row r="47" spans="1:23">
      <c r="A47" s="6"/>
      <c r="B47" s="35" t="s">
        <v>541</v>
      </c>
      <c r="C47" s="23" t="s">
        <v>437</v>
      </c>
      <c r="D47" s="9" t="s">
        <v>84</v>
      </c>
      <c r="E47" s="52"/>
      <c r="F47" s="21">
        <f ca="1">VLOOKUP($B47,Calibration2!$B$172:$T$206,2,FALSE)</f>
        <v>0</v>
      </c>
      <c r="G47" s="21">
        <f ca="1">VLOOKUP($B47,Calibrati22!$B$172:$T$206,2,FALSE)</f>
        <v>0</v>
      </c>
      <c r="H47" s="62">
        <f t="shared" ref="H47:I49" si="5">IF(H$52=0,0,F47/H$52)</f>
        <v>0</v>
      </c>
      <c r="I47" s="62">
        <f t="shared" si="5"/>
        <v>0</v>
      </c>
      <c r="J47" s="542">
        <f>H52</f>
        <v>0</v>
      </c>
      <c r="K47" s="542">
        <f>I52</f>
        <v>0</v>
      </c>
      <c r="L47" s="543">
        <v>0</v>
      </c>
      <c r="M47" s="17">
        <v>1</v>
      </c>
      <c r="N47" s="12">
        <v>1</v>
      </c>
      <c r="O47" s="12">
        <v>30</v>
      </c>
      <c r="P47" s="9"/>
      <c r="Q47" s="55"/>
      <c r="R47" s="55"/>
      <c r="S47" s="55"/>
      <c r="T47" s="55"/>
      <c r="U47" s="55"/>
      <c r="V47" s="55"/>
      <c r="W47" s="55"/>
    </row>
    <row r="48" spans="1:23">
      <c r="A48" s="6"/>
      <c r="B48" s="35"/>
      <c r="C48" s="23"/>
      <c r="D48" s="9" t="s">
        <v>570</v>
      </c>
      <c r="E48" s="52"/>
      <c r="F48" s="21">
        <f ca="1">VLOOKUP($B$47,Drivers2!$T$58:$V$76,3,FALSE)*VLOOKUP($D48,Calibration2!$A$220:$U$224,21,0)</f>
        <v>0</v>
      </c>
      <c r="G48" s="21">
        <f ca="1">VLOOKUP($B$47,Driver22!$T$58:$V$76,3,FALSE)*VLOOKUP($D48,Calibrati22!$A$220:$U$224,21,0)</f>
        <v>0</v>
      </c>
      <c r="H48" s="62">
        <f t="shared" si="5"/>
        <v>0</v>
      </c>
      <c r="I48" s="62">
        <f t="shared" si="5"/>
        <v>0</v>
      </c>
      <c r="J48" s="543"/>
      <c r="K48" s="9"/>
      <c r="L48" s="543"/>
      <c r="M48" s="543"/>
      <c r="N48" s="52"/>
      <c r="O48" s="52"/>
      <c r="P48" s="9"/>
      <c r="Q48" s="55"/>
      <c r="R48" s="55"/>
      <c r="S48" s="55"/>
      <c r="T48" s="55"/>
      <c r="U48" s="55"/>
      <c r="V48" s="55"/>
      <c r="W48" s="55"/>
    </row>
    <row r="49" spans="1:23">
      <c r="A49" s="6"/>
      <c r="B49" s="52"/>
      <c r="C49" s="50"/>
      <c r="D49" s="9" t="s">
        <v>572</v>
      </c>
      <c r="E49" s="52"/>
      <c r="F49" s="21">
        <f ca="1">VLOOKUP($B$47,Drivers2!$T$58:$V$76,2,FALSE)*VLOOKUP($D49,Calibration2!$A$211:$U$215,21,0)</f>
        <v>0</v>
      </c>
      <c r="G49" s="21">
        <f ca="1">VLOOKUP($B$47,Driver22!$T$58:$V$76,2,FALSE)*VLOOKUP($D49,Calibrati22!$A$211:$U$215,21,0)</f>
        <v>0</v>
      </c>
      <c r="H49" s="62">
        <f t="shared" si="5"/>
        <v>0</v>
      </c>
      <c r="I49" s="62">
        <f t="shared" si="5"/>
        <v>0</v>
      </c>
      <c r="J49" s="543"/>
      <c r="K49" s="9"/>
      <c r="L49" s="543"/>
      <c r="M49" s="543"/>
      <c r="N49" s="52"/>
      <c r="O49" s="52"/>
      <c r="P49" s="9"/>
      <c r="Q49" s="55"/>
      <c r="R49" s="55"/>
      <c r="S49" s="55"/>
      <c r="T49" s="55"/>
      <c r="U49" s="55"/>
      <c r="V49" s="55"/>
      <c r="W49" s="55"/>
    </row>
    <row r="50" spans="1:23">
      <c r="A50" s="6"/>
      <c r="B50" s="52"/>
      <c r="C50" s="50"/>
      <c r="D50" s="23" t="s">
        <v>395</v>
      </c>
      <c r="E50" s="52"/>
      <c r="F50" s="21"/>
      <c r="G50" s="21"/>
      <c r="H50" s="62">
        <f ca="1">Tiny</f>
        <v>1.0000000000000001E-9</v>
      </c>
      <c r="I50" s="62">
        <f ca="1">Tiny</f>
        <v>1.0000000000000001E-9</v>
      </c>
      <c r="J50" s="543"/>
      <c r="K50" s="9"/>
      <c r="L50" s="543"/>
      <c r="M50" s="543"/>
      <c r="N50" s="52"/>
      <c r="O50" s="52"/>
      <c r="P50" s="9"/>
      <c r="Q50" s="55"/>
      <c r="R50" s="55"/>
      <c r="S50" s="55"/>
      <c r="T50" s="55"/>
      <c r="U50" s="55"/>
      <c r="V50" s="55"/>
      <c r="W50" s="55"/>
    </row>
    <row r="51" spans="1:23" ht="13.5" thickBot="1">
      <c r="A51" s="6"/>
      <c r="B51" s="52"/>
      <c r="C51" s="50"/>
      <c r="D51" s="52"/>
      <c r="E51" s="22" t="s">
        <v>540</v>
      </c>
      <c r="F51" s="53"/>
      <c r="G51" s="53"/>
      <c r="H51" s="544"/>
      <c r="I51" s="9"/>
      <c r="J51" s="543"/>
      <c r="K51" s="9"/>
      <c r="L51" s="543"/>
      <c r="M51" s="543"/>
      <c r="N51" s="52"/>
      <c r="O51" s="52"/>
      <c r="P51" s="9"/>
      <c r="Q51" s="55"/>
      <c r="R51" s="55"/>
      <c r="S51" s="55"/>
      <c r="T51" s="55"/>
      <c r="U51" s="55"/>
      <c r="V51" s="55"/>
      <c r="W51" s="55"/>
    </row>
    <row r="52" spans="1:23">
      <c r="A52" s="6"/>
      <c r="B52" s="516" t="s">
        <v>1380</v>
      </c>
      <c r="C52" s="517" t="str">
        <f>E51</f>
        <v>ICHCHL</v>
      </c>
      <c r="D52" s="517"/>
      <c r="E52" s="517"/>
      <c r="F52" s="580">
        <f ca="1">SUM(F47:F49)</f>
        <v>0</v>
      </c>
      <c r="G52" s="580">
        <f ca="1">SUM(G47:G49)</f>
        <v>0</v>
      </c>
      <c r="H52" s="580">
        <f ca="1">VLOOKUP($E51&amp;"000",Drivers2!$E$58:$H$79,4,FALSE)</f>
        <v>0</v>
      </c>
      <c r="I52" s="580">
        <f ca="1">VLOOKUP($E51&amp;"000",Driver22!$E$58:$H$79,4,FALSE)</f>
        <v>0</v>
      </c>
      <c r="J52" s="517"/>
      <c r="K52" s="517"/>
      <c r="L52" s="518"/>
      <c r="M52" s="518"/>
      <c r="N52" s="517"/>
      <c r="O52" s="517"/>
      <c r="P52" s="517"/>
      <c r="Q52" s="517"/>
      <c r="R52" s="517"/>
      <c r="S52" s="517"/>
      <c r="T52" s="517"/>
      <c r="U52" s="517"/>
      <c r="V52" s="517"/>
      <c r="W52" s="517"/>
    </row>
    <row r="53" spans="1:23">
      <c r="A53" s="6"/>
      <c r="B53" s="35" t="s">
        <v>536</v>
      </c>
      <c r="C53" s="50" t="s">
        <v>537</v>
      </c>
      <c r="D53" s="9" t="s">
        <v>84</v>
      </c>
      <c r="E53" s="52"/>
      <c r="F53" s="21">
        <f ca="1">VLOOKUP($B53,Calibration2!$B$172:$T$206,2,FALSE)*Drivers2!$S$4</f>
        <v>9.3859379245489136E-2</v>
      </c>
      <c r="G53" s="21">
        <f ca="1">VLOOKUP($B53,Calibrati22!$B$172:$T$206,2,FALSE)*Driver22!$S$4</f>
        <v>7.2753206882825841E-2</v>
      </c>
      <c r="H53" s="62">
        <f t="shared" ref="H53:I57" si="6">F53/H$59</f>
        <v>0.93859379245489127</v>
      </c>
      <c r="I53" s="62">
        <f t="shared" si="6"/>
        <v>0.72753206882825838</v>
      </c>
      <c r="J53" s="55"/>
      <c r="K53" s="55"/>
      <c r="L53" s="55"/>
      <c r="M53" s="55"/>
      <c r="N53" s="55"/>
      <c r="O53" s="55"/>
      <c r="P53" s="9"/>
      <c r="Q53" s="55"/>
      <c r="R53" s="55"/>
      <c r="S53" s="55"/>
      <c r="T53" s="363">
        <v>2017</v>
      </c>
      <c r="U53" s="363"/>
      <c r="V53" s="363"/>
      <c r="W53" s="363"/>
    </row>
    <row r="54" spans="1:23">
      <c r="A54" s="6"/>
      <c r="B54" s="35"/>
      <c r="C54" s="50"/>
      <c r="D54" s="23" t="s">
        <v>960</v>
      </c>
      <c r="E54" s="52"/>
      <c r="F54" s="21">
        <f ca="1">INDEX(Calibration2!$AL$251:$AL$255,MATCH($B53,Calibration2!$B$251:$B$255,0))</f>
        <v>0.30499999999999999</v>
      </c>
      <c r="G54" s="21">
        <f ca="1">INDEX(Calibrati22!$AL$251:$AL$255,MATCH($B53,Calibrati22!$B$251:$B$255,0))</f>
        <v>0</v>
      </c>
      <c r="H54" s="62">
        <f t="shared" si="6"/>
        <v>3.05</v>
      </c>
      <c r="I54" s="62">
        <f t="shared" si="6"/>
        <v>0</v>
      </c>
      <c r="J54" s="55"/>
      <c r="K54" s="55"/>
      <c r="L54" s="55"/>
      <c r="M54" s="55"/>
      <c r="N54" s="55"/>
      <c r="O54" s="55"/>
      <c r="P54" s="9"/>
      <c r="Q54" s="55"/>
      <c r="R54" s="55"/>
      <c r="S54" s="55"/>
      <c r="T54" s="363">
        <v>2017</v>
      </c>
      <c r="U54" s="363"/>
      <c r="V54" s="363"/>
      <c r="W54" s="363"/>
    </row>
    <row r="55" spans="1:23">
      <c r="A55" s="6"/>
      <c r="B55" s="52"/>
      <c r="C55" s="50"/>
      <c r="D55" s="9" t="s">
        <v>570</v>
      </c>
      <c r="E55" s="52"/>
      <c r="F55" s="21">
        <f ca="1">VLOOKUP($B$53,Drivers2!$T$58:$V$77,3,FALSE)*VLOOKUP($D55,Calibration2!$A$220:$U$224,21,0)</f>
        <v>0.51619875638086998</v>
      </c>
      <c r="G55" s="21">
        <f ca="1">VLOOKUP($B$53,Driver22!$T$58:$V$77,3,FALSE)*VLOOKUP($D55,Calibrati22!$A$220:$U$224,21,0)</f>
        <v>0.31537181569118455</v>
      </c>
      <c r="H55" s="62">
        <f t="shared" si="6"/>
        <v>5.1619875638086992</v>
      </c>
      <c r="I55" s="62">
        <f t="shared" si="6"/>
        <v>3.1537181569118453</v>
      </c>
      <c r="J55" s="55"/>
      <c r="K55" s="55"/>
      <c r="L55" s="55"/>
      <c r="M55" s="55"/>
      <c r="N55" s="55"/>
      <c r="O55" s="55"/>
      <c r="P55" s="9"/>
      <c r="Q55" s="55"/>
      <c r="R55" s="55"/>
      <c r="S55" s="55"/>
      <c r="T55" s="363">
        <v>2017</v>
      </c>
      <c r="U55" s="363"/>
      <c r="V55" s="363"/>
      <c r="W55" s="363"/>
    </row>
    <row r="56" spans="1:23">
      <c r="A56" s="6"/>
      <c r="B56" s="52"/>
      <c r="C56" s="50"/>
      <c r="D56" s="9" t="s">
        <v>572</v>
      </c>
      <c r="E56" s="52"/>
      <c r="F56" s="21">
        <f ca="1">VLOOKUP($B$53,Drivers2!$T$58:$V$77,2,FALSE)*VLOOKUP($D56,Calibration2!$A$211:$U$215,21,0)</f>
        <v>0.20026141111755758</v>
      </c>
      <c r="G56" s="21">
        <f ca="1">VLOOKUP($B$53,Driver22!$T$58:$V$77,2,FALSE)*VLOOKUP($D56,Calibrati22!$A$211:$U$215,21,0)</f>
        <v>0.19591425652240449</v>
      </c>
      <c r="H56" s="62">
        <f t="shared" si="6"/>
        <v>2.0026141111755758</v>
      </c>
      <c r="I56" s="62">
        <f t="shared" si="6"/>
        <v>1.9591425652240448</v>
      </c>
      <c r="J56" s="55"/>
      <c r="K56" s="55"/>
      <c r="L56" s="55"/>
      <c r="M56" s="55"/>
      <c r="N56" s="55"/>
      <c r="O56" s="55"/>
      <c r="P56" s="9"/>
      <c r="Q56" s="55"/>
      <c r="R56" s="55"/>
      <c r="S56" s="55"/>
      <c r="T56" s="363">
        <v>2017</v>
      </c>
      <c r="U56" s="363"/>
      <c r="V56" s="363"/>
      <c r="W56" s="363"/>
    </row>
    <row r="57" spans="1:23">
      <c r="A57" s="6"/>
      <c r="B57" s="52"/>
      <c r="C57" s="50"/>
      <c r="D57" s="9" t="s">
        <v>576</v>
      </c>
      <c r="E57" s="52"/>
      <c r="F57" s="21">
        <f ca="1">IOCH2!J$16</f>
        <v>0.21378180524574764</v>
      </c>
      <c r="G57" s="21">
        <f ca="1">IOCH2!K$16</f>
        <v>0.50288415990601343</v>
      </c>
      <c r="H57" s="62">
        <f t="shared" si="6"/>
        <v>2.1378180524574764</v>
      </c>
      <c r="I57" s="62">
        <f t="shared" si="6"/>
        <v>5.0288415990601338</v>
      </c>
      <c r="J57" s="55"/>
      <c r="K57" s="55"/>
      <c r="L57" s="55"/>
      <c r="M57" s="55"/>
      <c r="N57" s="55"/>
      <c r="O57" s="55"/>
      <c r="P57" s="9"/>
      <c r="Q57" s="55"/>
      <c r="R57" s="55"/>
      <c r="S57" s="55"/>
      <c r="T57" s="363">
        <v>2017</v>
      </c>
      <c r="U57" s="363"/>
      <c r="V57" s="363"/>
      <c r="W57" s="363"/>
    </row>
    <row r="58" spans="1:23" ht="13.5" thickBot="1">
      <c r="A58" s="6"/>
      <c r="B58" s="52"/>
      <c r="C58" s="50"/>
      <c r="D58" s="52"/>
      <c r="E58" s="52" t="s">
        <v>535</v>
      </c>
      <c r="F58" s="53"/>
      <c r="G58" s="53"/>
      <c r="H58" s="544"/>
      <c r="I58" s="9"/>
      <c r="J58" s="55"/>
      <c r="K58" s="55"/>
      <c r="L58" s="55"/>
      <c r="M58" s="55"/>
      <c r="N58" s="55"/>
      <c r="O58" s="55"/>
      <c r="P58" s="9"/>
      <c r="Q58" s="55"/>
      <c r="R58" s="55"/>
      <c r="S58" s="55"/>
      <c r="T58" s="363"/>
      <c r="U58" s="363"/>
      <c r="V58" s="363"/>
      <c r="W58" s="363"/>
    </row>
    <row r="59" spans="1:23" ht="13.5" thickBot="1">
      <c r="B59" s="516" t="s">
        <v>902</v>
      </c>
      <c r="C59" s="517" t="str">
        <f>E58</f>
        <v>ICHOTH</v>
      </c>
      <c r="D59" s="517"/>
      <c r="E59" s="517"/>
      <c r="F59" s="580">
        <f>SUM(F53:F57)</f>
        <v>1.3291013519896644</v>
      </c>
      <c r="G59" s="580">
        <f>SUM(G53:G57)</f>
        <v>1.0869234390024283</v>
      </c>
      <c r="H59" s="580">
        <f>MAX(0.1,J59)</f>
        <v>0.1</v>
      </c>
      <c r="I59" s="580">
        <f>MAX(0.1,K59)</f>
        <v>0.1</v>
      </c>
      <c r="J59" s="580">
        <f>SUMIF($B$6:$B$52,"~*",H$6:H$52)</f>
        <v>0</v>
      </c>
      <c r="K59" s="580">
        <f>SUMIF($B$6:$B$52,"~*",I$6:I$52)</f>
        <v>0</v>
      </c>
      <c r="L59" s="518"/>
      <c r="M59" s="518"/>
      <c r="N59" s="517"/>
      <c r="O59" s="517" t="s">
        <v>784</v>
      </c>
      <c r="P59" s="517"/>
      <c r="Q59" s="517"/>
      <c r="R59" s="517"/>
      <c r="S59" s="517"/>
      <c r="T59" s="517"/>
      <c r="U59" s="517"/>
      <c r="V59" s="517"/>
      <c r="W59" s="517"/>
    </row>
    <row r="60" spans="1:23" ht="38.25">
      <c r="B60" s="266" t="s">
        <v>385</v>
      </c>
      <c r="C60" s="58" t="s">
        <v>386</v>
      </c>
      <c r="D60" s="51" t="s">
        <v>1248</v>
      </c>
      <c r="E60" s="51"/>
      <c r="F60" s="53">
        <f>SUMIF($D$5:$D$58,"IECH",F$5:F$58)</f>
        <v>9.3859379245489136E-2</v>
      </c>
      <c r="G60" s="53">
        <f>SUMIF($D$5:$D$58,"IECH",G$5:G$58)</f>
        <v>7.2753206882825841E-2</v>
      </c>
      <c r="H60" s="485">
        <v>1</v>
      </c>
      <c r="I60" s="485">
        <v>1</v>
      </c>
      <c r="J60" s="490"/>
      <c r="K60" s="490"/>
      <c r="L60" s="490"/>
      <c r="M60" s="490">
        <v>1</v>
      </c>
      <c r="N60" s="490">
        <v>1</v>
      </c>
      <c r="O60" s="491">
        <v>30</v>
      </c>
      <c r="P60" s="491">
        <v>100</v>
      </c>
      <c r="Q60" s="31"/>
      <c r="R60" s="31"/>
      <c r="S60" s="31"/>
      <c r="T60" s="31"/>
      <c r="U60" s="31"/>
      <c r="V60" s="31"/>
      <c r="W60" s="31"/>
    </row>
    <row r="61" spans="1:23" ht="13.5" thickBot="1">
      <c r="B61" s="22"/>
      <c r="C61" s="24"/>
      <c r="D61" s="22"/>
      <c r="E61" s="22" t="s">
        <v>84</v>
      </c>
      <c r="F61" s="28"/>
      <c r="G61" s="28"/>
      <c r="H61" s="28"/>
      <c r="I61" s="28"/>
      <c r="J61" s="489"/>
      <c r="K61" s="489"/>
      <c r="L61" s="489"/>
      <c r="M61" s="489"/>
      <c r="N61" s="489"/>
      <c r="O61" s="489"/>
      <c r="P61" s="489"/>
      <c r="Q61" s="29"/>
      <c r="R61" s="29"/>
      <c r="S61" s="29"/>
      <c r="T61" s="29"/>
      <c r="U61" s="29"/>
      <c r="V61" s="29"/>
      <c r="W61" s="29"/>
    </row>
    <row r="63" spans="1:23" ht="18">
      <c r="A63" s="8"/>
      <c r="E63" s="216"/>
    </row>
    <row r="64" spans="1:23" ht="18">
      <c r="A64" s="8"/>
      <c r="B64" s="10"/>
      <c r="C64" s="11"/>
      <c r="E64" s="216"/>
    </row>
    <row r="65" spans="1:25" ht="18">
      <c r="B65" s="86" t="s">
        <v>90</v>
      </c>
      <c r="C65" s="88"/>
      <c r="D65" s="88"/>
      <c r="E65" s="225" t="str">
        <f>"~FI_T: "&amp;Region</f>
        <v>~FI_T: FIM</v>
      </c>
      <c r="F65" s="34"/>
      <c r="G65" s="34" t="s">
        <v>784</v>
      </c>
      <c r="H65" s="34" t="s">
        <v>784</v>
      </c>
      <c r="I65" s="34" t="s">
        <v>784</v>
      </c>
      <c r="J65" s="34"/>
      <c r="V65" s="1"/>
      <c r="W65" s="1"/>
      <c r="X65" s="1"/>
      <c r="Y65" s="1"/>
    </row>
    <row r="66" spans="1:25" ht="26.25" thickBot="1">
      <c r="B66" s="45" t="s">
        <v>649</v>
      </c>
      <c r="C66" s="45" t="s">
        <v>650</v>
      </c>
      <c r="D66" s="45" t="s">
        <v>648</v>
      </c>
      <c r="E66" s="45" t="s">
        <v>651</v>
      </c>
      <c r="F66" s="45" t="s">
        <v>1288</v>
      </c>
      <c r="G66" s="45" t="s">
        <v>848</v>
      </c>
      <c r="H66" s="45" t="s">
        <v>556</v>
      </c>
      <c r="I66" s="45" t="s">
        <v>564</v>
      </c>
      <c r="J66" s="45" t="str">
        <f ca="1">"Input~"&amp;BaseYear</f>
        <v>Input~2010</v>
      </c>
      <c r="K66" s="45" t="str">
        <f ca="1">"Input~"&amp;AuxYear</f>
        <v>Input~2017</v>
      </c>
      <c r="L66" s="45" t="str">
        <f ca="1">"Input~"&amp;BaseYear+20</f>
        <v>Input~2030</v>
      </c>
      <c r="M66" s="45" t="str">
        <f ca="1">"Input~"&amp;BaseYear+30</f>
        <v>Input~2040</v>
      </c>
      <c r="N66" s="45" t="str">
        <f>"Input~"&amp;2050</f>
        <v>Input~2050</v>
      </c>
      <c r="O66" s="45" t="str">
        <f>"Input~"&amp;2100</f>
        <v>Input~2100</v>
      </c>
    </row>
    <row r="67" spans="1:25">
      <c r="B67" s="35" t="s">
        <v>788</v>
      </c>
      <c r="C67" s="23" t="s">
        <v>822</v>
      </c>
      <c r="D67" s="52" t="s">
        <v>359</v>
      </c>
      <c r="E67" s="9"/>
      <c r="F67" s="62">
        <v>1</v>
      </c>
      <c r="G67" s="62">
        <v>1</v>
      </c>
      <c r="H67" s="62">
        <v>5</v>
      </c>
      <c r="I67" s="319">
        <v>2017</v>
      </c>
      <c r="J67" s="31">
        <f>SUMIF($C$5:$C$60,$D67,H$5:H$60)/H$59</f>
        <v>0</v>
      </c>
      <c r="K67" s="31">
        <f>SUMIF($C$5:$C$60,$D67,I$5:I$60)/I$59</f>
        <v>0</v>
      </c>
      <c r="L67" s="31"/>
      <c r="M67" s="31"/>
      <c r="N67" s="31"/>
      <c r="O67" s="31"/>
    </row>
    <row r="68" spans="1:25">
      <c r="B68" s="9"/>
      <c r="C68" s="23"/>
      <c r="D68" s="52" t="s">
        <v>253</v>
      </c>
      <c r="E68" s="9"/>
      <c r="F68" s="62"/>
      <c r="G68" s="62"/>
      <c r="H68" s="62"/>
      <c r="I68" s="319">
        <v>2017</v>
      </c>
      <c r="J68" s="31">
        <f>SUMIF($C$5:$C$60,D68,H$5:H$60)/H$59</f>
        <v>0</v>
      </c>
      <c r="K68" s="31">
        <f>SUMIF($C$5:$C$60,$D68,I$5:I$60)/I$59</f>
        <v>0</v>
      </c>
      <c r="L68" s="31"/>
      <c r="M68" s="31"/>
      <c r="N68" s="31"/>
      <c r="O68" s="31"/>
    </row>
    <row r="69" spans="1:25">
      <c r="B69" s="9"/>
      <c r="C69" s="23"/>
      <c r="D69" s="52" t="s">
        <v>357</v>
      </c>
      <c r="E69" s="9"/>
      <c r="F69" s="62"/>
      <c r="G69" s="62"/>
      <c r="H69" s="62"/>
      <c r="I69" s="319">
        <v>2017</v>
      </c>
      <c r="J69" s="31">
        <f>SUMIF($C$5:$C$60,D69,H$5:H$60)/H$59</f>
        <v>0</v>
      </c>
      <c r="K69" s="31">
        <f>SUMIF($C$5:$C$60,$D69,I$5:I$60)/I$59</f>
        <v>0</v>
      </c>
      <c r="L69" s="31"/>
      <c r="M69" s="31"/>
      <c r="N69" s="31"/>
      <c r="O69" s="31"/>
    </row>
    <row r="70" spans="1:25">
      <c r="B70" s="9"/>
      <c r="C70" s="23"/>
      <c r="D70" s="52" t="s">
        <v>354</v>
      </c>
      <c r="E70" s="9"/>
      <c r="F70" s="62"/>
      <c r="G70" s="62"/>
      <c r="H70" s="62"/>
      <c r="I70" s="319">
        <v>2017</v>
      </c>
      <c r="J70" s="31">
        <f>SUMIF($C$5:$C$60,D70,H$5:H$60)/H$59</f>
        <v>0</v>
      </c>
      <c r="K70" s="31">
        <f>SUMIF($C$5:$C$60,$D70,I$5:I$60)/I$59</f>
        <v>0</v>
      </c>
      <c r="L70" s="31"/>
      <c r="M70" s="31"/>
      <c r="N70" s="31"/>
      <c r="O70" s="31"/>
    </row>
    <row r="71" spans="1:25">
      <c r="B71" s="9"/>
      <c r="C71" s="23"/>
      <c r="D71" s="52" t="s">
        <v>540</v>
      </c>
      <c r="E71" s="9"/>
      <c r="F71" s="62"/>
      <c r="G71" s="62"/>
      <c r="H71" s="62"/>
      <c r="I71" s="319">
        <v>2017</v>
      </c>
      <c r="J71" s="31">
        <f>SUMIF($C$5:$C$60,D71,H$5:H$60)/H$59</f>
        <v>0</v>
      </c>
      <c r="K71" s="31">
        <f>SUMIF($C$5:$C$60,$D71,I$5:I$60)/I$59</f>
        <v>0</v>
      </c>
      <c r="L71" s="31"/>
      <c r="M71" s="31"/>
      <c r="N71" s="31"/>
      <c r="O71" s="31"/>
    </row>
    <row r="72" spans="1:25">
      <c r="B72" s="9"/>
      <c r="C72" s="23"/>
      <c r="D72" s="52" t="s">
        <v>535</v>
      </c>
      <c r="E72" s="9"/>
      <c r="F72" s="62"/>
      <c r="G72" s="62"/>
      <c r="H72" s="62"/>
      <c r="I72" s="319">
        <v>2017</v>
      </c>
      <c r="J72" s="31">
        <f>SUMIF($C$5:$C$60,D72,H$5:H$60)/H$59</f>
        <v>1</v>
      </c>
      <c r="K72" s="31">
        <f>SUMIF($C$5:$C$60,$D72,I$5:I$60)/I$59</f>
        <v>1</v>
      </c>
      <c r="L72" s="31"/>
      <c r="M72" s="31"/>
      <c r="N72" s="31"/>
      <c r="O72" s="31"/>
    </row>
    <row r="73" spans="1:25" ht="13.5" thickBot="1">
      <c r="A73" s="6"/>
      <c r="B73" s="22"/>
      <c r="C73" s="24"/>
      <c r="D73" s="22"/>
      <c r="E73" s="22" t="s">
        <v>787</v>
      </c>
      <c r="F73" s="541"/>
      <c r="G73" s="541"/>
      <c r="H73" s="541"/>
      <c r="I73" s="29"/>
      <c r="J73" s="29"/>
      <c r="K73" s="29"/>
      <c r="L73" s="29"/>
      <c r="M73" s="29"/>
      <c r="N73" s="29"/>
      <c r="O73" s="29"/>
    </row>
    <row r="74" spans="1:25">
      <c r="B74" s="192" t="s">
        <v>902</v>
      </c>
      <c r="C74" s="198"/>
      <c r="D74" s="198"/>
      <c r="E74" s="198"/>
      <c r="F74" s="198"/>
      <c r="G74" s="198"/>
      <c r="H74" s="198"/>
      <c r="I74" s="198"/>
      <c r="J74" s="199">
        <f>SUM(J67:J71)</f>
        <v>0</v>
      </c>
      <c r="K74" s="199">
        <f>SUM(K67:K71)</f>
        <v>0</v>
      </c>
      <c r="L74" s="198"/>
      <c r="M74" s="198"/>
      <c r="N74" s="198"/>
      <c r="O74" s="198"/>
    </row>
    <row r="78" spans="1:25">
      <c r="D78" s="216"/>
    </row>
    <row r="79" spans="1:25" ht="18">
      <c r="B79" s="124" t="s">
        <v>89</v>
      </c>
      <c r="C79" s="125"/>
      <c r="D79" s="225"/>
      <c r="I79" s="2"/>
      <c r="N79" s="2"/>
      <c r="O79" s="2"/>
      <c r="P79" s="2"/>
      <c r="Q79" s="2"/>
      <c r="R79" s="2"/>
      <c r="S79" s="2"/>
      <c r="T79" s="2"/>
    </row>
    <row r="80" spans="1:25" ht="26.25" thickBot="1">
      <c r="B80" s="25" t="s">
        <v>772</v>
      </c>
      <c r="C80" s="25" t="s">
        <v>773</v>
      </c>
      <c r="D80" s="25" t="s">
        <v>778</v>
      </c>
      <c r="E80" s="25" t="s">
        <v>1083</v>
      </c>
      <c r="F80" s="25" t="str">
        <f ca="1">"DEMAND~"&amp;AuxYear</f>
        <v>DEMAND~2017</v>
      </c>
      <c r="G80" s="25"/>
      <c r="H80" s="25"/>
      <c r="I80" s="2"/>
      <c r="N80" s="2"/>
      <c r="O80" s="2"/>
      <c r="P80" s="2"/>
      <c r="Q80" s="2"/>
      <c r="R80" s="2"/>
      <c r="S80" s="2"/>
      <c r="T80" s="2"/>
    </row>
    <row r="81" spans="2:31">
      <c r="B81" s="27" t="s">
        <v>787</v>
      </c>
      <c r="C81" s="27" t="s">
        <v>786</v>
      </c>
      <c r="D81" s="483" t="s">
        <v>783</v>
      </c>
      <c r="E81" s="30">
        <f>H$59</f>
        <v>0.1</v>
      </c>
      <c r="F81" s="30">
        <f>I$59</f>
        <v>0.1</v>
      </c>
      <c r="G81" s="12"/>
      <c r="H81" s="12"/>
      <c r="I81" s="2"/>
      <c r="N81" s="2"/>
      <c r="O81" s="2"/>
      <c r="P81" s="2"/>
      <c r="Q81" s="2"/>
      <c r="R81" s="2"/>
      <c r="S81" s="2"/>
      <c r="T81" s="2"/>
    </row>
    <row r="92" spans="2:31"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</row>
    <row r="93" spans="2:31"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</row>
    <row r="94" spans="2:31"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55"/>
  <dimension ref="A1:AL45"/>
  <sheetViews>
    <sheetView topLeftCell="B1" zoomScale="75" workbookViewId="0">
      <selection activeCell="B21" sqref="B21"/>
    </sheetView>
  </sheetViews>
  <sheetFormatPr defaultColWidth="8.85546875" defaultRowHeight="12.75"/>
  <cols>
    <col min="1" max="1" width="8.85546875" customWidth="1"/>
    <col min="2" max="2" width="15.42578125" customWidth="1"/>
    <col min="3" max="3" width="24.28515625" customWidth="1"/>
    <col min="4" max="5" width="10.7109375" customWidth="1"/>
  </cols>
  <sheetData>
    <row r="1" spans="1:25">
      <c r="E1" s="216"/>
    </row>
    <row r="2" spans="1:25">
      <c r="E2" s="216"/>
    </row>
    <row r="3" spans="1:25">
      <c r="E3" s="216"/>
    </row>
    <row r="4" spans="1:25" ht="18">
      <c r="A4" s="8"/>
      <c r="B4" s="10"/>
      <c r="C4" s="11"/>
      <c r="E4" s="216"/>
      <c r="H4" t="s">
        <v>784</v>
      </c>
      <c r="Q4" s="12">
        <v>1</v>
      </c>
      <c r="R4" t="s">
        <v>146</v>
      </c>
    </row>
    <row r="5" spans="1:25" ht="18">
      <c r="B5" s="86" t="s">
        <v>11</v>
      </c>
      <c r="C5" s="88"/>
      <c r="D5" s="123"/>
      <c r="E5" s="225" t="str">
        <f>"~FI_T: "&amp;Region</f>
        <v>~FI_T: FIM</v>
      </c>
      <c r="F5" s="1"/>
      <c r="H5" s="1" t="s">
        <v>784</v>
      </c>
      <c r="I5" s="1" t="s">
        <v>784</v>
      </c>
      <c r="J5" s="1" t="s">
        <v>784</v>
      </c>
      <c r="L5" s="1" t="s">
        <v>784</v>
      </c>
      <c r="M5" s="1" t="s">
        <v>784</v>
      </c>
      <c r="P5" s="1"/>
      <c r="Q5" s="1"/>
    </row>
    <row r="6" spans="1:25" ht="39" thickBot="1">
      <c r="B6" s="45" t="s">
        <v>649</v>
      </c>
      <c r="C6" s="45" t="s">
        <v>650</v>
      </c>
      <c r="D6" s="45" t="s">
        <v>648</v>
      </c>
      <c r="E6" s="45" t="s">
        <v>651</v>
      </c>
      <c r="F6" s="64" t="str">
        <f ca="1">CONCATENATE("\I:",IEAData2!$D$2," final energy")</f>
        <v>\I:2010 final energy</v>
      </c>
      <c r="G6" s="64" t="str">
        <f ca="1">CONCATENATE("\I:",AuxData2!$D$2," final energy")</f>
        <v>\I:2017 final energy</v>
      </c>
      <c r="H6" s="64" t="str">
        <f ca="1">CONCATENATE("\I:",IEAData2!$D$2," EFF")</f>
        <v>\I:2010 EFF</v>
      </c>
      <c r="I6" s="64" t="s">
        <v>390</v>
      </c>
      <c r="J6" s="45" t="s">
        <v>388</v>
      </c>
      <c r="K6" s="45" t="str">
        <f ca="1">"INPUT~"&amp;AuxYear</f>
        <v>INPUT~2017</v>
      </c>
      <c r="L6" s="64" t="str">
        <f ca="1">CONCATENATE("\I:",AuxData2!$D$2," Service Demand")</f>
        <v>\I:2017 Service Demand</v>
      </c>
      <c r="M6" s="45" t="s">
        <v>1322</v>
      </c>
      <c r="N6" s="45" t="s">
        <v>848</v>
      </c>
      <c r="O6" s="45" t="s">
        <v>872</v>
      </c>
      <c r="P6" s="45" t="s">
        <v>556</v>
      </c>
      <c r="Q6" s="45" t="str">
        <f ca="1">"RESID~"&amp;BaseYear</f>
        <v>RESID~2010</v>
      </c>
      <c r="R6" s="45" t="str">
        <f ca="1">"RESID~"&amp;AuxYear</f>
        <v>RESID~2017</v>
      </c>
      <c r="S6" s="45" t="str">
        <f ca="1">"RESID~"&amp;BaseYear+20</f>
        <v>RESID~2030</v>
      </c>
      <c r="T6" s="45" t="str">
        <f ca="1">"RESID~"&amp;CEILING(AuxYear+24,5)</f>
        <v>RESID~2045</v>
      </c>
      <c r="U6" s="45" t="s">
        <v>52</v>
      </c>
      <c r="V6" s="45" t="s">
        <v>51</v>
      </c>
      <c r="W6" s="45" t="s">
        <v>552</v>
      </c>
      <c r="X6" s="45" t="s">
        <v>499</v>
      </c>
      <c r="Y6" s="126" t="s">
        <v>959</v>
      </c>
    </row>
    <row r="7" spans="1:25" ht="15" customHeight="1">
      <c r="B7" s="264" t="s">
        <v>419</v>
      </c>
      <c r="C7" s="520" t="s">
        <v>420</v>
      </c>
      <c r="D7" s="52" t="str">
        <f ca="1">IEAData2!K$38</f>
        <v>INDHFO</v>
      </c>
      <c r="E7" s="52" t="s">
        <v>576</v>
      </c>
      <c r="F7" s="53">
        <f ca="1">HLOOKUP($D7,Calibration2!$C$171:$S$206,27,0)</f>
        <v>2.857502192351162E-2</v>
      </c>
      <c r="G7" s="53">
        <f ca="1">HLOOKUP($D7,Calibrati22!$C$171:$S$206,27,0)</f>
        <v>3.4922250266503732E-3</v>
      </c>
      <c r="H7" s="55">
        <v>0.82</v>
      </c>
      <c r="I7" s="55">
        <v>1</v>
      </c>
      <c r="J7" s="542">
        <f t="shared" ref="J7:J15" si="0">1/H7/I7</f>
        <v>1.2195121951219512</v>
      </c>
      <c r="K7" s="542">
        <f t="shared" ref="K7:K15" si="1">J7/I7</f>
        <v>1.2195121951219512</v>
      </c>
      <c r="L7" s="544">
        <f t="shared" ref="L7:L15" si="2">G7*H7*I7</f>
        <v>2.8636245218533057E-3</v>
      </c>
      <c r="M7" s="542"/>
      <c r="N7" s="57">
        <v>1</v>
      </c>
      <c r="O7" s="49">
        <v>1</v>
      </c>
      <c r="P7" s="12">
        <v>30</v>
      </c>
      <c r="Q7" s="544">
        <f t="shared" ref="Q7:Q15" si="3">F7*H7</f>
        <v>2.3431517977279527E-2</v>
      </c>
      <c r="R7" s="544">
        <f t="shared" ref="R7:R15" si="4">G7*H7*I7</f>
        <v>2.8636245218533057E-3</v>
      </c>
      <c r="S7" s="49"/>
      <c r="T7" s="52">
        <v>0</v>
      </c>
      <c r="U7" s="12"/>
      <c r="V7" s="12"/>
      <c r="W7" s="12"/>
      <c r="X7" s="54"/>
      <c r="Y7" s="127">
        <f t="shared" ref="Y7:Y15" ca="1" si="5">F7/($F$16+Tiny)</f>
        <v>0.11614996666179542</v>
      </c>
    </row>
    <row r="8" spans="1:25" ht="15" customHeight="1">
      <c r="B8" s="264" t="s">
        <v>421</v>
      </c>
      <c r="C8" s="520" t="s">
        <v>422</v>
      </c>
      <c r="D8" s="52" t="str">
        <f ca="1">IEAData2!L$38</f>
        <v>INDOIL</v>
      </c>
      <c r="E8" s="52" t="s">
        <v>576</v>
      </c>
      <c r="F8" s="53">
        <f ca="1">HLOOKUP($D8,Calibration2!$C$171:$S$206,27,0)</f>
        <v>1.7947499067725351E-3</v>
      </c>
      <c r="G8" s="53">
        <f ca="1">HLOOKUP($D8,Calibrati22!$C$171:$S$206,27,0)</f>
        <v>2.53754099930889E-4</v>
      </c>
      <c r="H8" s="55">
        <v>0.83</v>
      </c>
      <c r="I8" s="55">
        <v>1</v>
      </c>
      <c r="J8" s="542">
        <f t="shared" si="0"/>
        <v>1.2048192771084338</v>
      </c>
      <c r="K8" s="542">
        <f t="shared" si="1"/>
        <v>1.2048192771084338</v>
      </c>
      <c r="L8" s="544">
        <f t="shared" si="2"/>
        <v>2.1061590294263786E-4</v>
      </c>
      <c r="M8" s="542"/>
      <c r="N8" s="57">
        <v>1</v>
      </c>
      <c r="O8" s="49">
        <v>1</v>
      </c>
      <c r="P8" s="12">
        <v>30</v>
      </c>
      <c r="Q8" s="544">
        <f t="shared" si="3"/>
        <v>1.4896424226212041E-3</v>
      </c>
      <c r="R8" s="544">
        <f t="shared" si="4"/>
        <v>2.1061590294263786E-4</v>
      </c>
      <c r="S8" s="49"/>
      <c r="T8" s="52">
        <v>0</v>
      </c>
      <c r="U8" s="12"/>
      <c r="V8" s="12"/>
      <c r="W8" s="12"/>
      <c r="X8" s="55"/>
      <c r="Y8" s="127">
        <f t="shared" ca="1" si="5"/>
        <v>7.295187468128194E-3</v>
      </c>
    </row>
    <row r="9" spans="1:25" ht="15" customHeight="1">
      <c r="B9" s="264" t="s">
        <v>423</v>
      </c>
      <c r="C9" s="520" t="s">
        <v>424</v>
      </c>
      <c r="D9" s="52" t="str">
        <f ca="1">IEAData2!C$38</f>
        <v>INDNGA</v>
      </c>
      <c r="E9" s="52" t="s">
        <v>576</v>
      </c>
      <c r="F9" s="53">
        <f ca="1">HLOOKUP($D9,Calibration2!$C$171:$S$206,27,0)</f>
        <v>6.9653650578588786E-2</v>
      </c>
      <c r="G9" s="53">
        <f ca="1">HLOOKUP($D9,Calibrati22!$C$171:$S$206,27,0)</f>
        <v>3.1135363922307445E-3</v>
      </c>
      <c r="H9" s="55">
        <v>0.85</v>
      </c>
      <c r="I9" s="55">
        <v>1</v>
      </c>
      <c r="J9" s="542">
        <f t="shared" si="0"/>
        <v>1.1764705882352942</v>
      </c>
      <c r="K9" s="542">
        <f t="shared" si="1"/>
        <v>1.1764705882352942</v>
      </c>
      <c r="L9" s="544">
        <f t="shared" si="2"/>
        <v>2.6465059333961329E-3</v>
      </c>
      <c r="M9" s="543"/>
      <c r="N9" s="57">
        <v>1</v>
      </c>
      <c r="O9" s="49">
        <v>1</v>
      </c>
      <c r="P9" s="12">
        <v>30</v>
      </c>
      <c r="Q9" s="544">
        <f t="shared" si="3"/>
        <v>5.9205602991800464E-2</v>
      </c>
      <c r="R9" s="544">
        <f t="shared" si="4"/>
        <v>2.6465059333961329E-3</v>
      </c>
      <c r="S9" s="49"/>
      <c r="T9" s="52">
        <v>0</v>
      </c>
      <c r="U9" s="12"/>
      <c r="V9" s="12"/>
      <c r="W9" s="12"/>
      <c r="X9" s="55"/>
      <c r="Y9" s="127">
        <f t="shared" ca="1" si="5"/>
        <v>0.28312381401600029</v>
      </c>
    </row>
    <row r="10" spans="1:25" ht="15" customHeight="1">
      <c r="B10" s="264" t="s">
        <v>425</v>
      </c>
      <c r="C10" s="520" t="s">
        <v>426</v>
      </c>
      <c r="D10" s="52" t="str">
        <f ca="1">IEAData2!F$38</f>
        <v>INDCOA</v>
      </c>
      <c r="E10" s="52" t="s">
        <v>576</v>
      </c>
      <c r="F10" s="53">
        <f ca="1">HLOOKUP($D10,Calibration2!$C$171:$S$206,27,0)</f>
        <v>0</v>
      </c>
      <c r="G10" s="53">
        <f ca="1">HLOOKUP($D10,Calibrati22!$C$171:$S$206,27,0)</f>
        <v>0</v>
      </c>
      <c r="H10" s="55">
        <f ca="1">H$7</f>
        <v>0.82</v>
      </c>
      <c r="I10" s="55">
        <v>1</v>
      </c>
      <c r="J10" s="542">
        <f t="shared" si="0"/>
        <v>1.2195121951219512</v>
      </c>
      <c r="K10" s="542">
        <f t="shared" si="1"/>
        <v>1.2195121951219512</v>
      </c>
      <c r="L10" s="544">
        <f t="shared" si="2"/>
        <v>0</v>
      </c>
      <c r="M10" s="543"/>
      <c r="N10" s="57">
        <v>1</v>
      </c>
      <c r="O10" s="49">
        <v>1</v>
      </c>
      <c r="P10" s="12">
        <v>30</v>
      </c>
      <c r="Q10" s="544">
        <f t="shared" si="3"/>
        <v>0</v>
      </c>
      <c r="R10" s="544">
        <f t="shared" si="4"/>
        <v>0</v>
      </c>
      <c r="S10" s="49"/>
      <c r="T10" s="52">
        <v>0</v>
      </c>
      <c r="U10" s="12"/>
      <c r="V10" s="12"/>
      <c r="W10" s="12"/>
      <c r="X10" s="55"/>
      <c r="Y10" s="127">
        <f t="shared" ca="1" si="5"/>
        <v>0</v>
      </c>
    </row>
    <row r="11" spans="1:25" ht="15" customHeight="1">
      <c r="B11" s="264" t="s">
        <v>427</v>
      </c>
      <c r="C11" s="520" t="s">
        <v>428</v>
      </c>
      <c r="D11" s="52" t="str">
        <f ca="1">IEAData2!G$38</f>
        <v>INDCOK</v>
      </c>
      <c r="E11" s="52" t="s">
        <v>576</v>
      </c>
      <c r="F11" s="53">
        <f ca="1">HLOOKUP($D11,Calibration2!$C$171:$S$206,27,0)</f>
        <v>0</v>
      </c>
      <c r="G11" s="53">
        <f ca="1">HLOOKUP($D11,Calibrati22!$C$171:$S$206,27,0)</f>
        <v>0</v>
      </c>
      <c r="H11" s="55">
        <f ca="1">H$7</f>
        <v>0.82</v>
      </c>
      <c r="I11" s="55">
        <v>1</v>
      </c>
      <c r="J11" s="542">
        <f t="shared" si="0"/>
        <v>1.2195121951219512</v>
      </c>
      <c r="K11" s="542">
        <f t="shared" si="1"/>
        <v>1.2195121951219512</v>
      </c>
      <c r="L11" s="544">
        <f t="shared" si="2"/>
        <v>0</v>
      </c>
      <c r="M11" s="543"/>
      <c r="N11" s="57">
        <v>1</v>
      </c>
      <c r="O11" s="49">
        <v>1</v>
      </c>
      <c r="P11" s="12">
        <v>30</v>
      </c>
      <c r="Q11" s="544">
        <f t="shared" si="3"/>
        <v>0</v>
      </c>
      <c r="R11" s="544">
        <f t="shared" si="4"/>
        <v>0</v>
      </c>
      <c r="S11" s="49"/>
      <c r="T11" s="52">
        <v>0</v>
      </c>
      <c r="U11" s="12"/>
      <c r="V11" s="12"/>
      <c r="W11" s="12"/>
      <c r="X11" s="55"/>
      <c r="Y11" s="127">
        <f t="shared" ca="1" si="5"/>
        <v>0</v>
      </c>
    </row>
    <row r="12" spans="1:25" ht="15" customHeight="1">
      <c r="B12" s="264" t="s">
        <v>429</v>
      </c>
      <c r="C12" s="520" t="s">
        <v>430</v>
      </c>
      <c r="D12" s="52" t="str">
        <f ca="1">IEAData2!M$38</f>
        <v>INDETH</v>
      </c>
      <c r="E12" s="52" t="s">
        <v>576</v>
      </c>
      <c r="F12" s="53">
        <f ca="1">HLOOKUP($D12,Calibration2!$C$171:$S$206,27,0)</f>
        <v>0</v>
      </c>
      <c r="G12" s="53">
        <f ca="1">HLOOKUP($D12,Calibrati22!$C$171:$S$206,27,0)</f>
        <v>0</v>
      </c>
      <c r="H12" s="55">
        <v>0.83</v>
      </c>
      <c r="I12" s="55">
        <v>1</v>
      </c>
      <c r="J12" s="542">
        <f t="shared" si="0"/>
        <v>1.2048192771084338</v>
      </c>
      <c r="K12" s="542">
        <f t="shared" si="1"/>
        <v>1.2048192771084338</v>
      </c>
      <c r="L12" s="544">
        <f t="shared" si="2"/>
        <v>0</v>
      </c>
      <c r="M12" s="543"/>
      <c r="N12" s="57">
        <v>1</v>
      </c>
      <c r="O12" s="49">
        <v>1</v>
      </c>
      <c r="P12" s="12">
        <v>30</v>
      </c>
      <c r="Q12" s="544">
        <f t="shared" si="3"/>
        <v>0</v>
      </c>
      <c r="R12" s="544">
        <f t="shared" si="4"/>
        <v>0</v>
      </c>
      <c r="S12" s="49"/>
      <c r="T12" s="52">
        <v>0</v>
      </c>
      <c r="U12" s="12"/>
      <c r="V12" s="12"/>
      <c r="W12" s="12"/>
      <c r="X12" s="55"/>
      <c r="Y12" s="127">
        <f t="shared" ca="1" si="5"/>
        <v>0</v>
      </c>
    </row>
    <row r="13" spans="1:25" ht="15" customHeight="1">
      <c r="B13" s="264" t="s">
        <v>431</v>
      </c>
      <c r="C13" s="520" t="s">
        <v>432</v>
      </c>
      <c r="D13" s="52" t="str">
        <f ca="1">IEAData2!N$38</f>
        <v>INDNAP</v>
      </c>
      <c r="E13" s="52" t="s">
        <v>576</v>
      </c>
      <c r="F13" s="53">
        <f ca="1">HLOOKUP($D13,Calibration2!$C$171:$S$206,27,0)</f>
        <v>0</v>
      </c>
      <c r="G13" s="53">
        <f ca="1">HLOOKUP($D13,Calibrati22!$C$171:$S$206,27,0)</f>
        <v>0.13446064178583469</v>
      </c>
      <c r="H13" s="55">
        <v>0.83</v>
      </c>
      <c r="I13" s="55">
        <v>1</v>
      </c>
      <c r="J13" s="542">
        <f t="shared" si="0"/>
        <v>1.2048192771084338</v>
      </c>
      <c r="K13" s="542">
        <f t="shared" si="1"/>
        <v>1.2048192771084338</v>
      </c>
      <c r="L13" s="544">
        <f t="shared" si="2"/>
        <v>0.11160233268224279</v>
      </c>
      <c r="M13" s="543"/>
      <c r="N13" s="57">
        <v>1</v>
      </c>
      <c r="O13" s="49">
        <v>1</v>
      </c>
      <c r="P13" s="12">
        <v>30</v>
      </c>
      <c r="Q13" s="544">
        <f t="shared" si="3"/>
        <v>0</v>
      </c>
      <c r="R13" s="544">
        <f t="shared" si="4"/>
        <v>0.11160233268224279</v>
      </c>
      <c r="S13" s="49"/>
      <c r="T13" s="52">
        <v>0</v>
      </c>
      <c r="U13" s="12"/>
      <c r="V13" s="12"/>
      <c r="W13" s="12"/>
      <c r="X13" s="55"/>
      <c r="Y13" s="127">
        <f t="shared" ca="1" si="5"/>
        <v>0</v>
      </c>
    </row>
    <row r="14" spans="1:25" ht="15" customHeight="1">
      <c r="B14" s="264" t="s">
        <v>433</v>
      </c>
      <c r="C14" s="520" t="s">
        <v>434</v>
      </c>
      <c r="D14" s="52" t="str">
        <f ca="1">'ICH0002'!$D$60</f>
        <v>ICHELC</v>
      </c>
      <c r="E14" s="52" t="s">
        <v>576</v>
      </c>
      <c r="F14" s="53">
        <f ca="1">HLOOKUP("IND"&amp;RIGHT($D14,3),Calibration2!$C$171:$S$206,27,0)-'ICH0002'!F$53</f>
        <v>5.0539665747571058E-2</v>
      </c>
      <c r="G14" s="53">
        <f ca="1">HLOOKUP("IND"&amp;RIGHT($D14,3),Calibrati22!$C$171:$S$206,27,0)-'ICH0002'!G$53</f>
        <v>3.917480370613699E-2</v>
      </c>
      <c r="H14" s="55">
        <v>0.96</v>
      </c>
      <c r="I14" s="55">
        <v>1</v>
      </c>
      <c r="J14" s="542">
        <f t="shared" si="0"/>
        <v>1.0416666666666667</v>
      </c>
      <c r="K14" s="542">
        <f t="shared" si="1"/>
        <v>1.0416666666666667</v>
      </c>
      <c r="L14" s="544">
        <f t="shared" si="2"/>
        <v>3.7607811557891509E-2</v>
      </c>
      <c r="M14" s="544">
        <v>0.95</v>
      </c>
      <c r="N14" s="57">
        <v>1</v>
      </c>
      <c r="O14" s="49">
        <v>1</v>
      </c>
      <c r="P14" s="49">
        <v>30</v>
      </c>
      <c r="Q14" s="544">
        <f t="shared" si="3"/>
        <v>4.8518079117668214E-2</v>
      </c>
      <c r="R14" s="544">
        <f t="shared" si="4"/>
        <v>3.7607811557891509E-2</v>
      </c>
      <c r="S14" s="49"/>
      <c r="T14" s="52">
        <v>0.1</v>
      </c>
      <c r="U14" s="49"/>
      <c r="V14" s="49"/>
      <c r="W14" s="49"/>
      <c r="X14" s="55"/>
      <c r="Y14" s="127">
        <f t="shared" ca="1" si="5"/>
        <v>0.20543048076714365</v>
      </c>
    </row>
    <row r="15" spans="1:25" ht="15" customHeight="1">
      <c r="B15" s="264" t="s">
        <v>435</v>
      </c>
      <c r="C15" s="520" t="s">
        <v>436</v>
      </c>
      <c r="D15" s="52" t="str">
        <f ca="1">IEAData2!D$38</f>
        <v>INDLPG</v>
      </c>
      <c r="E15" s="52" t="s">
        <v>576</v>
      </c>
      <c r="F15" s="53">
        <f ca="1">HLOOKUP($D15,Calibration2!$C$171:$S$206,27,0)</f>
        <v>9.5455250278091999E-2</v>
      </c>
      <c r="G15" s="53">
        <f ca="1">HLOOKUP($D15,Calibrati22!$C$171:$S$206,27,0)</f>
        <v>0.40935678742080833</v>
      </c>
      <c r="H15" s="55">
        <v>0.85</v>
      </c>
      <c r="I15" s="55">
        <v>1</v>
      </c>
      <c r="J15" s="542">
        <f t="shared" si="0"/>
        <v>1.1764705882352942</v>
      </c>
      <c r="K15" s="542">
        <f t="shared" si="1"/>
        <v>1.1764705882352942</v>
      </c>
      <c r="L15" s="544">
        <f t="shared" si="2"/>
        <v>0.34795326930768705</v>
      </c>
      <c r="M15" s="543"/>
      <c r="N15" s="57">
        <v>1</v>
      </c>
      <c r="O15" s="49">
        <v>1</v>
      </c>
      <c r="P15" s="49">
        <v>30</v>
      </c>
      <c r="Q15" s="544">
        <f t="shared" si="3"/>
        <v>8.1136962736378201E-2</v>
      </c>
      <c r="R15" s="544">
        <f t="shared" si="4"/>
        <v>0.34795326930768705</v>
      </c>
      <c r="S15" s="49"/>
      <c r="T15" s="52">
        <v>0</v>
      </c>
      <c r="U15" s="49"/>
      <c r="V15" s="49"/>
      <c r="W15" s="49"/>
      <c r="X15" s="55"/>
      <c r="Y15" s="127">
        <f t="shared" ca="1" si="5"/>
        <v>0.388000547022195</v>
      </c>
    </row>
    <row r="16" spans="1:25">
      <c r="B16" s="192" t="s">
        <v>902</v>
      </c>
      <c r="C16" s="198" t="s">
        <v>576</v>
      </c>
      <c r="D16" s="198"/>
      <c r="E16" s="198"/>
      <c r="F16" s="199">
        <f>SUM(F7:F15)</f>
        <v>0.24601833843453597</v>
      </c>
      <c r="G16" s="199">
        <f>SUM(G7:G15)</f>
        <v>0.58985174843159205</v>
      </c>
      <c r="H16" s="199"/>
      <c r="I16" s="198"/>
      <c r="J16" s="199">
        <f>SUMPRODUCT(F7:F15,H7:H15)</f>
        <v>0.21378180524574764</v>
      </c>
      <c r="K16" s="199">
        <f>SUMPRODUCT(G7:G15,H7:H15,I7:I15)</f>
        <v>0.50288415990601343</v>
      </c>
      <c r="L16" s="199">
        <f>SUM(L7:L15)</f>
        <v>0.50288415990601343</v>
      </c>
      <c r="M16" s="200"/>
      <c r="N16" s="200"/>
      <c r="O16" s="201"/>
      <c r="P16" s="198"/>
      <c r="Q16" s="199">
        <f>SUM(Q7:Q15)</f>
        <v>0.21378180524574764</v>
      </c>
      <c r="R16" s="199">
        <f>SUM(R7:R15)</f>
        <v>0.50288415990601343</v>
      </c>
      <c r="S16" s="198"/>
      <c r="T16" s="198"/>
      <c r="U16" s="198"/>
      <c r="V16" s="198"/>
      <c r="W16" s="198"/>
      <c r="X16" s="198"/>
      <c r="Y16" s="198"/>
    </row>
    <row r="20" spans="2:23">
      <c r="E20" s="216"/>
      <c r="P20" s="9" t="s">
        <v>505</v>
      </c>
      <c r="Q20" s="9"/>
      <c r="U20" s="588">
        <v>0</v>
      </c>
      <c r="V20" s="492">
        <v>1</v>
      </c>
      <c r="W20" s="492">
        <v>1</v>
      </c>
    </row>
    <row r="21" spans="2:23" ht="15.75">
      <c r="B21" s="495" t="s">
        <v>1381</v>
      </c>
      <c r="C21" s="495"/>
      <c r="D21" s="495"/>
      <c r="E21" s="496"/>
      <c r="F21" s="495"/>
      <c r="G21" s="495"/>
      <c r="H21" s="495"/>
      <c r="I21" s="495"/>
      <c r="J21" s="497"/>
      <c r="K21" s="497"/>
      <c r="L21" s="498"/>
      <c r="M21" s="497"/>
      <c r="N21" s="498"/>
      <c r="O21" s="498"/>
      <c r="P21" s="492">
        <v>0.995</v>
      </c>
      <c r="Q21" s="492">
        <v>0.95</v>
      </c>
      <c r="R21" s="492">
        <v>0.85</v>
      </c>
      <c r="S21" s="492">
        <v>0.75</v>
      </c>
      <c r="T21" s="492">
        <v>0.5</v>
      </c>
      <c r="U21" s="320" t="s">
        <v>319</v>
      </c>
      <c r="V21" s="320" t="s">
        <v>320</v>
      </c>
      <c r="W21" s="320" t="s">
        <v>321</v>
      </c>
    </row>
    <row r="22" spans="2:23">
      <c r="E22" s="216"/>
    </row>
    <row r="23" spans="2:23">
      <c r="B23" s="10"/>
      <c r="C23" s="11"/>
      <c r="E23" s="216"/>
    </row>
    <row r="24" spans="2:23" ht="18">
      <c r="B24" s="86" t="s">
        <v>11</v>
      </c>
      <c r="C24" s="88"/>
      <c r="D24" s="123"/>
      <c r="E24" s="225" t="str">
        <f>"~FI_T: "&amp;Region</f>
        <v>~FI_T: FIM</v>
      </c>
      <c r="F24" s="1"/>
      <c r="G24" s="1"/>
      <c r="H24" s="1"/>
      <c r="I24" s="1"/>
      <c r="J24" s="1"/>
      <c r="K24" s="1"/>
    </row>
    <row r="25" spans="2:23" ht="39" thickBot="1">
      <c r="B25" s="45" t="s">
        <v>649</v>
      </c>
      <c r="C25" s="45" t="s">
        <v>650</v>
      </c>
      <c r="D25" s="45" t="s">
        <v>648</v>
      </c>
      <c r="E25" s="45" t="s">
        <v>651</v>
      </c>
      <c r="F25" s="64" t="str">
        <f ca="1">CONCATENATE("\I:",IEAData2!$D$2," final energy")</f>
        <v>\I:2010 final energy</v>
      </c>
      <c r="G25" s="64" t="str">
        <f ca="1">CONCATENATE("\I:",AuxData2!$D$2," final energy")</f>
        <v>\I:2017 final energy</v>
      </c>
      <c r="H25" s="45" t="s">
        <v>556</v>
      </c>
      <c r="I25" s="45" t="s">
        <v>388</v>
      </c>
      <c r="J25" s="45" t="s">
        <v>848</v>
      </c>
      <c r="K25" s="45" t="s">
        <v>872</v>
      </c>
      <c r="L25" s="45" t="s">
        <v>52</v>
      </c>
      <c r="M25" s="149" t="s">
        <v>51</v>
      </c>
      <c r="N25" s="149" t="s">
        <v>499</v>
      </c>
      <c r="O25" s="149" t="s">
        <v>371</v>
      </c>
      <c r="P25" s="149" t="str">
        <f ca="1">"FLO_MARK~LO~"&amp;BaseYear</f>
        <v>FLO_MARK~LO~2010</v>
      </c>
      <c r="Q25" s="149" t="str">
        <f ca="1">"FLO_MARK~LO~"&amp;CEILING(AuxYear+0,1)</f>
        <v>FLO_MARK~LO~2017</v>
      </c>
      <c r="R25" s="149" t="str">
        <f ca="1">"FLO_MARK~LO~"&amp;BaseYear+20</f>
        <v>FLO_MARK~LO~2030</v>
      </c>
      <c r="S25" s="149" t="s">
        <v>506</v>
      </c>
      <c r="T25" s="149" t="s">
        <v>507</v>
      </c>
      <c r="U25" s="149" t="str">
        <f>"ENV_ACT~"&amp;U$21</f>
        <v>ENV_ACT~INDCO2N</v>
      </c>
      <c r="V25" s="149" t="str">
        <f>"ENV_ACT~"&amp;V$21</f>
        <v>ENV_ACT~INDCH4N</v>
      </c>
      <c r="W25" s="149" t="str">
        <f>"ENV_ACT~"&amp;W$21</f>
        <v>ENV_ACT~INDN2ON</v>
      </c>
    </row>
    <row r="26" spans="2:23">
      <c r="B26" s="264" t="s">
        <v>508</v>
      </c>
      <c r="C26" s="144" t="s">
        <v>509</v>
      </c>
      <c r="D26" s="52" t="str">
        <f ca="1">IEAData2!C24</f>
        <v>GASNGA</v>
      </c>
      <c r="E26" s="52" t="s">
        <v>960</v>
      </c>
      <c r="F26" s="53">
        <f ca="1">IEAData2!C21</f>
        <v>0</v>
      </c>
      <c r="G26" s="53">
        <f ca="1">AuxData2!C21</f>
        <v>0</v>
      </c>
      <c r="H26" s="12">
        <v>30</v>
      </c>
      <c r="I26" s="17">
        <v>1</v>
      </c>
      <c r="J26" s="57">
        <v>1</v>
      </c>
      <c r="K26" s="49">
        <v>1</v>
      </c>
      <c r="L26" s="12"/>
      <c r="M26" s="9"/>
      <c r="N26" s="9"/>
      <c r="O26" s="9"/>
      <c r="P26" s="543">
        <f t="shared" ref="P26:P34" si="6">ROUND($F26/$F$35*P$21,3)</f>
        <v>0</v>
      </c>
      <c r="Q26" s="543">
        <f t="shared" ref="Q26:T34" si="7">ROUND($G26/$G$35*Q$21,3)</f>
        <v>0</v>
      </c>
      <c r="R26" s="543">
        <f t="shared" si="7"/>
        <v>0</v>
      </c>
      <c r="S26" s="543">
        <f t="shared" si="7"/>
        <v>0</v>
      </c>
      <c r="T26" s="543">
        <f t="shared" si="7"/>
        <v>0</v>
      </c>
      <c r="U26" s="153">
        <f ca="1">INDEX(Calibration2!$D$257:$AK$257,MATCH($D26,Calibration2!$D$230:$AK$230,0))*U$20</f>
        <v>0</v>
      </c>
      <c r="V26" s="153">
        <f ca="1">IND_Emi2!C35*0.67</f>
        <v>1.0050000000000001</v>
      </c>
      <c r="W26" s="153">
        <f ca="1">IND_Emi2!F35*0.67</f>
        <v>0.75320967741935496</v>
      </c>
    </row>
    <row r="27" spans="2:23">
      <c r="B27" s="264" t="s">
        <v>510</v>
      </c>
      <c r="C27" s="493" t="s">
        <v>511</v>
      </c>
      <c r="D27" s="52" t="str">
        <f ca="1">IEAData2!D24</f>
        <v>OILLPG</v>
      </c>
      <c r="E27" s="52" t="s">
        <v>960</v>
      </c>
      <c r="F27" s="53">
        <f ca="1">IEAData2!D21</f>
        <v>0</v>
      </c>
      <c r="G27" s="53">
        <f ca="1">AuxData2!D21</f>
        <v>0</v>
      </c>
      <c r="H27" s="49">
        <v>30</v>
      </c>
      <c r="I27" s="17">
        <v>1</v>
      </c>
      <c r="J27" s="57">
        <v>1</v>
      </c>
      <c r="K27" s="49">
        <v>1</v>
      </c>
      <c r="L27" s="49"/>
      <c r="M27" s="52"/>
      <c r="N27" s="52"/>
      <c r="O27" s="52"/>
      <c r="P27" s="543">
        <f t="shared" si="6"/>
        <v>0</v>
      </c>
      <c r="Q27" s="543">
        <f t="shared" si="7"/>
        <v>0</v>
      </c>
      <c r="R27" s="543">
        <f t="shared" si="7"/>
        <v>0</v>
      </c>
      <c r="S27" s="543">
        <f t="shared" si="7"/>
        <v>0</v>
      </c>
      <c r="T27" s="543">
        <f t="shared" si="7"/>
        <v>0</v>
      </c>
      <c r="U27" s="153">
        <f ca="1">INDEX(Calibration2!$D$257:$AK$257,MATCH($D27,Calibration2!$D$230:$AK$230,0))*U$20</f>
        <v>0</v>
      </c>
      <c r="V27" s="153">
        <f ca="1">IND_Emi2!C38*0.2</f>
        <v>0.23599999999999999</v>
      </c>
      <c r="W27" s="153">
        <f ca="1">IND_Emi2!F38*0.2</f>
        <v>0.2496774193548387</v>
      </c>
    </row>
    <row r="28" spans="2:23">
      <c r="B28" s="264" t="s">
        <v>512</v>
      </c>
      <c r="C28" s="493" t="s">
        <v>513</v>
      </c>
      <c r="D28" s="52" t="str">
        <f ca="1">IEAData2!E$24</f>
        <v>OILNGL</v>
      </c>
      <c r="E28" s="52" t="s">
        <v>960</v>
      </c>
      <c r="F28" s="53">
        <f ca="1">IEAData2!E21</f>
        <v>0</v>
      </c>
      <c r="G28" s="53">
        <f ca="1">AuxData2!E21</f>
        <v>0</v>
      </c>
      <c r="H28" s="49">
        <v>30</v>
      </c>
      <c r="I28" s="17">
        <v>1</v>
      </c>
      <c r="J28" s="57">
        <v>1</v>
      </c>
      <c r="K28" s="49">
        <v>1</v>
      </c>
      <c r="L28" s="49"/>
      <c r="M28" s="52"/>
      <c r="N28" s="52"/>
      <c r="O28" s="52"/>
      <c r="P28" s="543">
        <f t="shared" si="6"/>
        <v>0</v>
      </c>
      <c r="Q28" s="543">
        <f t="shared" si="7"/>
        <v>0</v>
      </c>
      <c r="R28" s="543">
        <f t="shared" si="7"/>
        <v>0</v>
      </c>
      <c r="S28" s="543">
        <f t="shared" si="7"/>
        <v>0</v>
      </c>
      <c r="T28" s="543">
        <f t="shared" si="7"/>
        <v>0</v>
      </c>
      <c r="U28" s="153">
        <f ca="1">INDEX(Calibration2!$D$257:$AK$257,MATCH($D28,Calibration2!$D$230:$AK$230,0))*U$20</f>
        <v>0</v>
      </c>
      <c r="V28" s="153">
        <f ca="1">IND_Emi2!C15*0.2</f>
        <v>0.26822049574546802</v>
      </c>
      <c r="W28" s="153">
        <f ca="1">IND_Emi2!F15*0.2</f>
        <v>0.19851612903225807</v>
      </c>
    </row>
    <row r="29" spans="2:23">
      <c r="B29" s="264" t="s">
        <v>514</v>
      </c>
      <c r="C29" s="493" t="s">
        <v>515</v>
      </c>
      <c r="D29" s="52" t="str">
        <f ca="1">IEAData2!F$24</f>
        <v>COAHCO</v>
      </c>
      <c r="E29" s="52" t="s">
        <v>960</v>
      </c>
      <c r="F29" s="53">
        <f ca="1">IEAData2!F21</f>
        <v>0</v>
      </c>
      <c r="G29" s="53">
        <f ca="1">AuxData2!F21</f>
        <v>0</v>
      </c>
      <c r="H29" s="49">
        <v>30</v>
      </c>
      <c r="I29" s="17">
        <v>1</v>
      </c>
      <c r="J29" s="57">
        <v>1</v>
      </c>
      <c r="K29" s="49">
        <v>1</v>
      </c>
      <c r="L29" s="49"/>
      <c r="M29" s="52"/>
      <c r="N29" s="52"/>
      <c r="O29" s="52"/>
      <c r="P29" s="543">
        <f t="shared" si="6"/>
        <v>0</v>
      </c>
      <c r="Q29" s="543">
        <f t="shared" si="7"/>
        <v>0</v>
      </c>
      <c r="R29" s="543">
        <f t="shared" si="7"/>
        <v>0</v>
      </c>
      <c r="S29" s="543">
        <f t="shared" si="7"/>
        <v>0</v>
      </c>
      <c r="T29" s="543">
        <f t="shared" si="7"/>
        <v>0</v>
      </c>
      <c r="U29" s="153">
        <f ca="1">INDEX(Calibration2!$D$257:$AK$257,MATCH($D29,Calibration2!$D$230:$AK$230,0))*U$20</f>
        <v>0</v>
      </c>
      <c r="V29" s="153">
        <f ca="1">IND_Emi2!C5*0.25</f>
        <v>0.25</v>
      </c>
      <c r="W29" s="153">
        <f ca="1">IND_Emi2!F5*0.25</f>
        <v>0.83072580645161287</v>
      </c>
    </row>
    <row r="30" spans="2:23">
      <c r="B30" s="264" t="s">
        <v>516</v>
      </c>
      <c r="C30" s="493" t="s">
        <v>517</v>
      </c>
      <c r="D30" s="52" t="str">
        <f ca="1">IEAData2!P24</f>
        <v>OILHFO</v>
      </c>
      <c r="E30" s="52" t="s">
        <v>960</v>
      </c>
      <c r="F30" s="53">
        <f ca="1">IEAData2!K37</f>
        <v>0</v>
      </c>
      <c r="G30" s="53">
        <f ca="1">AuxData2!K37</f>
        <v>0</v>
      </c>
      <c r="H30" s="49">
        <v>30</v>
      </c>
      <c r="I30" s="17">
        <v>1</v>
      </c>
      <c r="J30" s="57">
        <v>1</v>
      </c>
      <c r="K30" s="49">
        <v>1</v>
      </c>
      <c r="L30" s="49"/>
      <c r="M30" s="52"/>
      <c r="N30" s="52"/>
      <c r="O30" s="52"/>
      <c r="P30" s="543">
        <f t="shared" si="6"/>
        <v>0</v>
      </c>
      <c r="Q30" s="543">
        <f t="shared" si="7"/>
        <v>0</v>
      </c>
      <c r="R30" s="543">
        <f t="shared" si="7"/>
        <v>0</v>
      </c>
      <c r="S30" s="543">
        <f t="shared" si="7"/>
        <v>0</v>
      </c>
      <c r="T30" s="543">
        <f t="shared" si="7"/>
        <v>0</v>
      </c>
      <c r="U30" s="153">
        <f ca="1">INDEX(Calibration2!$D$257:$AK$257,MATCH($D30,Calibration2!$D$230:$AK$230,0))*U$20</f>
        <v>0</v>
      </c>
      <c r="V30" s="153">
        <f ca="1">IND_Emi2!C26*0.5</f>
        <v>1.3</v>
      </c>
      <c r="W30" s="153">
        <f ca="1">IND_Emi2!F26*0.5</f>
        <v>1.1862903225806452</v>
      </c>
    </row>
    <row r="31" spans="2:23">
      <c r="B31" s="324" t="s">
        <v>518</v>
      </c>
      <c r="C31" s="494" t="s">
        <v>519</v>
      </c>
      <c r="D31" s="82" t="str">
        <f ca="1">IEAData2!Q24</f>
        <v>OILDST</v>
      </c>
      <c r="E31" s="52" t="s">
        <v>960</v>
      </c>
      <c r="F31" s="325">
        <f ca="1">IEAData2!L37</f>
        <v>0</v>
      </c>
      <c r="G31" s="325">
        <f ca="1">AuxData2!L37</f>
        <v>0</v>
      </c>
      <c r="H31" s="49">
        <v>30</v>
      </c>
      <c r="I31" s="17">
        <v>1</v>
      </c>
      <c r="J31" s="57">
        <v>1</v>
      </c>
      <c r="K31" s="49">
        <v>1</v>
      </c>
      <c r="L31" s="49"/>
      <c r="M31" s="52"/>
      <c r="N31" s="52"/>
      <c r="O31" s="52"/>
      <c r="P31" s="543">
        <f t="shared" si="6"/>
        <v>0</v>
      </c>
      <c r="Q31" s="543">
        <f t="shared" si="7"/>
        <v>0</v>
      </c>
      <c r="R31" s="543">
        <f t="shared" si="7"/>
        <v>0</v>
      </c>
      <c r="S31" s="543">
        <f t="shared" si="7"/>
        <v>0</v>
      </c>
      <c r="T31" s="543">
        <f t="shared" si="7"/>
        <v>0</v>
      </c>
      <c r="U31" s="153">
        <f ca="1">INDEX(Calibration2!$D$257:$AK$257,MATCH($D31,Calibration2!$D$230:$AK$230,0))*U$20</f>
        <v>0</v>
      </c>
      <c r="V31" s="153">
        <f ca="1">IND_Emi2!C25*0.5</f>
        <v>1.3</v>
      </c>
      <c r="W31" s="153">
        <f ca="1">IND_Emi2!F25*0.5</f>
        <v>0.9862903225806452</v>
      </c>
    </row>
    <row r="32" spans="2:23">
      <c r="B32" s="85" t="s">
        <v>520</v>
      </c>
      <c r="C32" s="494" t="s">
        <v>521</v>
      </c>
      <c r="D32" s="82" t="str">
        <f ca="1">IEAData2!U24</f>
        <v>GASETH</v>
      </c>
      <c r="E32" s="82" t="s">
        <v>960</v>
      </c>
      <c r="F32" s="325">
        <f ca="1">IEAData2!M37</f>
        <v>0</v>
      </c>
      <c r="G32" s="325">
        <f ca="1">AuxData2!M37</f>
        <v>0</v>
      </c>
      <c r="H32" s="163">
        <v>30</v>
      </c>
      <c r="I32" s="17">
        <v>1</v>
      </c>
      <c r="J32" s="57">
        <v>1</v>
      </c>
      <c r="K32" s="49">
        <v>1</v>
      </c>
      <c r="L32" s="49"/>
      <c r="M32" s="52"/>
      <c r="N32" s="52"/>
      <c r="O32" s="52"/>
      <c r="P32" s="543">
        <f t="shared" si="6"/>
        <v>0</v>
      </c>
      <c r="Q32" s="543">
        <f t="shared" si="7"/>
        <v>0</v>
      </c>
      <c r="R32" s="543">
        <f t="shared" si="7"/>
        <v>0</v>
      </c>
      <c r="S32" s="543">
        <f t="shared" si="7"/>
        <v>0</v>
      </c>
      <c r="T32" s="543">
        <f t="shared" si="7"/>
        <v>0</v>
      </c>
      <c r="U32" s="153">
        <f ca="1">INDEX(Calibration2!$D$257:$AK$257,MATCH($D32,Calibration2!$D$230:$AK$230,0))*U$20</f>
        <v>0</v>
      </c>
      <c r="V32" s="153">
        <f ca="1">IND_Emi2!C34*0.2</f>
        <v>0.2</v>
      </c>
      <c r="W32" s="153">
        <f ca="1">IND_Emi2!F34*0.2</f>
        <v>0.22483870967741937</v>
      </c>
    </row>
    <row r="33" spans="2:38">
      <c r="B33" s="85" t="s">
        <v>522</v>
      </c>
      <c r="C33" s="494" t="s">
        <v>523</v>
      </c>
      <c r="D33" s="156" t="str">
        <f ca="1">IEAData2!AA24</f>
        <v>BIOGAS</v>
      </c>
      <c r="E33" s="82" t="s">
        <v>960</v>
      </c>
      <c r="F33" s="325">
        <f ca="1">IEAData2!P37</f>
        <v>0</v>
      </c>
      <c r="G33" s="325">
        <f ca="1">AuxData2!P37</f>
        <v>0</v>
      </c>
      <c r="H33" s="163">
        <v>30</v>
      </c>
      <c r="I33" s="17">
        <v>1</v>
      </c>
      <c r="J33" s="57">
        <v>1</v>
      </c>
      <c r="K33" s="49">
        <v>1</v>
      </c>
      <c r="L33" s="49"/>
      <c r="M33" s="52"/>
      <c r="N33" s="52"/>
      <c r="O33" s="52"/>
      <c r="P33" s="543">
        <f t="shared" si="6"/>
        <v>0</v>
      </c>
      <c r="Q33" s="543">
        <f t="shared" si="7"/>
        <v>0</v>
      </c>
      <c r="R33" s="543">
        <f t="shared" si="7"/>
        <v>0</v>
      </c>
      <c r="S33" s="543">
        <f t="shared" si="7"/>
        <v>0</v>
      </c>
      <c r="T33" s="543">
        <f t="shared" si="7"/>
        <v>0</v>
      </c>
      <c r="U33" s="153">
        <f ca="1">INDEX(Calibration2!$D$257:$AK$257,MATCH($D33,Calibration2!$D$230:$AK$230,0))*U$20</f>
        <v>0</v>
      </c>
      <c r="V33" s="543"/>
      <c r="W33" s="543">
        <f ca="1">IND_Emi2!$F$45</f>
        <v>1.0241935483870968</v>
      </c>
    </row>
    <row r="34" spans="2:38">
      <c r="B34" s="85" t="s">
        <v>524</v>
      </c>
      <c r="C34" s="494" t="s">
        <v>525</v>
      </c>
      <c r="D34" s="82" t="str">
        <f ca="1">IEAData2!V$24</f>
        <v>OILNAP</v>
      </c>
      <c r="E34" s="82" t="s">
        <v>960</v>
      </c>
      <c r="F34" s="325">
        <f ca="1">IEAData2!N37</f>
        <v>0.30499999999999999</v>
      </c>
      <c r="G34" s="325">
        <f ca="1">AuxData2!N37</f>
        <v>0</v>
      </c>
      <c r="H34" s="163">
        <v>30</v>
      </c>
      <c r="I34" s="17">
        <v>1</v>
      </c>
      <c r="J34" s="57">
        <v>1</v>
      </c>
      <c r="K34" s="49">
        <v>1</v>
      </c>
      <c r="L34" s="49"/>
      <c r="M34" s="52"/>
      <c r="N34" s="52"/>
      <c r="O34" s="52"/>
      <c r="P34" s="543">
        <f t="shared" si="6"/>
        <v>0.995</v>
      </c>
      <c r="Q34" s="543">
        <f t="shared" si="7"/>
        <v>0</v>
      </c>
      <c r="R34" s="543">
        <f t="shared" si="7"/>
        <v>0</v>
      </c>
      <c r="S34" s="543">
        <f t="shared" si="7"/>
        <v>0</v>
      </c>
      <c r="T34" s="543">
        <f t="shared" si="7"/>
        <v>0</v>
      </c>
      <c r="U34" s="153">
        <f ca="1">INDEX(Calibration2!$D$257:$AK$257,MATCH($D34,Calibration2!$D$230:$AK$230,0))*U$20</f>
        <v>0</v>
      </c>
      <c r="V34" s="416"/>
      <c r="W34" s="416">
        <f ca="1">IND_Emi2!F27*0.2</f>
        <v>0.74651612903225806</v>
      </c>
    </row>
    <row r="35" spans="2:38">
      <c r="B35" s="192" t="s">
        <v>902</v>
      </c>
      <c r="C35" s="198"/>
      <c r="D35" s="198"/>
      <c r="E35" s="198"/>
      <c r="F35" s="199">
        <f>MAX(0.001,SUM(F26:F34))</f>
        <v>0.30499999999999999</v>
      </c>
      <c r="G35" s="199">
        <f>MAX(0.001,SUM(G26:G34))</f>
        <v>1E-3</v>
      </c>
      <c r="H35" s="199"/>
      <c r="I35" s="199"/>
      <c r="J35" s="199"/>
      <c r="K35" s="199"/>
      <c r="L35" s="198"/>
      <c r="M35" s="198"/>
      <c r="N35" s="198"/>
      <c r="O35" s="198"/>
      <c r="P35" s="199">
        <f>SUM(P26:P34)</f>
        <v>0.995</v>
      </c>
      <c r="Q35" s="199">
        <f>SUM(Q26:Q34)</f>
        <v>0</v>
      </c>
      <c r="R35" s="199">
        <f>SUM(R26:R34)</f>
        <v>0</v>
      </c>
      <c r="S35" s="199">
        <f>SUM(S26:S34)</f>
        <v>0</v>
      </c>
      <c r="T35" s="199">
        <f>SUM(T26:T34)</f>
        <v>0</v>
      </c>
      <c r="U35" s="309">
        <f>SUMPRODUCT(F26:F34,U26:U34)</f>
        <v>0</v>
      </c>
      <c r="V35" s="199"/>
      <c r="W35" s="199"/>
      <c r="X35" s="15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</row>
    <row r="36" spans="2:38">
      <c r="B36" s="77"/>
      <c r="C36" s="77"/>
      <c r="D36" s="77"/>
      <c r="E36" s="77"/>
      <c r="F36" s="15"/>
      <c r="G36" s="15"/>
      <c r="H36" s="77"/>
      <c r="I36" s="77"/>
      <c r="J36" s="77"/>
      <c r="K36" s="77"/>
      <c r="L36" s="77"/>
      <c r="M36" s="77"/>
      <c r="N36" s="77"/>
      <c r="O36" s="357"/>
      <c r="P36" s="77"/>
      <c r="Q36" s="77"/>
      <c r="R36" s="77"/>
      <c r="S36" s="77"/>
      <c r="T36" s="77"/>
      <c r="U36" s="77"/>
      <c r="V36" s="77"/>
      <c r="W36" s="77"/>
      <c r="X36" s="15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</row>
    <row r="37" spans="2:38">
      <c r="B37" s="77"/>
      <c r="C37" s="77"/>
      <c r="D37" s="77"/>
      <c r="E37" s="77"/>
      <c r="F37" s="15"/>
      <c r="G37" s="15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5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</row>
    <row r="38" spans="2:38"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81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</row>
    <row r="39" spans="2:38"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81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</row>
    <row r="40" spans="2:38"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81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</row>
    <row r="41" spans="2:38"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81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</row>
    <row r="42" spans="2:38"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81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</row>
    <row r="43" spans="2:38"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81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</row>
    <row r="44" spans="2:38"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81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</row>
    <row r="45" spans="2:38"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81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5911"/>
  <dimension ref="A1:AH99"/>
  <sheetViews>
    <sheetView zoomScale="75" workbookViewId="0">
      <selection activeCell="P29" sqref="P29"/>
    </sheetView>
  </sheetViews>
  <sheetFormatPr defaultColWidth="8.85546875" defaultRowHeight="12.75"/>
  <cols>
    <col min="1" max="1" width="8.85546875" customWidth="1"/>
    <col min="2" max="2" width="16" customWidth="1"/>
    <col min="3" max="3" width="27.5703125" customWidth="1"/>
    <col min="4" max="4" width="11" customWidth="1"/>
  </cols>
  <sheetData>
    <row r="1" spans="1:25" ht="18">
      <c r="A1" s="5" t="s">
        <v>324</v>
      </c>
    </row>
    <row r="2" spans="1:25" ht="18">
      <c r="A2" s="8"/>
      <c r="E2" s="216"/>
    </row>
    <row r="3" spans="1:25" ht="18">
      <c r="A3" s="8"/>
      <c r="B3" s="10"/>
      <c r="C3" s="11"/>
      <c r="E3" s="216"/>
    </row>
    <row r="4" spans="1:25" ht="18">
      <c r="B4" s="86" t="s">
        <v>90</v>
      </c>
      <c r="C4" s="88"/>
      <c r="D4" s="88"/>
      <c r="F4" s="225" t="str">
        <f>"~FI_T: "&amp;Region</f>
        <v>~FI_T: FIM</v>
      </c>
      <c r="G4" s="34"/>
      <c r="V4" s="1"/>
    </row>
    <row r="5" spans="1:25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45" t="s">
        <v>139</v>
      </c>
      <c r="G5" s="64" t="str">
        <f ca="1">CONCATENATE("\I:",BaseYear," service demand")</f>
        <v>\I:2010 service demand</v>
      </c>
      <c r="H5" s="64" t="str">
        <f ca="1">CONCATENATE("\I:",AuxData2!$D$2," service demand")</f>
        <v>\I:2017 service demand</v>
      </c>
      <c r="I5" s="45" t="s">
        <v>388</v>
      </c>
      <c r="J5" s="45" t="str">
        <f ca="1">"INPUT~"&amp;AuxYear</f>
        <v>INPUT~2017</v>
      </c>
      <c r="K5" s="45" t="str">
        <f ca="1">"RESID~"&amp;BaseYear</f>
        <v>RESID~2010</v>
      </c>
      <c r="L5" s="45" t="str">
        <f ca="1">"RESID~"&amp;AuxYear</f>
        <v>RESID~2017</v>
      </c>
      <c r="M5" s="45" t="str">
        <f ca="1">"RESID~"&amp;CEILING(AuxYear+25,5)</f>
        <v>RESID~2045</v>
      </c>
      <c r="N5" s="45" t="s">
        <v>848</v>
      </c>
      <c r="O5" s="64" t="s">
        <v>872</v>
      </c>
      <c r="P5" s="64" t="s">
        <v>556</v>
      </c>
      <c r="Q5" s="45" t="s">
        <v>1507</v>
      </c>
      <c r="R5" s="45" t="s">
        <v>371</v>
      </c>
      <c r="S5" s="45" t="s">
        <v>1528</v>
      </c>
      <c r="T5" s="45" t="str">
        <f ca="1">"Share~UP~"&amp;AuxYear</f>
        <v>Share~UP~2017</v>
      </c>
      <c r="U5" s="45" t="s">
        <v>289</v>
      </c>
      <c r="V5" s="45" t="s">
        <v>108</v>
      </c>
      <c r="W5" s="45" t="s">
        <v>8</v>
      </c>
      <c r="X5" s="45" t="s">
        <v>9</v>
      </c>
      <c r="Y5" s="45" t="s">
        <v>1498</v>
      </c>
    </row>
    <row r="6" spans="1:25">
      <c r="B6" s="35" t="s">
        <v>964</v>
      </c>
      <c r="C6" s="23" t="s">
        <v>817</v>
      </c>
      <c r="D6" s="9" t="s">
        <v>654</v>
      </c>
      <c r="E6" s="9"/>
      <c r="F6" s="9"/>
      <c r="G6" s="21">
        <f ca="1">VLOOKUP($B6,Calibration2!$B$172:$T$206,2,FALSE)</f>
        <v>0</v>
      </c>
      <c r="H6" s="21">
        <f ca="1">VLOOKUP($B6,Calibrati22!$B$172:$T$206,2,FALSE)</f>
        <v>0</v>
      </c>
      <c r="I6" s="62">
        <f t="shared" ref="I6:J12" si="0">IF($I$16=0,0,G6/$I$16)</f>
        <v>0</v>
      </c>
      <c r="J6" s="62">
        <f t="shared" si="0"/>
        <v>0</v>
      </c>
      <c r="K6" s="542">
        <f>I16</f>
        <v>0</v>
      </c>
      <c r="L6" s="542">
        <f>J16</f>
        <v>0</v>
      </c>
      <c r="M6" s="542">
        <v>0</v>
      </c>
      <c r="N6" s="17">
        <v>1</v>
      </c>
      <c r="O6" s="12">
        <v>1</v>
      </c>
      <c r="P6" s="12">
        <v>30</v>
      </c>
      <c r="R6" s="31"/>
      <c r="S6" s="31"/>
      <c r="T6" s="31"/>
      <c r="U6" s="31"/>
      <c r="V6" s="31"/>
      <c r="W6" s="319"/>
      <c r="X6" s="12"/>
      <c r="Y6" s="12"/>
    </row>
    <row r="7" spans="1:25">
      <c r="B7" s="9"/>
      <c r="C7" s="23"/>
      <c r="D7" s="9" t="s">
        <v>906</v>
      </c>
      <c r="E7" s="9"/>
      <c r="F7" s="9"/>
      <c r="G7" s="21">
        <f ca="1">VLOOKUP($B$6,Calibration2!$B$172:$T$206,HLOOKUP($D7,Calibration2!$C$3:$T$4,2,FALSE),FALSE)</f>
        <v>0</v>
      </c>
      <c r="H7" s="21">
        <f ca="1">VLOOKUP($B$6,Calibrati22!$B$172:$T$206,HLOOKUP($D7,Calibrati22!$C$3:$T$4,2,FALSE),FALSE)</f>
        <v>0</v>
      </c>
      <c r="I7" s="62">
        <f t="shared" si="0"/>
        <v>0</v>
      </c>
      <c r="J7" s="62">
        <f t="shared" si="0"/>
        <v>0</v>
      </c>
      <c r="K7" s="542"/>
      <c r="L7" s="9"/>
      <c r="M7" s="542"/>
      <c r="N7" s="542"/>
      <c r="O7" s="9"/>
      <c r="P7" s="9"/>
      <c r="Q7" s="9"/>
      <c r="R7" s="31"/>
      <c r="S7" s="31"/>
      <c r="T7" s="31"/>
      <c r="U7" s="31"/>
      <c r="V7" s="31"/>
      <c r="W7" s="31"/>
      <c r="X7" s="12"/>
      <c r="Y7" s="12"/>
    </row>
    <row r="8" spans="1:25">
      <c r="B8" s="9"/>
      <c r="C8" s="23"/>
      <c r="D8" s="9" t="s">
        <v>909</v>
      </c>
      <c r="E8" s="9"/>
      <c r="F8" s="9"/>
      <c r="G8" s="21">
        <f ca="1">VLOOKUP($B$6,Calibration2!$B$172:$T$206,HLOOKUP($D8,Calibration2!$C$3:$T$4,2,FALSE),FALSE)</f>
        <v>0</v>
      </c>
      <c r="H8" s="21">
        <f ca="1">VLOOKUP($B$6,Calibrati22!$B$172:$T$206,HLOOKUP($D8,Calibrati22!$C$3:$T$4,2,FALSE),FALSE)</f>
        <v>0</v>
      </c>
      <c r="I8" s="62">
        <f t="shared" si="0"/>
        <v>0</v>
      </c>
      <c r="J8" s="62">
        <f t="shared" si="0"/>
        <v>0</v>
      </c>
      <c r="K8" s="542"/>
      <c r="L8" s="9"/>
      <c r="M8" s="542"/>
      <c r="N8" s="542"/>
      <c r="O8" s="9"/>
      <c r="P8" s="9"/>
      <c r="Q8" s="9"/>
      <c r="R8" s="31"/>
      <c r="S8" s="31"/>
      <c r="T8" s="31"/>
      <c r="U8" s="31"/>
      <c r="V8" s="31"/>
      <c r="W8" s="31"/>
      <c r="X8" s="12"/>
      <c r="Y8" s="12"/>
    </row>
    <row r="9" spans="1:25">
      <c r="B9" s="9"/>
      <c r="C9" s="23"/>
      <c r="D9" s="9" t="s">
        <v>913</v>
      </c>
      <c r="E9" s="9"/>
      <c r="F9" s="9"/>
      <c r="G9" s="21">
        <f ca="1">VLOOKUP($B$6,Calibration2!$B$172:$T$206,HLOOKUP($D9,Calibration2!$C$3:$T$4,2,FALSE),FALSE)</f>
        <v>0</v>
      </c>
      <c r="H9" s="21">
        <f ca="1">VLOOKUP($B$6,Calibrati22!$B$172:$T$206,HLOOKUP($D9,Calibrati22!$C$3:$T$4,2,FALSE),FALSE)</f>
        <v>0</v>
      </c>
      <c r="I9" s="62">
        <f t="shared" si="0"/>
        <v>0</v>
      </c>
      <c r="J9" s="62">
        <f t="shared" si="0"/>
        <v>0</v>
      </c>
      <c r="K9" s="542"/>
      <c r="L9" s="9"/>
      <c r="M9" s="542"/>
      <c r="N9" s="542"/>
      <c r="O9" s="9"/>
      <c r="P9" s="9"/>
      <c r="Q9" s="9"/>
      <c r="R9" s="31"/>
      <c r="S9" s="31"/>
      <c r="T9" s="31"/>
      <c r="U9" s="31"/>
      <c r="V9" s="427">
        <v>3</v>
      </c>
      <c r="W9" s="31"/>
      <c r="X9" s="12"/>
      <c r="Y9" s="12"/>
    </row>
    <row r="10" spans="1:25">
      <c r="A10" s="6"/>
      <c r="B10" s="52"/>
      <c r="C10" s="50"/>
      <c r="D10" s="52" t="s">
        <v>916</v>
      </c>
      <c r="E10" s="52"/>
      <c r="F10" s="52"/>
      <c r="G10" s="21">
        <f ca="1">VLOOKUP($B$6,Calibration2!$B$172:$T$206,HLOOKUP($D10,Calibration2!$C$3:$T$4,2,FALSE),FALSE)</f>
        <v>0</v>
      </c>
      <c r="H10" s="21">
        <f ca="1">VLOOKUP($B$6,Calibrati22!$B$172:$T$206,HLOOKUP($D10,Calibrati22!$C$3:$T$4,2,FALSE),FALSE)</f>
        <v>0</v>
      </c>
      <c r="I10" s="62">
        <f t="shared" si="0"/>
        <v>0</v>
      </c>
      <c r="J10" s="62">
        <f t="shared" si="0"/>
        <v>0</v>
      </c>
      <c r="K10" s="543"/>
      <c r="L10" s="9"/>
      <c r="M10" s="543"/>
      <c r="N10" s="543"/>
      <c r="O10" s="52"/>
      <c r="P10" s="52"/>
      <c r="Q10" s="9"/>
      <c r="R10" s="31"/>
      <c r="S10" s="31"/>
      <c r="T10" s="31"/>
      <c r="U10" s="31"/>
      <c r="V10" s="427">
        <v>3</v>
      </c>
      <c r="W10" s="31"/>
      <c r="X10" s="49"/>
      <c r="Y10" s="49"/>
    </row>
    <row r="11" spans="1:25">
      <c r="B11" s="9"/>
      <c r="C11" s="23"/>
      <c r="D11" s="9" t="s">
        <v>92</v>
      </c>
      <c r="E11" s="9"/>
      <c r="F11" s="9"/>
      <c r="G11" s="21">
        <f ca="1">VLOOKUP($B$6,Drivers2!$T$58:$V$76,3,FALSE)*VLOOKUP($D11,Calibration2!$A$220:$U$224,21,0)</f>
        <v>0</v>
      </c>
      <c r="H11" s="21">
        <f ca="1">VLOOKUP($B$6,Driver22!$T$58:$V$76,3,FALSE)*VLOOKUP($D11,Calibrati22!$A$220:$U$224,21,0)</f>
        <v>0</v>
      </c>
      <c r="I11" s="62">
        <f t="shared" si="0"/>
        <v>0</v>
      </c>
      <c r="J11" s="62">
        <f t="shared" si="0"/>
        <v>0</v>
      </c>
      <c r="K11" s="542"/>
      <c r="L11" s="9"/>
      <c r="M11" s="542"/>
      <c r="N11" s="542"/>
      <c r="O11" s="9"/>
      <c r="P11" s="9"/>
      <c r="Q11" s="9"/>
      <c r="R11" s="31"/>
      <c r="S11" s="31"/>
      <c r="T11" s="31"/>
      <c r="U11" s="31"/>
      <c r="V11" s="31"/>
      <c r="W11" s="31"/>
      <c r="X11" s="12"/>
      <c r="Y11" s="12"/>
    </row>
    <row r="12" spans="1:25">
      <c r="B12" s="9"/>
      <c r="C12" s="23"/>
      <c r="D12" s="9" t="s">
        <v>653</v>
      </c>
      <c r="E12" s="9" t="s">
        <v>1519</v>
      </c>
      <c r="F12" s="304" t="s">
        <v>1526</v>
      </c>
      <c r="G12" s="21">
        <f ca="1">VLOOKUP($B$6,Drivers2!$T$58:$V$76,2,FALSE)*VLOOKUP($D12,Calibration2!$A$211:$U$215,21,0)</f>
        <v>0</v>
      </c>
      <c r="H12" s="21">
        <f ca="1">VLOOKUP($B$6,Driver22!$T$58:$V$76,2,FALSE)*VLOOKUP($D12,Calibrati22!$A$211:$U$215,21,0)</f>
        <v>0</v>
      </c>
      <c r="I12" s="62">
        <f t="shared" si="0"/>
        <v>0</v>
      </c>
      <c r="J12" s="62">
        <f t="shared" si="0"/>
        <v>0</v>
      </c>
      <c r="K12" s="542"/>
      <c r="L12" s="9"/>
      <c r="M12" s="542"/>
      <c r="N12" s="542"/>
      <c r="O12" s="9"/>
      <c r="P12" s="9"/>
      <c r="Q12" s="9"/>
      <c r="R12" s="31"/>
      <c r="S12" s="31">
        <f>S$24</f>
        <v>0.78517936887871098</v>
      </c>
      <c r="T12" s="31"/>
      <c r="U12" s="31"/>
      <c r="V12" s="31"/>
      <c r="W12" s="31"/>
      <c r="X12" s="12"/>
      <c r="Y12" s="12"/>
    </row>
    <row r="13" spans="1:25">
      <c r="B13" s="9"/>
      <c r="C13" s="23"/>
      <c r="D13" s="23" t="s">
        <v>1517</v>
      </c>
      <c r="E13" s="9" t="s">
        <v>1519</v>
      </c>
      <c r="F13" s="304" t="s">
        <v>1527</v>
      </c>
      <c r="G13" s="21"/>
      <c r="H13" s="21"/>
      <c r="I13" s="62">
        <f>S12*100/56+(1-S12)</f>
        <v>1.6169266469761301</v>
      </c>
      <c r="J13" s="62">
        <f>I13</f>
        <v>1.6169266469761301</v>
      </c>
      <c r="K13" s="542"/>
      <c r="L13" s="9"/>
      <c r="M13" s="542"/>
      <c r="N13" s="542"/>
      <c r="O13" s="9"/>
      <c r="P13" s="9"/>
      <c r="Q13" s="9"/>
      <c r="R13" s="31"/>
      <c r="S13" s="31">
        <f>S$24</f>
        <v>0.78517936887871098</v>
      </c>
      <c r="T13" s="31"/>
      <c r="U13" s="31"/>
      <c r="V13" s="31"/>
      <c r="W13" s="31"/>
      <c r="X13" s="12"/>
      <c r="Y13" s="12"/>
    </row>
    <row r="14" spans="1:25">
      <c r="B14" s="9"/>
      <c r="C14" s="23"/>
      <c r="D14" s="9"/>
      <c r="E14" s="9" t="s">
        <v>372</v>
      </c>
      <c r="F14" s="9"/>
      <c r="G14" s="21"/>
      <c r="H14" s="21"/>
      <c r="I14" s="62"/>
      <c r="J14" s="9"/>
      <c r="K14" s="542"/>
      <c r="L14" s="9"/>
      <c r="M14" s="542"/>
      <c r="N14" s="542"/>
      <c r="O14" s="9"/>
      <c r="P14" s="9"/>
      <c r="Q14" s="9"/>
      <c r="R14" s="319">
        <f>0.51*0.9*1000</f>
        <v>459</v>
      </c>
      <c r="S14" s="31"/>
      <c r="T14" s="31"/>
      <c r="U14" s="31"/>
      <c r="V14" s="31"/>
      <c r="W14" s="31"/>
      <c r="X14" s="12"/>
      <c r="Y14" s="12"/>
    </row>
    <row r="15" spans="1:25" ht="13.5" thickBot="1">
      <c r="A15" s="6"/>
      <c r="B15" s="22"/>
      <c r="C15" s="24"/>
      <c r="D15" s="22"/>
      <c r="E15" s="22" t="s">
        <v>696</v>
      </c>
      <c r="F15" s="22"/>
      <c r="G15" s="28"/>
      <c r="H15" s="28"/>
      <c r="I15" s="541"/>
      <c r="J15" s="541"/>
      <c r="K15" s="545"/>
      <c r="L15" s="545"/>
      <c r="M15" s="545"/>
      <c r="N15" s="545"/>
      <c r="O15" s="22"/>
      <c r="P15" s="22"/>
      <c r="Q15" s="9"/>
      <c r="R15" s="29"/>
      <c r="S15" s="29"/>
      <c r="T15" s="29"/>
      <c r="U15" s="29"/>
      <c r="V15" s="29"/>
      <c r="W15" s="29"/>
      <c r="X15" s="13"/>
      <c r="Y15" s="13"/>
    </row>
    <row r="16" spans="1:25">
      <c r="B16" s="516" t="s">
        <v>1380</v>
      </c>
      <c r="C16" s="517" t="str">
        <f>E15</f>
        <v>INMCMT</v>
      </c>
      <c r="D16" s="517"/>
      <c r="E16" s="517"/>
      <c r="F16" s="517"/>
      <c r="G16" s="581">
        <f>SUM(G6:G15)</f>
        <v>0</v>
      </c>
      <c r="H16" s="581">
        <f>SUM(H6:H15)</f>
        <v>0</v>
      </c>
      <c r="I16" s="581">
        <f ca="1">VLOOKUP($B6,Drivers2!$E$58:$H$77,4,FALSE)</f>
        <v>0</v>
      </c>
      <c r="J16" s="581">
        <f ca="1">VLOOKUP($B6,Driver22!$E$58:$H$77,4,FALSE)</f>
        <v>0</v>
      </c>
      <c r="K16" s="581">
        <f ca="1">G16/(I16+Tiny)</f>
        <v>0</v>
      </c>
      <c r="L16" s="581">
        <f ca="1">H16/(J16+Tiny)</f>
        <v>0</v>
      </c>
      <c r="M16" s="518"/>
      <c r="N16" s="518"/>
      <c r="O16" s="517"/>
      <c r="P16" s="517" t="s">
        <v>784</v>
      </c>
      <c r="Q16" s="517"/>
      <c r="R16" s="517"/>
      <c r="S16" s="517"/>
      <c r="T16" s="517"/>
      <c r="U16" s="517"/>
      <c r="V16" s="517"/>
      <c r="W16" s="517"/>
      <c r="X16" s="517"/>
      <c r="Y16" s="517"/>
    </row>
    <row r="17" spans="2:25">
      <c r="B17" s="35" t="s">
        <v>965</v>
      </c>
      <c r="C17" s="23" t="s">
        <v>818</v>
      </c>
      <c r="D17" s="9" t="s">
        <v>654</v>
      </c>
      <c r="E17" s="9"/>
      <c r="F17" s="9"/>
      <c r="G17" s="21">
        <f ca="1">VLOOKUP($B17,Calibration2!$B$172:$T$206,2,FALSE)</f>
        <v>0</v>
      </c>
      <c r="H17" s="21">
        <f ca="1">VLOOKUP($B17,Calibrati22!$B$172:$T$206,2,FALSE)</f>
        <v>0</v>
      </c>
      <c r="I17" s="62">
        <f t="shared" ref="I17:J24" si="1">IF($I$28=0,0,G17/$I$28)</f>
        <v>0</v>
      </c>
      <c r="J17" s="62">
        <f t="shared" si="1"/>
        <v>0</v>
      </c>
      <c r="K17" s="542">
        <f>I28</f>
        <v>0</v>
      </c>
      <c r="L17" s="542">
        <f>J28</f>
        <v>0</v>
      </c>
      <c r="M17" s="542">
        <v>0</v>
      </c>
      <c r="N17" s="17">
        <v>1</v>
      </c>
      <c r="O17" s="12">
        <v>1</v>
      </c>
      <c r="P17" s="12">
        <v>1</v>
      </c>
      <c r="Q17">
        <v>100</v>
      </c>
      <c r="R17" s="31"/>
      <c r="S17" s="31"/>
      <c r="T17" s="31"/>
      <c r="U17" s="31"/>
      <c r="V17" s="31"/>
      <c r="W17" s="319"/>
      <c r="X17" s="12"/>
      <c r="Y17" s="55">
        <f>K17*0.02</f>
        <v>0</v>
      </c>
    </row>
    <row r="18" spans="2:25">
      <c r="B18" s="9"/>
      <c r="C18" s="23"/>
      <c r="D18" s="9" t="s">
        <v>906</v>
      </c>
      <c r="E18" s="9"/>
      <c r="F18" s="9"/>
      <c r="G18" s="21">
        <f ca="1">VLOOKUP($B$17,Calibration2!$B$172:$T$206,HLOOKUP($D18,Calibration2!$C$3:$T$4,2,FALSE),FALSE)</f>
        <v>0</v>
      </c>
      <c r="H18" s="21">
        <f ca="1">VLOOKUP($B$17,Calibrati22!$B$172:$T$206,HLOOKUP($D18,Calibrati22!$C$3:$T$4,2,FALSE),FALSE)</f>
        <v>0</v>
      </c>
      <c r="I18" s="62">
        <f t="shared" si="1"/>
        <v>0</v>
      </c>
      <c r="J18" s="62">
        <f t="shared" si="1"/>
        <v>0</v>
      </c>
      <c r="K18" s="542"/>
      <c r="L18" s="9"/>
      <c r="M18" s="542"/>
      <c r="N18" s="542"/>
      <c r="O18" s="9"/>
      <c r="P18" s="9"/>
      <c r="Q18" s="9"/>
      <c r="R18" s="31"/>
      <c r="S18" s="31"/>
      <c r="T18" s="31"/>
      <c r="U18" s="31"/>
      <c r="V18" s="31"/>
      <c r="W18" s="31"/>
      <c r="X18" s="12"/>
      <c r="Y18" s="12"/>
    </row>
    <row r="19" spans="2:25">
      <c r="B19" s="9"/>
      <c r="C19" s="23"/>
      <c r="D19" s="9" t="s">
        <v>909</v>
      </c>
      <c r="E19" s="9"/>
      <c r="F19" s="9"/>
      <c r="G19" s="21">
        <f ca="1">VLOOKUP($B$17,Calibration2!$B$172:$T$206,HLOOKUP($D19,Calibration2!$C$3:$T$4,2,FALSE),FALSE)</f>
        <v>0</v>
      </c>
      <c r="H19" s="21">
        <f ca="1">VLOOKUP($B$17,Calibrati22!$B$172:$T$206,HLOOKUP($D19,Calibrati22!$C$3:$T$4,2,FALSE),FALSE)</f>
        <v>0</v>
      </c>
      <c r="I19" s="62">
        <f t="shared" si="1"/>
        <v>0</v>
      </c>
      <c r="J19" s="62">
        <f t="shared" si="1"/>
        <v>0</v>
      </c>
      <c r="K19" s="542"/>
      <c r="L19" s="9"/>
      <c r="M19" s="542"/>
      <c r="N19" s="542"/>
      <c r="O19" s="9"/>
      <c r="P19" s="9"/>
      <c r="Q19" s="9"/>
      <c r="R19" s="31"/>
      <c r="S19" s="31"/>
      <c r="T19" s="31"/>
      <c r="U19" s="31"/>
      <c r="V19" s="31"/>
      <c r="W19" s="31"/>
      <c r="X19" s="12"/>
      <c r="Y19" s="12"/>
    </row>
    <row r="20" spans="2:25">
      <c r="B20" s="9"/>
      <c r="C20" s="23"/>
      <c r="D20" s="9" t="s">
        <v>913</v>
      </c>
      <c r="E20" s="9"/>
      <c r="F20" s="9"/>
      <c r="G20" s="21">
        <f ca="1">VLOOKUP($B$17,Calibration2!$B$172:$T$206,HLOOKUP($D20,Calibration2!$C$3:$T$4,2,FALSE),FALSE)</f>
        <v>0</v>
      </c>
      <c r="H20" s="21">
        <f ca="1">VLOOKUP($B$17,Calibrati22!$B$172:$T$206,HLOOKUP($D20,Calibrati22!$C$3:$T$4,2,FALSE),FALSE)</f>
        <v>0</v>
      </c>
      <c r="I20" s="62">
        <f t="shared" si="1"/>
        <v>0</v>
      </c>
      <c r="J20" s="62">
        <f t="shared" si="1"/>
        <v>0</v>
      </c>
      <c r="K20" s="542"/>
      <c r="L20" s="9"/>
      <c r="M20" s="542"/>
      <c r="N20" s="542"/>
      <c r="O20" s="9"/>
      <c r="P20" s="9"/>
      <c r="Q20" s="9"/>
      <c r="R20" s="31"/>
      <c r="S20" s="31"/>
      <c r="T20" s="31"/>
      <c r="U20" s="31"/>
      <c r="V20" s="427">
        <v>3</v>
      </c>
      <c r="W20" s="31"/>
      <c r="X20" s="12"/>
      <c r="Y20" s="12"/>
    </row>
    <row r="21" spans="2:25">
      <c r="B21" s="52"/>
      <c r="C21" s="50"/>
      <c r="D21" s="52" t="s">
        <v>916</v>
      </c>
      <c r="E21" s="52"/>
      <c r="F21" s="52"/>
      <c r="G21" s="21">
        <f ca="1">VLOOKUP($B$17,Calibration2!$B$172:$T$206,HLOOKUP($D21,Calibration2!$C$3:$T$4,2,FALSE),FALSE)</f>
        <v>0</v>
      </c>
      <c r="H21" s="21">
        <f ca="1">VLOOKUP($B$17,Calibrati22!$B$172:$T$206,HLOOKUP($D21,Calibrati22!$C$3:$T$4,2,FALSE),FALSE)</f>
        <v>0</v>
      </c>
      <c r="I21" s="62">
        <f t="shared" si="1"/>
        <v>0</v>
      </c>
      <c r="J21" s="62">
        <f t="shared" si="1"/>
        <v>0</v>
      </c>
      <c r="K21" s="543"/>
      <c r="L21" s="9"/>
      <c r="M21" s="543"/>
      <c r="N21" s="543"/>
      <c r="O21" s="52"/>
      <c r="P21" s="52"/>
      <c r="Q21" s="9"/>
      <c r="R21" s="31"/>
      <c r="S21" s="31"/>
      <c r="T21" s="31"/>
      <c r="U21" s="31"/>
      <c r="V21" s="427">
        <v>3</v>
      </c>
      <c r="W21" s="31"/>
      <c r="X21" s="49"/>
      <c r="Y21" s="49"/>
    </row>
    <row r="22" spans="2:25">
      <c r="B22" s="52"/>
      <c r="C22" s="50"/>
      <c r="D22" s="52" t="s">
        <v>917</v>
      </c>
      <c r="E22" s="52"/>
      <c r="F22" s="52"/>
      <c r="G22" s="21">
        <f ca="1">VLOOKUP($B$17,Calibration2!$B$172:$T$206,HLOOKUP($D22,Calibration2!$C$3:$T$4,2,FALSE),FALSE)</f>
        <v>0</v>
      </c>
      <c r="H22" s="21">
        <f ca="1">VLOOKUP($B$17,Calibrati22!$B$172:$T$206,HLOOKUP($D22,Calibrati22!$C$3:$T$4,2,FALSE),FALSE)</f>
        <v>0</v>
      </c>
      <c r="I22" s="62">
        <f t="shared" si="1"/>
        <v>0</v>
      </c>
      <c r="J22" s="62">
        <f t="shared" si="1"/>
        <v>0</v>
      </c>
      <c r="K22" s="543"/>
      <c r="L22" s="9"/>
      <c r="M22" s="543"/>
      <c r="N22" s="543"/>
      <c r="O22" s="52"/>
      <c r="P22" s="52"/>
      <c r="Q22" s="9"/>
      <c r="R22" s="31"/>
      <c r="S22" s="31"/>
      <c r="T22" s="31"/>
      <c r="U22" s="31"/>
      <c r="V22" s="31"/>
      <c r="W22" s="31"/>
      <c r="X22" s="49"/>
      <c r="Y22" s="49"/>
    </row>
    <row r="23" spans="2:25">
      <c r="B23" s="9"/>
      <c r="C23" s="23"/>
      <c r="D23" s="9" t="s">
        <v>92</v>
      </c>
      <c r="E23" s="9"/>
      <c r="F23" s="9"/>
      <c r="G23" s="21">
        <f ca="1">VLOOKUP($B$17,Drivers2!$T$58:$V$76,3,FALSE)*VLOOKUP($D23,Calibration2!$A$220:$U$224,21,0)</f>
        <v>0</v>
      </c>
      <c r="H23" s="21">
        <f ca="1">VLOOKUP($B$17,Driver22!$T$58:$V$76,3,FALSE)*VLOOKUP($D23,Calibrati22!$A$220:$U$224,21,0)</f>
        <v>0</v>
      </c>
      <c r="I23" s="62">
        <f t="shared" si="1"/>
        <v>0</v>
      </c>
      <c r="J23" s="62">
        <f t="shared" si="1"/>
        <v>0</v>
      </c>
      <c r="K23" s="542"/>
      <c r="L23" s="9"/>
      <c r="M23" s="542"/>
      <c r="N23" s="542"/>
      <c r="O23" s="9"/>
      <c r="P23" s="9"/>
      <c r="Q23" s="9"/>
      <c r="R23" s="31"/>
      <c r="S23" s="31"/>
      <c r="T23" s="31"/>
      <c r="U23" s="31"/>
      <c r="V23" s="31"/>
      <c r="W23" s="31"/>
      <c r="X23" s="12"/>
      <c r="Y23" s="12"/>
    </row>
    <row r="24" spans="2:25">
      <c r="B24" s="9"/>
      <c r="C24" s="23"/>
      <c r="D24" s="9" t="s">
        <v>653</v>
      </c>
      <c r="E24" s="9" t="s">
        <v>1519</v>
      </c>
      <c r="F24" s="304" t="s">
        <v>1526</v>
      </c>
      <c r="G24" s="21">
        <f ca="1">VLOOKUP($B$17,Drivers2!$T$58:$V$76,2,FALSE)*VLOOKUP($D24,Calibration2!$A$211:$U$215,21,0)</f>
        <v>0</v>
      </c>
      <c r="H24" s="21">
        <f ca="1">VLOOKUP($B$17,Driver22!$T$58:$V$76,2,FALSE)*VLOOKUP($D24,Calibrati22!$A$211:$U$215,21,0)</f>
        <v>0</v>
      </c>
      <c r="I24" s="62">
        <f t="shared" si="1"/>
        <v>0</v>
      </c>
      <c r="J24" s="62">
        <f t="shared" si="1"/>
        <v>0</v>
      </c>
      <c r="K24" s="542"/>
      <c r="L24" s="9"/>
      <c r="M24" s="542"/>
      <c r="N24" s="542"/>
      <c r="O24" s="9"/>
      <c r="P24" s="9"/>
      <c r="Q24" s="9"/>
      <c r="R24" s="31"/>
      <c r="S24" s="31">
        <v>0.78517936887871098</v>
      </c>
      <c r="T24" s="31"/>
      <c r="U24" s="31"/>
      <c r="V24" s="31"/>
      <c r="W24" s="31"/>
      <c r="X24" s="12"/>
      <c r="Y24" s="12"/>
    </row>
    <row r="25" spans="2:25">
      <c r="B25" s="9"/>
      <c r="C25" s="23"/>
      <c r="D25" s="23" t="s">
        <v>1517</v>
      </c>
      <c r="E25" s="9" t="s">
        <v>1519</v>
      </c>
      <c r="F25" s="304" t="s">
        <v>1527</v>
      </c>
      <c r="G25" s="21"/>
      <c r="H25" s="21"/>
      <c r="I25" s="62">
        <f>S24*100/56+(1-S24)</f>
        <v>1.6169266469761301</v>
      </c>
      <c r="J25" s="62">
        <f>I25</f>
        <v>1.6169266469761301</v>
      </c>
      <c r="K25" s="542"/>
      <c r="L25" s="9"/>
      <c r="M25" s="542"/>
      <c r="N25" s="542"/>
      <c r="O25" s="9"/>
      <c r="P25" s="9"/>
      <c r="Q25" s="9"/>
      <c r="R25" s="31"/>
      <c r="S25" s="31">
        <f>S$24</f>
        <v>0.78517936887871098</v>
      </c>
      <c r="T25" s="31"/>
      <c r="U25" s="31"/>
      <c r="V25" s="31"/>
      <c r="W25" s="31"/>
      <c r="X25" s="12"/>
      <c r="Y25" s="12"/>
    </row>
    <row r="26" spans="2:25">
      <c r="B26" s="9"/>
      <c r="C26" s="23"/>
      <c r="D26" s="9"/>
      <c r="E26" s="9" t="s">
        <v>372</v>
      </c>
      <c r="F26" s="9"/>
      <c r="G26" s="21"/>
      <c r="H26" s="21"/>
      <c r="I26" s="62"/>
      <c r="J26" s="9"/>
      <c r="K26" s="542"/>
      <c r="L26" s="9"/>
      <c r="M26" s="542"/>
      <c r="N26" s="542"/>
      <c r="O26" s="9"/>
      <c r="P26" s="9"/>
      <c r="Q26" s="9"/>
      <c r="R26" s="319">
        <f>0.51*0.9*1000</f>
        <v>459</v>
      </c>
      <c r="S26" s="31"/>
      <c r="T26" s="31"/>
      <c r="U26" s="31"/>
      <c r="V26" s="31"/>
      <c r="W26" s="31"/>
      <c r="X26" s="12"/>
      <c r="Y26" s="12"/>
    </row>
    <row r="27" spans="2:25" ht="13.5" thickBot="1">
      <c r="B27" s="22"/>
      <c r="C27" s="24"/>
      <c r="D27" s="22"/>
      <c r="E27" s="22" t="s">
        <v>696</v>
      </c>
      <c r="F27" s="22"/>
      <c r="G27" s="28"/>
      <c r="H27" s="28"/>
      <c r="I27" s="541"/>
      <c r="J27" s="545"/>
      <c r="K27" s="545"/>
      <c r="L27" s="545"/>
      <c r="M27" s="545"/>
      <c r="N27" s="545"/>
      <c r="O27" s="22"/>
      <c r="P27" s="22"/>
      <c r="Q27" s="9"/>
      <c r="R27" s="29"/>
      <c r="S27" s="29"/>
      <c r="T27" s="29"/>
      <c r="U27" s="29"/>
      <c r="V27" s="29"/>
      <c r="W27" s="29"/>
      <c r="X27" s="13"/>
      <c r="Y27" s="13"/>
    </row>
    <row r="28" spans="2:25">
      <c r="B28" s="516" t="s">
        <v>1380</v>
      </c>
      <c r="C28" s="517" t="str">
        <f>E27</f>
        <v>INMCMT</v>
      </c>
      <c r="D28" s="517"/>
      <c r="E28" s="517"/>
      <c r="F28" s="517"/>
      <c r="G28" s="580">
        <f>SUM(G17:G24)</f>
        <v>0</v>
      </c>
      <c r="H28" s="580">
        <f>SUM(H17:H24)</f>
        <v>0</v>
      </c>
      <c r="I28" s="580">
        <f ca="1">VLOOKUP($B17,Drivers2!$E$58:$H$77,4,FALSE)</f>
        <v>0</v>
      </c>
      <c r="J28" s="580">
        <f ca="1">VLOOKUP($B17,Driver22!$E$58:$H$77,4,FALSE)</f>
        <v>0</v>
      </c>
      <c r="K28" s="580">
        <f ca="1">G28/(I28+Tiny)</f>
        <v>0</v>
      </c>
      <c r="L28" s="580">
        <f ca="1">H28/(J28+Tiny)</f>
        <v>0</v>
      </c>
      <c r="M28" s="518"/>
      <c r="N28" s="518"/>
      <c r="O28" s="517"/>
      <c r="P28" s="517"/>
      <c r="Q28" s="517"/>
      <c r="R28" s="517"/>
      <c r="S28" s="517"/>
      <c r="T28" s="517"/>
      <c r="U28" s="517"/>
      <c r="V28" s="517"/>
      <c r="W28" s="517"/>
      <c r="X28" s="517"/>
      <c r="Y28" s="517"/>
    </row>
    <row r="29" spans="2:25">
      <c r="B29" s="35" t="s">
        <v>412</v>
      </c>
      <c r="C29" s="23" t="s">
        <v>416</v>
      </c>
      <c r="D29" s="9" t="s">
        <v>906</v>
      </c>
      <c r="E29" s="9"/>
      <c r="F29" s="9"/>
      <c r="G29" s="21">
        <f ca="1">VLOOKUP($B$29,Calibration2!$B$172:$T$206,HLOOKUP($D29,Calibration2!$C$3:$T$4,2,FALSE),FALSE)</f>
        <v>0</v>
      </c>
      <c r="H29" s="21">
        <f ca="1">VLOOKUP($B$29,Calibrati22!$B$172:$T$206,HLOOKUP($D29,Calibrati22!$C$3:$T$4,2,FALSE),FALSE)</f>
        <v>0</v>
      </c>
      <c r="I29" s="62">
        <f t="shared" ref="I29:J33" si="2">IF($I$37=0,0,G29/$I$37)</f>
        <v>0</v>
      </c>
      <c r="J29" s="62">
        <f t="shared" si="2"/>
        <v>0</v>
      </c>
      <c r="K29" s="542">
        <f>I37</f>
        <v>0</v>
      </c>
      <c r="L29" s="542">
        <f>J37</f>
        <v>0</v>
      </c>
      <c r="M29" s="542">
        <v>0</v>
      </c>
      <c r="N29" s="17">
        <v>1</v>
      </c>
      <c r="O29" s="12">
        <v>1</v>
      </c>
      <c r="P29" s="12">
        <v>20</v>
      </c>
      <c r="Q29" s="9">
        <v>50</v>
      </c>
      <c r="R29" s="55"/>
      <c r="S29" s="55"/>
      <c r="T29" s="55"/>
      <c r="U29" s="55"/>
      <c r="V29" s="55"/>
      <c r="W29" s="55"/>
      <c r="X29" s="49"/>
      <c r="Y29" s="55">
        <f>K29*0.02</f>
        <v>0</v>
      </c>
    </row>
    <row r="30" spans="2:25">
      <c r="B30" s="52"/>
      <c r="C30" s="50"/>
      <c r="D30" s="9" t="s">
        <v>909</v>
      </c>
      <c r="E30" s="9"/>
      <c r="F30" s="9"/>
      <c r="G30" s="21">
        <f ca="1">VLOOKUP($B$29,Calibration2!$B$172:$T$206,HLOOKUP($D30,Calibration2!$C$3:$T$4,2,FALSE),FALSE)</f>
        <v>0</v>
      </c>
      <c r="H30" s="21">
        <f ca="1">VLOOKUP($B$29,Calibrati22!$B$172:$T$206,HLOOKUP($D30,Calibrati22!$C$3:$T$4,2,FALSE),FALSE)</f>
        <v>0</v>
      </c>
      <c r="I30" s="62">
        <f t="shared" si="2"/>
        <v>0</v>
      </c>
      <c r="J30" s="62">
        <f t="shared" si="2"/>
        <v>0</v>
      </c>
      <c r="K30" s="543"/>
      <c r="L30" s="9"/>
      <c r="M30" s="543"/>
      <c r="N30" s="543"/>
      <c r="O30" s="52"/>
      <c r="P30" s="52"/>
      <c r="Q30" s="9"/>
      <c r="R30" s="55"/>
      <c r="S30" s="55"/>
      <c r="T30" s="55"/>
      <c r="U30" s="55"/>
      <c r="V30" s="55"/>
      <c r="W30" s="55"/>
      <c r="X30" s="49"/>
      <c r="Y30" s="49"/>
    </row>
    <row r="31" spans="2:25">
      <c r="B31" s="52"/>
      <c r="C31" s="50"/>
      <c r="D31" s="9" t="s">
        <v>913</v>
      </c>
      <c r="E31" s="9"/>
      <c r="F31" s="9"/>
      <c r="G31" s="21">
        <f ca="1">VLOOKUP($B$29,Calibration2!$B$172:$T$206,HLOOKUP($D31,Calibration2!$C$3:$T$4,2,FALSE),FALSE)</f>
        <v>0</v>
      </c>
      <c r="H31" s="21">
        <f ca="1">VLOOKUP($B$29,Calibrati22!$B$172:$T$206,HLOOKUP($D31,Calibrati22!$C$3:$T$4,2,FALSE),FALSE)</f>
        <v>0</v>
      </c>
      <c r="I31" s="62">
        <f t="shared" si="2"/>
        <v>0</v>
      </c>
      <c r="J31" s="62">
        <f t="shared" si="2"/>
        <v>0</v>
      </c>
      <c r="K31" s="543"/>
      <c r="L31" s="9"/>
      <c r="M31" s="543"/>
      <c r="N31" s="543"/>
      <c r="O31" s="52"/>
      <c r="P31" s="52"/>
      <c r="Q31" s="9"/>
      <c r="R31" s="55"/>
      <c r="S31" s="55"/>
      <c r="T31" s="55"/>
      <c r="U31" s="55"/>
      <c r="V31" s="427">
        <v>3</v>
      </c>
      <c r="W31" s="55"/>
      <c r="X31" s="49"/>
      <c r="Y31" s="49"/>
    </row>
    <row r="32" spans="2:25">
      <c r="B32" s="52"/>
      <c r="C32" s="50"/>
      <c r="D32" s="9" t="s">
        <v>92</v>
      </c>
      <c r="E32" s="9"/>
      <c r="F32" s="9"/>
      <c r="G32" s="21">
        <f ca="1">VLOOKUP($B$29,Drivers2!$T$58:$V$76,3,FALSE)*VLOOKUP($D32,Calibration2!$A$220:$U$224,21,0)</f>
        <v>0</v>
      </c>
      <c r="H32" s="21">
        <f ca="1">VLOOKUP($B$29,Driver22!$T$58:$V$76,3,FALSE)*VLOOKUP($D32,Calibrati22!$A$220:$U$224,21,0)</f>
        <v>0</v>
      </c>
      <c r="I32" s="62">
        <f t="shared" si="2"/>
        <v>0</v>
      </c>
      <c r="J32" s="62">
        <f t="shared" si="2"/>
        <v>0</v>
      </c>
      <c r="K32" s="543"/>
      <c r="L32" s="9"/>
      <c r="M32" s="543"/>
      <c r="N32" s="543"/>
      <c r="O32" s="52"/>
      <c r="P32" s="52"/>
      <c r="Q32" s="9"/>
      <c r="R32" s="55"/>
      <c r="S32" s="55"/>
      <c r="T32" s="55"/>
      <c r="U32" s="55"/>
      <c r="V32" s="55"/>
      <c r="W32" s="55"/>
      <c r="X32" s="49"/>
      <c r="Y32" s="49"/>
    </row>
    <row r="33" spans="1:25">
      <c r="B33" s="52"/>
      <c r="C33" s="50"/>
      <c r="D33" s="9" t="s">
        <v>653</v>
      </c>
      <c r="E33" s="9"/>
      <c r="F33" s="9"/>
      <c r="G33" s="21">
        <f ca="1">VLOOKUP($B$29,Drivers2!$T$58:$V$76,2,FALSE)*VLOOKUP($D33,Calibration2!$A$211:$U$215,21,0)</f>
        <v>0</v>
      </c>
      <c r="H33" s="21">
        <f ca="1">VLOOKUP($B$29,Driver22!$T$58:$V$76,2,FALSE)*VLOOKUP($D33,Calibrati22!$A$211:$U$215,21,0)</f>
        <v>0</v>
      </c>
      <c r="I33" s="62">
        <f t="shared" si="2"/>
        <v>0</v>
      </c>
      <c r="J33" s="62">
        <f t="shared" si="2"/>
        <v>0</v>
      </c>
      <c r="K33" s="543"/>
      <c r="L33" s="9"/>
      <c r="M33" s="543"/>
      <c r="N33" s="543"/>
      <c r="O33" s="52"/>
      <c r="P33" s="52"/>
      <c r="Q33" s="9"/>
      <c r="R33" s="55"/>
      <c r="S33" s="55"/>
      <c r="T33" s="55"/>
      <c r="U33" s="55"/>
      <c r="V33" s="55"/>
      <c r="W33" s="55"/>
      <c r="X33" s="49"/>
      <c r="Y33" s="49"/>
    </row>
    <row r="34" spans="1:25">
      <c r="B34" s="52"/>
      <c r="C34" s="50"/>
      <c r="D34" s="23" t="s">
        <v>1517</v>
      </c>
      <c r="E34" s="9"/>
      <c r="F34" s="9"/>
      <c r="G34" s="21"/>
      <c r="H34" s="21"/>
      <c r="I34" s="62">
        <f>100/56</f>
        <v>1.7857142857142858</v>
      </c>
      <c r="J34" s="62">
        <f>100/56</f>
        <v>1.7857142857142858</v>
      </c>
      <c r="K34" s="543"/>
      <c r="L34" s="9"/>
      <c r="M34" s="543"/>
      <c r="N34" s="543"/>
      <c r="O34" s="52"/>
      <c r="P34" s="52"/>
      <c r="Q34" s="9"/>
      <c r="R34" s="55"/>
      <c r="S34" s="55"/>
      <c r="T34" s="55"/>
      <c r="U34" s="55"/>
      <c r="V34" s="55"/>
      <c r="W34" s="55"/>
      <c r="X34" s="49"/>
      <c r="Y34" s="49"/>
    </row>
    <row r="35" spans="1:25">
      <c r="B35" s="52"/>
      <c r="C35" s="50"/>
      <c r="D35" s="9"/>
      <c r="E35" s="9" t="s">
        <v>372</v>
      </c>
      <c r="F35" s="9"/>
      <c r="G35" s="21"/>
      <c r="H35" s="21"/>
      <c r="I35" s="62"/>
      <c r="J35" s="9"/>
      <c r="K35" s="543"/>
      <c r="L35" s="9"/>
      <c r="M35" s="543"/>
      <c r="N35" s="543"/>
      <c r="O35" s="52"/>
      <c r="P35" s="52"/>
      <c r="Q35" s="9"/>
      <c r="R35" s="319">
        <f>0.785*0.8*1000</f>
        <v>628.00000000000011</v>
      </c>
      <c r="S35" s="55"/>
      <c r="T35" s="55"/>
      <c r="U35" s="55"/>
      <c r="V35" s="55"/>
      <c r="W35" s="55"/>
      <c r="X35" s="49"/>
      <c r="Y35" s="49"/>
    </row>
    <row r="36" spans="1:25" ht="13.5" thickBot="1">
      <c r="B36" s="52"/>
      <c r="C36" s="50"/>
      <c r="D36" s="52"/>
      <c r="E36" s="22" t="s">
        <v>411</v>
      </c>
      <c r="F36" s="22"/>
      <c r="G36" s="53"/>
      <c r="H36" s="53"/>
      <c r="I36" s="541"/>
      <c r="J36" s="545"/>
      <c r="K36" s="545"/>
      <c r="L36" s="545"/>
      <c r="M36" s="545"/>
      <c r="N36" s="545"/>
      <c r="O36" s="22"/>
      <c r="P36" s="22"/>
      <c r="Q36" s="9"/>
      <c r="R36" s="55"/>
      <c r="S36" s="55"/>
      <c r="T36" s="55"/>
      <c r="U36" s="55"/>
      <c r="V36" s="55"/>
      <c r="W36" s="55"/>
      <c r="X36" s="49"/>
      <c r="Y36" s="49"/>
    </row>
    <row r="37" spans="1:25">
      <c r="B37" s="516" t="s">
        <v>1380</v>
      </c>
      <c r="C37" s="517" t="str">
        <f>E36</f>
        <v>INMLIM</v>
      </c>
      <c r="D37" s="517"/>
      <c r="E37" s="517"/>
      <c r="F37" s="517"/>
      <c r="G37" s="580">
        <f>SUM(G29:G33)</f>
        <v>0</v>
      </c>
      <c r="H37" s="580">
        <f>SUM(H29:H33)</f>
        <v>0</v>
      </c>
      <c r="I37" s="580">
        <f ca="1">VLOOKUP($B29,Drivers2!$E$58:$H$77,4,FALSE)</f>
        <v>0</v>
      </c>
      <c r="J37" s="580">
        <f ca="1">VLOOKUP($B29,Driver22!$E$58:$H$77,4,FALSE)</f>
        <v>0</v>
      </c>
      <c r="K37" s="580">
        <f ca="1">G37/(I37+Tiny)</f>
        <v>0</v>
      </c>
      <c r="L37" s="580">
        <f ca="1">H37/(J37+Tiny)</f>
        <v>0</v>
      </c>
      <c r="M37" s="518"/>
      <c r="N37" s="518"/>
      <c r="O37" s="517"/>
      <c r="P37" s="517" t="s">
        <v>784</v>
      </c>
      <c r="Q37" s="517"/>
      <c r="R37" s="517"/>
      <c r="S37" s="517"/>
      <c r="T37" s="517"/>
      <c r="U37" s="517"/>
      <c r="V37" s="517"/>
      <c r="W37" s="517"/>
      <c r="X37" s="517"/>
      <c r="Y37" s="517"/>
    </row>
    <row r="38" spans="1:25">
      <c r="B38" s="35" t="s">
        <v>362</v>
      </c>
      <c r="C38" s="23" t="s">
        <v>819</v>
      </c>
      <c r="D38" s="9" t="s">
        <v>654</v>
      </c>
      <c r="E38" s="9"/>
      <c r="F38" s="9"/>
      <c r="G38" s="21">
        <f ca="1">VLOOKUP($B38,Calibration2!$B$172:$T$206,2,FALSE)</f>
        <v>0</v>
      </c>
      <c r="H38" s="21">
        <f ca="1">VLOOKUP($B38,Calibrati22!$B$172:$T$206,2,FALSE)</f>
        <v>0</v>
      </c>
      <c r="I38" s="62">
        <f t="shared" ref="I38:J43" si="3">IF($I$46=0,0,G38/$I$46)</f>
        <v>0</v>
      </c>
      <c r="J38" s="62">
        <f t="shared" si="3"/>
        <v>0</v>
      </c>
      <c r="K38" s="542">
        <f>I46</f>
        <v>0</v>
      </c>
      <c r="L38" s="542">
        <f>J46</f>
        <v>0</v>
      </c>
      <c r="M38" s="542">
        <v>0</v>
      </c>
      <c r="N38" s="17">
        <v>1</v>
      </c>
      <c r="O38" s="12">
        <v>1</v>
      </c>
      <c r="P38" s="12">
        <v>30</v>
      </c>
      <c r="R38" s="31"/>
      <c r="S38" s="31"/>
      <c r="T38" s="31"/>
      <c r="U38" s="31"/>
      <c r="V38" s="31"/>
      <c r="W38" s="319"/>
      <c r="X38" s="12"/>
      <c r="Y38" s="12"/>
    </row>
    <row r="39" spans="1:25">
      <c r="B39" s="9"/>
      <c r="C39" s="23"/>
      <c r="D39" s="9" t="s">
        <v>906</v>
      </c>
      <c r="E39" s="9"/>
      <c r="F39" s="9"/>
      <c r="G39" s="21">
        <f ca="1">VLOOKUP($B$38,Calibration2!$B$172:$T$206,HLOOKUP($D39,Calibration2!$C$3:$T$4,2,FALSE),FALSE)</f>
        <v>0</v>
      </c>
      <c r="H39" s="21">
        <f ca="1">VLOOKUP($B$38,Calibrati22!$B$172:$T$206,HLOOKUP($D39,Calibrati22!$C$3:$T$4,2,FALSE),FALSE)</f>
        <v>0</v>
      </c>
      <c r="I39" s="62">
        <f t="shared" si="3"/>
        <v>0</v>
      </c>
      <c r="J39" s="62">
        <f t="shared" si="3"/>
        <v>0</v>
      </c>
      <c r="K39" s="542"/>
      <c r="L39" s="9"/>
      <c r="M39" s="542"/>
      <c r="N39" s="542"/>
      <c r="O39" s="9"/>
      <c r="P39" s="9"/>
      <c r="Q39" s="9"/>
      <c r="R39" s="31"/>
      <c r="S39" s="31"/>
      <c r="T39" s="31"/>
      <c r="U39" s="31"/>
      <c r="V39" s="31"/>
      <c r="W39" s="31"/>
      <c r="X39" s="12"/>
      <c r="Y39" s="12"/>
    </row>
    <row r="40" spans="1:25">
      <c r="B40" s="9"/>
      <c r="C40" s="23"/>
      <c r="D40" s="9" t="s">
        <v>913</v>
      </c>
      <c r="E40" s="9"/>
      <c r="F40" s="9"/>
      <c r="G40" s="21">
        <f ca="1">VLOOKUP($B$38,Calibration2!$B$172:$T$206,HLOOKUP($D40,Calibration2!$C$3:$T$4,2,FALSE),FALSE)</f>
        <v>0</v>
      </c>
      <c r="H40" s="21">
        <f ca="1">VLOOKUP($B$38,Calibrati22!$B$172:$T$206,HLOOKUP($D40,Calibrati22!$C$3:$T$4,2,FALSE),FALSE)</f>
        <v>0</v>
      </c>
      <c r="I40" s="62">
        <f t="shared" si="3"/>
        <v>0</v>
      </c>
      <c r="J40" s="62">
        <f t="shared" si="3"/>
        <v>0</v>
      </c>
      <c r="K40" s="542"/>
      <c r="L40" s="9"/>
      <c r="M40" s="542"/>
      <c r="N40" s="542"/>
      <c r="O40" s="9"/>
      <c r="P40" s="9"/>
      <c r="Q40" s="9"/>
      <c r="R40" s="31"/>
      <c r="S40" s="31"/>
      <c r="T40" s="31"/>
      <c r="U40" s="31"/>
      <c r="V40" s="427">
        <v>3</v>
      </c>
      <c r="W40" s="31"/>
      <c r="X40" s="12"/>
      <c r="Y40" s="12"/>
    </row>
    <row r="41" spans="1:25">
      <c r="B41" s="9"/>
      <c r="C41" s="23"/>
      <c r="D41" s="9" t="s">
        <v>826</v>
      </c>
      <c r="E41" s="9"/>
      <c r="F41" s="9"/>
      <c r="G41" s="21">
        <f ca="1">VLOOKUP($B$38,Calibration2!$B$172:$T$206,HLOOKUP($D41,Calibration2!$C$3:$T$4,2,FALSE),FALSE)</f>
        <v>0</v>
      </c>
      <c r="H41" s="21">
        <f ca="1">VLOOKUP($B$38,Calibrati22!$B$172:$T$206,HLOOKUP($D41,Calibrati22!$C$3:$T$4,2,FALSE),FALSE)</f>
        <v>0</v>
      </c>
      <c r="I41" s="62">
        <f t="shared" si="3"/>
        <v>0</v>
      </c>
      <c r="J41" s="62">
        <f t="shared" si="3"/>
        <v>0</v>
      </c>
      <c r="K41" s="542"/>
      <c r="L41" s="9"/>
      <c r="M41" s="542"/>
      <c r="N41" s="542"/>
      <c r="O41" s="9"/>
      <c r="P41" s="9"/>
      <c r="Q41" s="9"/>
      <c r="R41" s="31"/>
      <c r="S41" s="31"/>
      <c r="T41" s="31"/>
      <c r="U41" s="31"/>
      <c r="V41" s="31"/>
      <c r="W41" s="31"/>
      <c r="X41" s="12"/>
      <c r="Y41" s="12"/>
    </row>
    <row r="42" spans="1:25">
      <c r="B42" s="9"/>
      <c r="C42" s="23"/>
      <c r="D42" s="9" t="s">
        <v>92</v>
      </c>
      <c r="E42" s="9"/>
      <c r="F42" s="9"/>
      <c r="G42" s="21">
        <f ca="1">VLOOKUP($B$38,Drivers2!$T$58:$V$76,3,FALSE)*VLOOKUP($D42,Calibration2!$A$220:$U$224,21,0)</f>
        <v>0</v>
      </c>
      <c r="H42" s="21">
        <f ca="1">VLOOKUP($B$38,Driver22!$T$58:$V$76,3,FALSE)*VLOOKUP($D42,Calibrati22!$A$220:$U$224,21,0)</f>
        <v>0</v>
      </c>
      <c r="I42" s="62">
        <f t="shared" si="3"/>
        <v>0</v>
      </c>
      <c r="J42" s="62">
        <f t="shared" si="3"/>
        <v>0</v>
      </c>
      <c r="K42" s="542"/>
      <c r="L42" s="9"/>
      <c r="M42" s="542"/>
      <c r="N42" s="542"/>
      <c r="O42" s="9"/>
      <c r="P42" s="9"/>
      <c r="Q42" s="9"/>
      <c r="R42" s="31"/>
      <c r="S42" s="31"/>
      <c r="T42" s="31"/>
      <c r="U42" s="31"/>
      <c r="V42" s="31"/>
      <c r="W42" s="31"/>
      <c r="X42" s="12"/>
      <c r="Y42" s="12"/>
    </row>
    <row r="43" spans="1:25">
      <c r="B43" s="9"/>
      <c r="C43" s="23"/>
      <c r="D43" s="9" t="s">
        <v>653</v>
      </c>
      <c r="E43" s="9"/>
      <c r="F43" s="9"/>
      <c r="G43" s="21">
        <f ca="1">VLOOKUP($B$38,Drivers2!$T$58:$V$76,2,FALSE)*VLOOKUP($D43,Calibration2!$A$211:$U$215,21,0)</f>
        <v>0</v>
      </c>
      <c r="H43" s="21">
        <f ca="1">VLOOKUP($B$38,Driver22!$T$58:$V$76,2,FALSE)*VLOOKUP($D43,Calibrati22!$A$211:$U$215,21,0)</f>
        <v>0</v>
      </c>
      <c r="I43" s="62">
        <f t="shared" si="3"/>
        <v>0</v>
      </c>
      <c r="J43" s="62">
        <f t="shared" si="3"/>
        <v>0</v>
      </c>
      <c r="K43" s="542"/>
      <c r="L43" s="9"/>
      <c r="M43" s="542"/>
      <c r="N43" s="542"/>
      <c r="O43" s="9"/>
      <c r="P43" s="9"/>
      <c r="Q43" s="9"/>
      <c r="R43" s="31"/>
      <c r="S43" s="31"/>
      <c r="T43" s="31"/>
      <c r="U43" s="31"/>
      <c r="V43" s="31"/>
      <c r="W43" s="31"/>
      <c r="X43" s="12"/>
      <c r="Y43" s="12"/>
    </row>
    <row r="44" spans="1:25">
      <c r="B44" s="9"/>
      <c r="C44" s="23"/>
      <c r="D44" s="23" t="s">
        <v>395</v>
      </c>
      <c r="E44" s="9"/>
      <c r="F44" s="9"/>
      <c r="G44" s="21"/>
      <c r="H44" s="21"/>
      <c r="I44" s="62">
        <f ca="1">Tiny</f>
        <v>1.0000000000000001E-9</v>
      </c>
      <c r="J44" s="62">
        <f ca="1">Tiny</f>
        <v>1.0000000000000001E-9</v>
      </c>
      <c r="K44" s="542"/>
      <c r="L44" s="9"/>
      <c r="M44" s="542"/>
      <c r="N44" s="542"/>
      <c r="O44" s="9"/>
      <c r="P44" s="9"/>
      <c r="Q44" s="9"/>
      <c r="R44" s="31"/>
      <c r="S44" s="31"/>
      <c r="T44" s="31"/>
      <c r="U44" s="31"/>
      <c r="V44" s="31"/>
      <c r="W44" s="31"/>
      <c r="X44" s="12"/>
      <c r="Y44" s="12"/>
    </row>
    <row r="45" spans="1:25" ht="13.5" thickBot="1">
      <c r="A45" s="6"/>
      <c r="B45" s="22"/>
      <c r="C45" s="24"/>
      <c r="D45" s="22"/>
      <c r="E45" s="22" t="s">
        <v>361</v>
      </c>
      <c r="F45" s="22"/>
      <c r="G45" s="28"/>
      <c r="H45" s="28"/>
      <c r="I45" s="541"/>
      <c r="J45" s="545"/>
      <c r="K45" s="545"/>
      <c r="L45" s="545"/>
      <c r="M45" s="545"/>
      <c r="N45" s="545"/>
      <c r="O45" s="22"/>
      <c r="P45" s="22"/>
      <c r="Q45" s="9"/>
      <c r="R45" s="29"/>
      <c r="S45" s="29"/>
      <c r="T45" s="29"/>
      <c r="U45" s="29"/>
      <c r="V45" s="29"/>
      <c r="W45" s="29"/>
      <c r="X45" s="13"/>
      <c r="Y45" s="13"/>
    </row>
    <row r="46" spans="1:25">
      <c r="B46" s="516" t="s">
        <v>1380</v>
      </c>
      <c r="C46" s="517" t="str">
        <f>E45</f>
        <v>INMGLS</v>
      </c>
      <c r="D46" s="517"/>
      <c r="E46" s="517"/>
      <c r="F46" s="517"/>
      <c r="G46" s="580">
        <f>SUM(G38:G45)</f>
        <v>0</v>
      </c>
      <c r="H46" s="580">
        <f>SUM(H38:H45)</f>
        <v>0</v>
      </c>
      <c r="I46" s="580">
        <f ca="1">VLOOKUP($B38,Drivers2!$E$58:$H$77,4,FALSE)</f>
        <v>0</v>
      </c>
      <c r="J46" s="580">
        <f ca="1">VLOOKUP($B38,Driver22!$E$58:$H$77,4,FALSE)</f>
        <v>0</v>
      </c>
      <c r="K46" s="580">
        <f ca="1">G46/(I46+Tiny)</f>
        <v>0</v>
      </c>
      <c r="L46" s="580">
        <f ca="1">H46/(J46+Tiny)</f>
        <v>0</v>
      </c>
      <c r="M46" s="518"/>
      <c r="N46" s="518"/>
      <c r="O46" s="517"/>
      <c r="P46" s="517" t="s">
        <v>784</v>
      </c>
      <c r="Q46" s="517"/>
      <c r="R46" s="517"/>
      <c r="S46" s="517"/>
      <c r="T46" s="517"/>
      <c r="U46" s="517"/>
      <c r="V46" s="517"/>
      <c r="W46" s="517"/>
      <c r="X46" s="517"/>
      <c r="Y46" s="517"/>
    </row>
    <row r="47" spans="1:25">
      <c r="B47" s="35" t="s">
        <v>364</v>
      </c>
      <c r="C47" s="23" t="s">
        <v>820</v>
      </c>
      <c r="D47" s="9" t="s">
        <v>654</v>
      </c>
      <c r="E47" s="9"/>
      <c r="F47" s="9"/>
      <c r="G47" s="21">
        <f ca="1">VLOOKUP($B47,Calibration2!$B$172:$T$206,2,FALSE)</f>
        <v>0.10680739365295873</v>
      </c>
      <c r="H47" s="21">
        <f ca="1">VLOOKUP($B47,Calibrati22!$B$172:$T$206,2,FALSE)</f>
        <v>5.6298462564037567E-2</v>
      </c>
      <c r="I47" s="62">
        <f t="shared" ref="I47:J53" si="4">IF($I$57=0,0,G47/$I$57)</f>
        <v>0.5179418731447083</v>
      </c>
      <c r="J47" s="62">
        <f t="shared" si="4"/>
        <v>0.27300854517927936</v>
      </c>
      <c r="K47" s="17"/>
      <c r="L47" s="12"/>
      <c r="M47" s="17"/>
      <c r="N47" s="17"/>
      <c r="O47" s="12"/>
      <c r="P47" s="12"/>
      <c r="Q47" s="12"/>
      <c r="R47" s="319"/>
      <c r="S47" s="31"/>
      <c r="T47" s="31"/>
      <c r="U47" s="31"/>
      <c r="V47" s="363">
        <v>2017</v>
      </c>
      <c r="W47" s="319"/>
      <c r="X47" s="12"/>
      <c r="Y47" s="12"/>
    </row>
    <row r="48" spans="1:25">
      <c r="B48" s="9"/>
      <c r="C48" s="23"/>
      <c r="D48" s="9" t="s">
        <v>906</v>
      </c>
      <c r="E48" s="9"/>
      <c r="F48" s="9"/>
      <c r="G48" s="21">
        <f ca="1">VLOOKUP($B$47,Calibration2!$B$172:$T$206,HLOOKUP($D48,Calibration2!$C$3:$T$4,2,FALSE),FALSE)</f>
        <v>8.0119040889473803E-2</v>
      </c>
      <c r="H48" s="21">
        <f ca="1">VLOOKUP($B$47,Calibrati22!$B$172:$T$206,HLOOKUP($D48,Calibrati22!$C$3:$T$4,2,FALSE),FALSE)</f>
        <v>2.766924575391129E-2</v>
      </c>
      <c r="I48" s="62">
        <f t="shared" si="4"/>
        <v>0.38852184941133061</v>
      </c>
      <c r="J48" s="62">
        <f t="shared" si="4"/>
        <v>0.13417667526694757</v>
      </c>
      <c r="K48" s="17"/>
      <c r="L48" s="12"/>
      <c r="M48" s="17"/>
      <c r="N48" s="17"/>
      <c r="O48" s="12"/>
      <c r="P48" s="12"/>
      <c r="Q48" s="12"/>
      <c r="R48" s="31"/>
      <c r="S48" s="31"/>
      <c r="T48" s="31"/>
      <c r="U48" s="31"/>
      <c r="V48" s="319">
        <v>2017</v>
      </c>
      <c r="W48" s="31"/>
      <c r="X48" s="12"/>
      <c r="Y48" s="12"/>
    </row>
    <row r="49" spans="1:31">
      <c r="B49" s="9"/>
      <c r="C49" s="23"/>
      <c r="D49" s="9" t="s">
        <v>909</v>
      </c>
      <c r="E49" s="9"/>
      <c r="F49" s="9"/>
      <c r="G49" s="21">
        <f ca="1">VLOOKUP($B$47,Calibration2!$B$172:$T$206,HLOOKUP($D49,Calibration2!$C$3:$T$4,2,FALSE),FALSE)</f>
        <v>0.13058205654941901</v>
      </c>
      <c r="H49" s="21">
        <f ca="1">VLOOKUP($B$47,Calibrati22!$B$172:$T$206,HLOOKUP($D49,Calibrati22!$C$3:$T$4,2,FALSE),FALSE)</f>
        <v>3.8146667140470721E-2</v>
      </c>
      <c r="I49" s="62">
        <f t="shared" si="4"/>
        <v>0.63323251935209779</v>
      </c>
      <c r="J49" s="62">
        <f t="shared" si="4"/>
        <v>0.18498491122403471</v>
      </c>
      <c r="K49" s="17"/>
      <c r="L49" s="12"/>
      <c r="M49" s="17"/>
      <c r="N49" s="17"/>
      <c r="O49" s="12"/>
      <c r="P49" s="12"/>
      <c r="Q49" s="12"/>
      <c r="R49" s="31"/>
      <c r="S49" s="31"/>
      <c r="T49" s="31"/>
      <c r="U49" s="31"/>
      <c r="V49" s="319">
        <v>2017</v>
      </c>
      <c r="W49" s="31"/>
      <c r="X49" s="12"/>
      <c r="Y49" s="12"/>
    </row>
    <row r="50" spans="1:31">
      <c r="B50" s="9"/>
      <c r="C50" s="23"/>
      <c r="D50" s="9" t="s">
        <v>913</v>
      </c>
      <c r="E50" s="9"/>
      <c r="F50" s="9"/>
      <c r="G50" s="21">
        <f ca="1">VLOOKUP($B$47,Calibration2!$B$172:$T$206,HLOOKUP($D50,Calibration2!$C$3:$T$4,2,FALSE),FALSE)</f>
        <v>1.8374284106692985E-2</v>
      </c>
      <c r="H50" s="21">
        <f ca="1">VLOOKUP($B$47,Calibrati22!$B$172:$T$206,HLOOKUP($D50,Calibrati22!$C$3:$T$4,2,FALSE),FALSE)</f>
        <v>2.6436887975849629E-3</v>
      </c>
      <c r="I50" s="62">
        <f t="shared" si="4"/>
        <v>8.9102549949265406E-2</v>
      </c>
      <c r="J50" s="62">
        <f t="shared" si="4"/>
        <v>1.2820059370439531E-2</v>
      </c>
      <c r="K50" s="17"/>
      <c r="L50" s="12"/>
      <c r="M50" s="17"/>
      <c r="N50" s="17"/>
      <c r="O50" s="12"/>
      <c r="P50" s="12"/>
      <c r="Q50" s="12"/>
      <c r="R50" s="31"/>
      <c r="S50" s="31"/>
      <c r="T50" s="31"/>
      <c r="U50" s="31"/>
      <c r="V50" s="319">
        <v>2017</v>
      </c>
      <c r="W50" s="31"/>
      <c r="X50" s="12"/>
      <c r="Y50" s="12"/>
    </row>
    <row r="51" spans="1:31">
      <c r="B51" s="9"/>
      <c r="C51" s="23"/>
      <c r="D51" s="9" t="s">
        <v>826</v>
      </c>
      <c r="E51" s="9"/>
      <c r="F51" s="9"/>
      <c r="G51" s="21">
        <f ca="1">VLOOKUP($B$47,Calibration2!$B$172:$T$206,HLOOKUP($D51,Calibration2!$C$3:$T$4,2,FALSE),FALSE)</f>
        <v>0</v>
      </c>
      <c r="H51" s="21">
        <f ca="1">VLOOKUP($B$47,Calibrati22!$B$172:$T$206,HLOOKUP($D51,Calibrati22!$C$3:$T$4,2,FALSE),FALSE)</f>
        <v>0</v>
      </c>
      <c r="I51" s="62">
        <f t="shared" si="4"/>
        <v>0</v>
      </c>
      <c r="J51" s="62">
        <f t="shared" si="4"/>
        <v>0</v>
      </c>
      <c r="K51" s="17"/>
      <c r="L51" s="12"/>
      <c r="M51" s="17"/>
      <c r="N51" s="17"/>
      <c r="O51" s="12"/>
      <c r="P51" s="12"/>
      <c r="Q51" s="12"/>
      <c r="R51" s="31"/>
      <c r="S51" s="31"/>
      <c r="T51" s="31"/>
      <c r="U51" s="31"/>
      <c r="V51" s="319">
        <v>2017</v>
      </c>
      <c r="W51" s="31"/>
      <c r="X51" s="12"/>
      <c r="Y51" s="12"/>
    </row>
    <row r="52" spans="1:31">
      <c r="B52" s="9"/>
      <c r="C52" s="23"/>
      <c r="D52" s="9" t="s">
        <v>92</v>
      </c>
      <c r="E52" s="9"/>
      <c r="F52" s="9"/>
      <c r="G52" s="21">
        <f ca="1">VLOOKUP($B$47,Drivers2!$T$58:$V$76,3,FALSE)*VLOOKUP($D52,Calibration2!$A$220:$U$224,21,0)</f>
        <v>0.21110122490341532</v>
      </c>
      <c r="H52" s="21">
        <f ca="1">VLOOKUP($B$47,Driver22!$T$58:$V$76,3,FALSE)*VLOOKUP($D52,Calibrati22!$A$220:$U$224,21,0)</f>
        <v>0.14493805361818504</v>
      </c>
      <c r="I52" s="62">
        <f t="shared" si="4"/>
        <v>1.0236947097958555</v>
      </c>
      <c r="J52" s="62">
        <f t="shared" si="4"/>
        <v>0.70284916065706649</v>
      </c>
      <c r="K52" s="17"/>
      <c r="L52" s="12"/>
      <c r="M52" s="17"/>
      <c r="N52" s="17"/>
      <c r="O52" s="12"/>
      <c r="P52" s="12"/>
      <c r="Q52" s="12"/>
      <c r="R52" s="31"/>
      <c r="S52" s="31"/>
      <c r="T52" s="31"/>
      <c r="U52" s="31"/>
      <c r="V52" s="319">
        <v>2017</v>
      </c>
      <c r="W52" s="31"/>
      <c r="X52" s="12"/>
      <c r="Y52" s="12"/>
    </row>
    <row r="53" spans="1:31">
      <c r="B53" s="9"/>
      <c r="C53" s="23"/>
      <c r="D53" s="9" t="s">
        <v>653</v>
      </c>
      <c r="E53" s="9"/>
      <c r="F53" s="9"/>
      <c r="G53" s="21">
        <f ca="1">VLOOKUP($B$47,Drivers2!$T$58:$V$76,2,FALSE)*VLOOKUP($D53,Calibration2!$A$211:$U$215,21,0)</f>
        <v>7.1661059455433898E-2</v>
      </c>
      <c r="H53" s="21">
        <f ca="1">VLOOKUP($B$47,Driver22!$T$58:$V$76,2,FALSE)*VLOOKUP($D53,Calibrati22!$A$211:$U$215,21,0)</f>
        <v>2.5191108272908228E-2</v>
      </c>
      <c r="I53" s="62">
        <f t="shared" si="4"/>
        <v>0.34750649834674219</v>
      </c>
      <c r="J53" s="62">
        <f t="shared" si="4"/>
        <v>0.12215942510361789</v>
      </c>
      <c r="K53" s="17"/>
      <c r="L53" s="12"/>
      <c r="M53" s="17"/>
      <c r="N53" s="17"/>
      <c r="O53" s="12"/>
      <c r="P53" s="12"/>
      <c r="Q53" s="12"/>
      <c r="R53" s="31"/>
      <c r="S53" s="31"/>
      <c r="T53" s="31"/>
      <c r="U53" s="31"/>
      <c r="V53" s="319">
        <v>2017</v>
      </c>
      <c r="W53" s="31"/>
      <c r="X53" s="12"/>
      <c r="Y53" s="12"/>
    </row>
    <row r="54" spans="1:31">
      <c r="B54" s="9"/>
      <c r="C54" s="23"/>
      <c r="D54" s="23" t="s">
        <v>395</v>
      </c>
      <c r="E54" s="9"/>
      <c r="F54" s="9"/>
      <c r="G54" s="21"/>
      <c r="H54" s="21"/>
      <c r="I54" s="62">
        <f ca="1">Tiny</f>
        <v>1.0000000000000001E-9</v>
      </c>
      <c r="J54" s="62">
        <f ca="1">Tiny</f>
        <v>1.0000000000000001E-9</v>
      </c>
      <c r="K54" s="17"/>
      <c r="L54" s="12"/>
      <c r="M54" s="17"/>
      <c r="N54" s="17"/>
      <c r="O54" s="12"/>
      <c r="P54" s="12"/>
      <c r="Q54" s="12"/>
      <c r="R54" s="31"/>
      <c r="S54" s="31"/>
      <c r="T54" s="31"/>
      <c r="U54" s="31"/>
      <c r="V54" s="31"/>
      <c r="W54" s="31"/>
      <c r="X54" s="12"/>
      <c r="Y54" s="12"/>
    </row>
    <row r="55" spans="1:31">
      <c r="B55" s="9"/>
      <c r="C55" s="23"/>
      <c r="D55" s="23"/>
      <c r="E55" s="9" t="s">
        <v>372</v>
      </c>
      <c r="F55" s="9"/>
      <c r="G55" s="21"/>
      <c r="H55" s="21"/>
      <c r="I55" s="62"/>
      <c r="J55" s="9"/>
      <c r="K55" s="17"/>
      <c r="L55" s="12"/>
      <c r="M55" s="17"/>
      <c r="N55" s="17"/>
      <c r="O55" s="12"/>
      <c r="P55" s="12"/>
      <c r="Q55" s="12"/>
      <c r="R55" s="319">
        <f ca="1">Drivers2!L134/$I$57</f>
        <v>0</v>
      </c>
      <c r="S55" s="31"/>
      <c r="T55" s="31"/>
      <c r="U55" s="31"/>
      <c r="V55" s="31"/>
      <c r="W55" s="31"/>
      <c r="X55" s="12"/>
      <c r="Y55" s="12"/>
    </row>
    <row r="56" spans="1:31" ht="13.5" thickBot="1">
      <c r="A56" s="6"/>
      <c r="B56" s="22"/>
      <c r="C56" s="24"/>
      <c r="D56" s="22"/>
      <c r="E56" s="22" t="s">
        <v>363</v>
      </c>
      <c r="F56" s="22"/>
      <c r="G56" s="28"/>
      <c r="H56" s="28"/>
      <c r="I56" s="541"/>
      <c r="J56" s="9"/>
      <c r="K56" s="32"/>
      <c r="L56" s="12"/>
      <c r="M56" s="32"/>
      <c r="N56" s="32"/>
      <c r="O56" s="13"/>
      <c r="P56" s="13"/>
      <c r="Q56" s="12"/>
      <c r="R56" s="29"/>
      <c r="S56" s="29"/>
      <c r="T56" s="29"/>
      <c r="U56" s="29"/>
      <c r="V56" s="29"/>
      <c r="W56" s="29"/>
      <c r="X56" s="13"/>
      <c r="Y56" s="13"/>
    </row>
    <row r="57" spans="1:31">
      <c r="B57" s="516" t="s">
        <v>1380</v>
      </c>
      <c r="C57" s="517" t="str">
        <f>E56</f>
        <v>INMCRM</v>
      </c>
      <c r="D57" s="517"/>
      <c r="E57" s="517"/>
      <c r="F57" s="517"/>
      <c r="G57" s="580">
        <f>SUM(G47:G56)</f>
        <v>0.61864505955739379</v>
      </c>
      <c r="H57" s="580">
        <f>SUM(H47:H56)</f>
        <v>0.29488722614709778</v>
      </c>
      <c r="I57" s="580">
        <f ca="1">G57/Drivers2!$L$28</f>
        <v>0.2062150198524646</v>
      </c>
      <c r="J57" s="580">
        <f ca="1">H57/Driver22!$L$28</f>
        <v>9.8295742049032589E-2</v>
      </c>
      <c r="K57" s="518">
        <f>MAX(0.1,SUMIF($B$6:$B$60,"~*",I$6:I$60)-I57)</f>
        <v>0.1</v>
      </c>
      <c r="L57" s="518">
        <f>MAX(0.1,SUMIF($B$6:$B$60,"~*",J$6:J$60)-J57)</f>
        <v>0.1</v>
      </c>
      <c r="M57" s="518"/>
      <c r="N57" s="518"/>
      <c r="O57" s="517"/>
      <c r="P57" s="517" t="s">
        <v>784</v>
      </c>
      <c r="Q57" s="517"/>
      <c r="R57" s="517"/>
      <c r="S57" s="517"/>
      <c r="T57" s="517"/>
      <c r="U57" s="517"/>
      <c r="V57" s="517"/>
      <c r="W57" s="517"/>
      <c r="X57" s="517"/>
      <c r="Y57" s="517"/>
    </row>
    <row r="58" spans="1:31" ht="25.5">
      <c r="B58" s="35" t="s">
        <v>387</v>
      </c>
      <c r="C58" s="23" t="s">
        <v>399</v>
      </c>
      <c r="D58" s="9" t="s">
        <v>1247</v>
      </c>
      <c r="E58" s="9"/>
      <c r="F58" s="9"/>
      <c r="G58" s="53">
        <f>SUMIF($D$5:$D$56,"IENM",G$5:G$56)</f>
        <v>0.10680739365295873</v>
      </c>
      <c r="H58" s="53">
        <f>SUMIF($D$5:$D$56,"IENM",H$5:H$56)</f>
        <v>5.6298462564037567E-2</v>
      </c>
      <c r="I58" s="485">
        <v>1</v>
      </c>
      <c r="J58" s="485">
        <v>1</v>
      </c>
      <c r="K58" s="490"/>
      <c r="L58" s="490"/>
      <c r="M58" s="490"/>
      <c r="N58" s="490">
        <v>1</v>
      </c>
      <c r="O58" s="490">
        <v>1</v>
      </c>
      <c r="P58" s="491">
        <v>30</v>
      </c>
      <c r="Q58" s="491">
        <v>100</v>
      </c>
      <c r="R58" s="31"/>
      <c r="S58" s="31"/>
      <c r="T58" s="31"/>
      <c r="U58" s="31"/>
      <c r="V58" s="31"/>
      <c r="W58" s="31"/>
      <c r="X58" s="31"/>
      <c r="Y58" s="31"/>
    </row>
    <row r="59" spans="1:31" ht="13.5" thickBot="1">
      <c r="B59" s="22"/>
      <c r="C59" s="24"/>
      <c r="D59" s="22"/>
      <c r="E59" s="22" t="s">
        <v>654</v>
      </c>
      <c r="F59" s="22"/>
      <c r="G59" s="28"/>
      <c r="H59" s="28"/>
      <c r="I59" s="28"/>
      <c r="J59" s="28"/>
      <c r="K59" s="489"/>
      <c r="L59" s="489"/>
      <c r="M59" s="489"/>
      <c r="N59" s="489"/>
      <c r="O59" s="489"/>
      <c r="P59" s="489"/>
      <c r="Q59" s="489"/>
      <c r="R59" s="29"/>
      <c r="S59" s="29"/>
      <c r="T59" s="29"/>
      <c r="U59" s="29"/>
      <c r="V59" s="29"/>
      <c r="W59" s="29"/>
      <c r="X59" s="29"/>
      <c r="Y59" s="29"/>
    </row>
    <row r="60" spans="1:31">
      <c r="B60" s="516" t="s">
        <v>1380</v>
      </c>
      <c r="C60" s="517" t="str">
        <f>C37</f>
        <v>INMLIM</v>
      </c>
      <c r="D60" s="517"/>
      <c r="E60" s="517"/>
      <c r="F60" s="517"/>
      <c r="G60" s="517"/>
      <c r="H60" s="517"/>
      <c r="I60" s="580">
        <f ca="1">-'IIS0002'!Q75</f>
        <v>0</v>
      </c>
      <c r="J60" s="580">
        <f ca="1">-'IIS0002'!R75</f>
        <v>0</v>
      </c>
      <c r="K60" s="517"/>
      <c r="L60" s="517"/>
      <c r="M60" s="517"/>
      <c r="N60" s="517"/>
      <c r="O60" s="517"/>
      <c r="P60" s="517"/>
      <c r="Q60" s="517"/>
      <c r="R60" s="517"/>
      <c r="S60" s="517"/>
      <c r="T60" s="517"/>
      <c r="U60" s="517"/>
      <c r="V60" s="517"/>
      <c r="W60" s="517"/>
      <c r="X60" s="517"/>
      <c r="Y60" s="517"/>
    </row>
    <row r="61" spans="1:31" ht="18">
      <c r="A61" s="8"/>
      <c r="E61" s="216"/>
    </row>
    <row r="62" spans="1:31" ht="18">
      <c r="A62" s="8"/>
      <c r="B62" s="10"/>
      <c r="C62" s="11"/>
      <c r="E62" s="216"/>
    </row>
    <row r="63" spans="1:31" ht="18">
      <c r="B63" s="86" t="s">
        <v>90</v>
      </c>
      <c r="C63" s="88"/>
      <c r="D63" s="88"/>
      <c r="E63" s="225" t="str">
        <f>"~FI_T: "&amp;Region</f>
        <v>~FI_T: FIM</v>
      </c>
      <c r="F63" s="34"/>
      <c r="G63" s="34" t="s">
        <v>784</v>
      </c>
      <c r="H63" s="34" t="s">
        <v>784</v>
      </c>
      <c r="I63" s="34" t="s">
        <v>784</v>
      </c>
      <c r="J63" s="34"/>
      <c r="Z63" s="1"/>
      <c r="AA63" s="1"/>
      <c r="AB63" s="1"/>
      <c r="AC63" s="1"/>
      <c r="AD63" s="1"/>
      <c r="AE63" s="1"/>
    </row>
    <row r="64" spans="1:31" ht="26.25" thickBot="1">
      <c r="B64" s="45" t="s">
        <v>649</v>
      </c>
      <c r="C64" s="45" t="s">
        <v>650</v>
      </c>
      <c r="D64" s="45" t="s">
        <v>648</v>
      </c>
      <c r="E64" s="45" t="s">
        <v>651</v>
      </c>
      <c r="F64" s="45" t="s">
        <v>1288</v>
      </c>
      <c r="G64" s="45" t="s">
        <v>848</v>
      </c>
      <c r="H64" s="45" t="s">
        <v>556</v>
      </c>
      <c r="I64" s="45" t="s">
        <v>564</v>
      </c>
      <c r="J64" s="45" t="str">
        <f ca="1">"Input~"&amp;BaseYear</f>
        <v>Input~2010</v>
      </c>
      <c r="K64" s="45" t="str">
        <f ca="1">"Input~"&amp;AuxYear</f>
        <v>Input~2017</v>
      </c>
      <c r="L64" s="45" t="str">
        <f ca="1">"Input~"&amp;BaseYear+20</f>
        <v>Input~2030</v>
      </c>
      <c r="M64" s="45" t="str">
        <f ca="1">"Input~"&amp;BaseYear+30</f>
        <v>Input~2040</v>
      </c>
      <c r="N64" s="45" t="str">
        <f>"Input~"&amp;2050</f>
        <v>Input~2050</v>
      </c>
      <c r="O64" s="45" t="str">
        <f>"Input~"&amp;2100</f>
        <v>Input~2100</v>
      </c>
    </row>
    <row r="65" spans="1:34">
      <c r="B65" s="35" t="s">
        <v>789</v>
      </c>
      <c r="C65" s="23" t="s">
        <v>821</v>
      </c>
      <c r="D65" s="52" t="s">
        <v>696</v>
      </c>
      <c r="E65" s="9"/>
      <c r="F65" s="62">
        <v>1</v>
      </c>
      <c r="G65" s="62">
        <v>1</v>
      </c>
      <c r="H65" s="62">
        <v>5</v>
      </c>
      <c r="I65" s="31">
        <v>3</v>
      </c>
      <c r="J65" s="31">
        <f>SUMIF($C$6:$C$57,$D65,I$6:I$57)/K$57</f>
        <v>0</v>
      </c>
      <c r="K65" s="31">
        <f>SUMIF($C$6:$C$57,$D65,J$6:J$57)/L$57</f>
        <v>0</v>
      </c>
      <c r="L65" s="31"/>
      <c r="M65" s="31"/>
      <c r="N65" s="31"/>
      <c r="O65" s="31"/>
    </row>
    <row r="66" spans="1:34">
      <c r="B66" s="35"/>
      <c r="C66" s="23"/>
      <c r="D66" s="52" t="s">
        <v>411</v>
      </c>
      <c r="E66" s="9"/>
      <c r="F66" s="62"/>
      <c r="G66" s="62"/>
      <c r="H66" s="62"/>
      <c r="I66" s="31">
        <v>3</v>
      </c>
      <c r="J66" s="31">
        <f>SUMIF($C$6:$C$60,$D66,I$6:I$60)/K$57</f>
        <v>0</v>
      </c>
      <c r="K66" s="31">
        <f>SUMIF($C$6:$C$60,$D66,J$6:J$60)/L$57</f>
        <v>0</v>
      </c>
      <c r="L66" s="31"/>
      <c r="M66" s="31"/>
      <c r="N66" s="31"/>
      <c r="O66" s="31"/>
    </row>
    <row r="67" spans="1:34">
      <c r="B67" s="9"/>
      <c r="C67" s="23"/>
      <c r="D67" s="52" t="s">
        <v>361</v>
      </c>
      <c r="E67" s="9"/>
      <c r="F67" s="62"/>
      <c r="G67" s="62"/>
      <c r="H67" s="62"/>
      <c r="I67" s="31">
        <v>3</v>
      </c>
      <c r="J67" s="31">
        <f>SUMIF($C$6:$C$57,$D67,I$6:I$57)/K$57</f>
        <v>0</v>
      </c>
      <c r="K67" s="31">
        <f>SUMIF($C$6:$C$57,$D67,J$6:J$57)/L$57</f>
        <v>0</v>
      </c>
      <c r="L67" s="31"/>
      <c r="M67" s="31"/>
      <c r="N67" s="31"/>
      <c r="O67" s="31"/>
    </row>
    <row r="68" spans="1:34">
      <c r="B68" s="9"/>
      <c r="C68" s="23"/>
      <c r="D68" s="52" t="s">
        <v>363</v>
      </c>
      <c r="E68" s="9"/>
      <c r="F68" s="62"/>
      <c r="G68" s="62"/>
      <c r="H68" s="62"/>
      <c r="I68" s="31">
        <v>3</v>
      </c>
      <c r="J68" s="31">
        <f>SUMIF($C$6:$C$57,$D68,I$6:I$57)/K$57</f>
        <v>2.062150198524646</v>
      </c>
      <c r="K68" s="31">
        <f>SUMIF($C$6:$C$57,$D68,J$6:J$57)/L$57</f>
        <v>0.98295742049032586</v>
      </c>
      <c r="L68" s="31"/>
      <c r="M68" s="31"/>
      <c r="N68" s="31"/>
      <c r="O68" s="31"/>
    </row>
    <row r="69" spans="1:34" ht="13.5" thickBot="1">
      <c r="A69" s="6"/>
      <c r="B69" s="22"/>
      <c r="C69" s="24"/>
      <c r="D69" s="22"/>
      <c r="E69" s="22" t="s">
        <v>879</v>
      </c>
      <c r="F69" s="541"/>
      <c r="G69" s="541"/>
      <c r="H69" s="541"/>
      <c r="I69" s="29"/>
      <c r="J69" s="29"/>
      <c r="K69" s="29"/>
      <c r="L69" s="29"/>
      <c r="M69" s="29"/>
      <c r="N69" s="29"/>
      <c r="O69" s="29"/>
    </row>
    <row r="70" spans="1:34">
      <c r="B70" s="192" t="s">
        <v>902</v>
      </c>
      <c r="C70" s="198"/>
      <c r="D70" s="198"/>
      <c r="E70" s="198"/>
      <c r="F70" s="198"/>
      <c r="G70" s="198"/>
      <c r="H70" s="198"/>
      <c r="I70" s="198"/>
      <c r="J70" s="199">
        <f>SUM(J65:J67)</f>
        <v>0</v>
      </c>
      <c r="K70" s="199">
        <f>SUM(K65:K67)</f>
        <v>0</v>
      </c>
      <c r="L70" s="198"/>
      <c r="M70" s="198"/>
      <c r="N70" s="198"/>
      <c r="O70" s="198"/>
    </row>
    <row r="73" spans="1:34">
      <c r="D73" s="216"/>
    </row>
    <row r="75" spans="1:34">
      <c r="D75" s="216"/>
    </row>
    <row r="76" spans="1:34" ht="18">
      <c r="B76" s="124" t="s">
        <v>89</v>
      </c>
      <c r="C76" s="125"/>
      <c r="D76" s="225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34" ht="26.25" thickBot="1">
      <c r="B77" s="25" t="s">
        <v>772</v>
      </c>
      <c r="C77" s="25" t="s">
        <v>773</v>
      </c>
      <c r="D77" s="25" t="s">
        <v>778</v>
      </c>
      <c r="E77" s="25" t="s">
        <v>1083</v>
      </c>
      <c r="F77" s="25" t="str">
        <f ca="1">"DEMAND~"&amp;AuxYear</f>
        <v>DEMAND~2017</v>
      </c>
      <c r="G77" s="26"/>
      <c r="H77" s="26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>
      <c r="B78" s="27" t="s">
        <v>879</v>
      </c>
      <c r="C78" s="27" t="s">
        <v>77</v>
      </c>
      <c r="D78" s="562" t="s">
        <v>976</v>
      </c>
      <c r="E78" s="338">
        <f>K$57</f>
        <v>0.1</v>
      </c>
      <c r="F78" s="338">
        <f>L$57</f>
        <v>0.1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84" spans="1:33">
      <c r="A84" s="77"/>
      <c r="N84" s="77"/>
    </row>
    <row r="87" spans="1:33"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Q87" s="77"/>
      <c r="R87" s="77"/>
      <c r="S87" s="81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</row>
    <row r="88" spans="1:33"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Q88" s="77"/>
      <c r="R88" s="77"/>
      <c r="S88" s="81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</row>
    <row r="89" spans="1:33"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Q89" s="77"/>
      <c r="R89" s="77"/>
      <c r="S89" s="81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</row>
    <row r="90" spans="1:33"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Q90" s="77"/>
      <c r="R90" s="77"/>
      <c r="S90" s="81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</row>
    <row r="91" spans="1:33"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Q91" s="77"/>
      <c r="R91" s="77"/>
      <c r="S91" s="81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</row>
    <row r="92" spans="1:33"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Q92" s="77"/>
      <c r="R92" s="77"/>
      <c r="S92" s="81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</row>
    <row r="93" spans="1:33"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Q93" s="77"/>
      <c r="R93" s="77"/>
      <c r="S93" s="81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</row>
    <row r="94" spans="1:33"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Q94" s="77"/>
      <c r="R94" s="77"/>
      <c r="S94" s="81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</row>
    <row r="95" spans="1:33"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Q95" s="77"/>
      <c r="R95" s="77"/>
      <c r="S95" s="81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</row>
    <row r="96" spans="1:33"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Q96" s="77"/>
      <c r="R96" s="77"/>
      <c r="S96" s="81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</row>
    <row r="97" spans="2:33"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Q97" s="77"/>
      <c r="R97" s="77"/>
      <c r="S97" s="81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</row>
    <row r="98" spans="2:33"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Q98" s="77"/>
      <c r="R98" s="77"/>
      <c r="S98" s="81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</row>
    <row r="99" spans="2:33"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Q99" s="77"/>
      <c r="R99" s="77"/>
      <c r="S99" s="81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8"/>
  <dimension ref="A1:AB81"/>
  <sheetViews>
    <sheetView zoomScale="75" workbookViewId="0">
      <selection activeCell="AA6" sqref="AA6"/>
    </sheetView>
  </sheetViews>
  <sheetFormatPr defaultColWidth="8.85546875" defaultRowHeight="12.75"/>
  <cols>
    <col min="1" max="1" width="8.85546875" customWidth="1"/>
    <col min="2" max="2" width="13.85546875" customWidth="1"/>
    <col min="3" max="3" width="28.5703125" customWidth="1"/>
    <col min="4" max="4" width="10.42578125" customWidth="1"/>
    <col min="5" max="6" width="8.85546875" customWidth="1"/>
    <col min="7" max="7" width="9.140625" customWidth="1"/>
    <col min="8" max="8" width="10" customWidth="1"/>
  </cols>
  <sheetData>
    <row r="1" spans="1:28" ht="18">
      <c r="A1" s="5" t="s">
        <v>887</v>
      </c>
    </row>
    <row r="2" spans="1:28">
      <c r="R2" s="410" t="s">
        <v>1321</v>
      </c>
    </row>
    <row r="3" spans="1:28">
      <c r="R3" s="410">
        <v>1.01</v>
      </c>
      <c r="U3" s="283"/>
    </row>
    <row r="4" spans="1:28">
      <c r="E4" s="216"/>
    </row>
    <row r="5" spans="1:28" ht="18">
      <c r="B5" s="86" t="s">
        <v>11</v>
      </c>
      <c r="C5" s="88"/>
      <c r="D5" s="123"/>
      <c r="E5" s="123"/>
      <c r="F5" s="225" t="str">
        <f>"~FI_T: "&amp;Region</f>
        <v>~FI_T: FIM</v>
      </c>
    </row>
    <row r="6" spans="1:28" ht="39" thickBot="1">
      <c r="B6" s="45" t="s">
        <v>649</v>
      </c>
      <c r="C6" s="45" t="s">
        <v>650</v>
      </c>
      <c r="D6" s="45" t="s">
        <v>648</v>
      </c>
      <c r="E6" s="45" t="s">
        <v>651</v>
      </c>
      <c r="F6" s="45" t="s">
        <v>139</v>
      </c>
      <c r="G6" s="64" t="str">
        <f ca="1">CONCATENATE("\I:",BaseYear," service demand")</f>
        <v>\I:2010 service demand</v>
      </c>
      <c r="H6" s="64" t="str">
        <f ca="1">CONCATENATE("\I:",AuxData2!$D$2," service demand")</f>
        <v>\I:2017 service demand</v>
      </c>
      <c r="I6" s="398" t="s">
        <v>1240</v>
      </c>
      <c r="J6" s="45" t="s">
        <v>388</v>
      </c>
      <c r="K6" s="45" t="str">
        <f ca="1">"INPUT~"&amp;AuxYear</f>
        <v>INPUT~2017</v>
      </c>
      <c r="L6" s="45" t="s">
        <v>389</v>
      </c>
      <c r="M6" s="45" t="str">
        <f ca="1">"OUTPUT~"&amp;AuxYear</f>
        <v>OUTPUT~2017</v>
      </c>
      <c r="N6" s="64" t="str">
        <f ca="1">CONCATENATE("\I:",BaseYear," Service Demand")</f>
        <v>\I:2010 Service Demand</v>
      </c>
      <c r="O6" s="64" t="str">
        <f ca="1">CONCATENATE("\I:",AuxData2!$D$2," service demand")</f>
        <v>\I:2017 service demand</v>
      </c>
      <c r="P6" s="45" t="s">
        <v>872</v>
      </c>
      <c r="Q6" s="45" t="s">
        <v>556</v>
      </c>
      <c r="R6" s="45" t="str">
        <f ca="1">"RESID~"&amp;BaseYear</f>
        <v>RESID~2010</v>
      </c>
      <c r="S6" s="45" t="str">
        <f ca="1">"RESID~"&amp;AuxYear</f>
        <v>RESID~2017</v>
      </c>
      <c r="T6" s="45" t="str">
        <f ca="1">"RESID~"&amp;CEILING(AuxYear+12,5)</f>
        <v>RESID~2030</v>
      </c>
      <c r="U6" s="45" t="str">
        <f ca="1">"RESID~"&amp;CEILING(AuxYear+27,5)</f>
        <v>RESID~2045</v>
      </c>
      <c r="V6" s="45" t="s">
        <v>108</v>
      </c>
      <c r="W6" s="45" t="s">
        <v>1320</v>
      </c>
      <c r="X6" s="45" t="s">
        <v>1208</v>
      </c>
      <c r="Y6" s="45" t="str">
        <f ca="1">"ACT_BND~LO~"&amp;AuxYear</f>
        <v>ACT_BND~LO~2017</v>
      </c>
      <c r="Z6" s="45" t="s">
        <v>848</v>
      </c>
      <c r="AA6" s="45" t="s">
        <v>1507</v>
      </c>
      <c r="AB6" s="45" t="s">
        <v>1267</v>
      </c>
    </row>
    <row r="7" spans="1:28">
      <c r="B7" s="23" t="s">
        <v>343</v>
      </c>
      <c r="C7" s="23" t="s">
        <v>457</v>
      </c>
      <c r="D7" s="23" t="s">
        <v>981</v>
      </c>
      <c r="E7" s="23"/>
      <c r="F7" s="23"/>
      <c r="G7" s="21">
        <f ca="1">VLOOKUP($B7,Drivers2!$T$58:$V$83,2,FALSE)*VLOOKUP($D7,Calibration2!$A$211:$U$215,21,0)</f>
        <v>0</v>
      </c>
      <c r="H7" s="21">
        <f ca="1">VLOOKUP($B7,Driver22!$T$58:$V$83,2,FALSE)*VLOOKUP($D7,Calibrati22!$A$211:$U$215,21,0)</f>
        <v>0</v>
      </c>
      <c r="I7" s="404"/>
      <c r="J7" s="323">
        <f>IF(N$7&gt;0,(G7-G17-G34)/(N$7+N$17),0)</f>
        <v>0</v>
      </c>
      <c r="K7" s="323">
        <f>IF(O$7&gt;0,(H7-H17-H34)/(O$7+O$17),0)</f>
        <v>0</v>
      </c>
      <c r="L7" s="23"/>
      <c r="M7" s="23"/>
      <c r="N7" s="323">
        <f ca="1">VLOOKUP(B7,Drivers2!$E$58:$H$82,4,0)-N17</f>
        <v>0</v>
      </c>
      <c r="O7" s="323">
        <f ca="1">VLOOKUP(B7,Driver22!$E$58:$H$82,4,0)-O17</f>
        <v>0</v>
      </c>
      <c r="P7" s="23">
        <v>0.9</v>
      </c>
      <c r="Q7" s="23">
        <v>30</v>
      </c>
      <c r="R7" s="323">
        <f>N7/$P7*$R$3</f>
        <v>0</v>
      </c>
      <c r="S7" s="323">
        <f>O7/$P7*$R$3</f>
        <v>0</v>
      </c>
      <c r="T7" s="23"/>
      <c r="U7" s="23">
        <v>0</v>
      </c>
      <c r="V7" s="426">
        <v>3</v>
      </c>
      <c r="W7" s="23"/>
      <c r="X7" s="23"/>
      <c r="Y7" s="23"/>
      <c r="Z7" s="23"/>
      <c r="AA7" s="23"/>
      <c r="AB7" s="23"/>
    </row>
    <row r="8" spans="1:28">
      <c r="B8" s="23"/>
      <c r="C8" s="23"/>
      <c r="D8" s="23" t="s">
        <v>979</v>
      </c>
      <c r="E8" s="23"/>
      <c r="F8" s="23"/>
      <c r="G8" s="92">
        <f ca="1">VLOOKUP($B7,Drivers2!$T$58:$V$83,3,FALSE)*VLOOKUP($D8,Calibration2!$A$220:$U$224,21,0)</f>
        <v>0</v>
      </c>
      <c r="H8" s="92">
        <f ca="1">VLOOKUP($B7,Driver22!$T$58:$V$83,3,FALSE)*VLOOKUP($D8,Calibrati22!$A$220:$U$224,21,0)</f>
        <v>0</v>
      </c>
      <c r="I8" s="404"/>
      <c r="J8" s="323">
        <f>IF(N$7&gt;0,(G8-G18-G35)/(N$7+N$17),0)</f>
        <v>0</v>
      </c>
      <c r="K8" s="323">
        <f>IF(O$7&gt;0,(H8-H18-H35)/(O$7+O$17),0)</f>
        <v>0</v>
      </c>
      <c r="L8" s="23"/>
      <c r="M8" s="23"/>
      <c r="N8" s="323"/>
      <c r="O8" s="323"/>
      <c r="P8" s="23"/>
      <c r="Q8" s="23"/>
      <c r="R8" s="23"/>
      <c r="S8" s="23"/>
      <c r="T8" s="23"/>
      <c r="U8" s="23"/>
      <c r="V8" s="426">
        <v>3</v>
      </c>
      <c r="W8" s="23"/>
      <c r="X8" s="23"/>
      <c r="Y8" s="23"/>
      <c r="Z8" s="23"/>
      <c r="AA8" s="23"/>
      <c r="AB8" s="23"/>
    </row>
    <row r="9" spans="1:28">
      <c r="B9" s="23"/>
      <c r="C9" s="23"/>
      <c r="D9" s="23" t="s">
        <v>980</v>
      </c>
      <c r="E9" s="23"/>
      <c r="F9" s="23"/>
      <c r="G9" s="92">
        <f ca="1">IOLP2!L$15</f>
        <v>0</v>
      </c>
      <c r="H9" s="92">
        <f ca="1">IOLP2!M$15</f>
        <v>0</v>
      </c>
      <c r="I9" s="405"/>
      <c r="J9" s="333">
        <f>IF(N7&gt;0,G9/(N7+N$17),0)</f>
        <v>0</v>
      </c>
      <c r="K9" s="333">
        <f>IF(O7&gt;0,H9/(O7+O$17),0)</f>
        <v>0</v>
      </c>
      <c r="L9" s="23"/>
      <c r="M9" s="23"/>
      <c r="N9" s="323"/>
      <c r="O9" s="323"/>
      <c r="P9" s="23"/>
      <c r="Q9" s="23"/>
      <c r="R9" s="23"/>
      <c r="S9" s="23"/>
      <c r="T9" s="23"/>
      <c r="U9" s="23"/>
      <c r="V9" s="426">
        <v>3</v>
      </c>
      <c r="W9" s="23"/>
      <c r="X9" s="23"/>
      <c r="Y9" s="23"/>
      <c r="Z9" s="23"/>
      <c r="AA9" s="23"/>
      <c r="AB9" s="23"/>
    </row>
    <row r="10" spans="1:28">
      <c r="B10" s="23"/>
      <c r="C10" s="23"/>
      <c r="D10" s="23" t="s">
        <v>459</v>
      </c>
      <c r="E10" s="23" t="s">
        <v>528</v>
      </c>
      <c r="F10" s="23"/>
      <c r="G10" s="92"/>
      <c r="H10" s="92"/>
      <c r="I10" s="404"/>
      <c r="J10" s="501">
        <f ca="1">Drivers2!$P106</f>
        <v>5.0999999999999996</v>
      </c>
      <c r="K10" s="501">
        <f ca="1">Driver22!$P106</f>
        <v>5.0999999999999996</v>
      </c>
      <c r="L10" s="23">
        <f ca="1">Drivers2!$P$114</f>
        <v>1.1100000000000001</v>
      </c>
      <c r="M10" s="333">
        <f ca="1">Driver22!$P$114</f>
        <v>1.6400000000000001</v>
      </c>
      <c r="N10" s="323"/>
      <c r="O10" s="3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1" spans="1:28">
      <c r="B11" s="23"/>
      <c r="C11" s="23"/>
      <c r="D11" s="23"/>
      <c r="E11" s="23" t="s">
        <v>607</v>
      </c>
      <c r="F11" s="23"/>
      <c r="G11" s="92"/>
      <c r="H11" s="92"/>
      <c r="I11" s="406"/>
      <c r="J11" s="23"/>
      <c r="K11" s="23"/>
      <c r="L11" s="501">
        <f ca="1">Drivers2!$P$117</f>
        <v>16.853878873187327</v>
      </c>
      <c r="M11" s="501">
        <f ca="1">Driver22!$P$117</f>
        <v>16.604216332004349</v>
      </c>
      <c r="N11" s="323"/>
      <c r="O11" s="3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</row>
    <row r="12" spans="1:28">
      <c r="B12" s="23"/>
      <c r="C12" s="23"/>
      <c r="D12" s="23"/>
      <c r="E12" s="23" t="s">
        <v>458</v>
      </c>
      <c r="F12" s="23"/>
      <c r="G12" s="92"/>
      <c r="H12" s="92"/>
      <c r="I12" s="406"/>
      <c r="J12" s="23"/>
      <c r="K12" s="23"/>
      <c r="L12" s="23"/>
      <c r="M12" s="23"/>
      <c r="N12" s="323"/>
      <c r="O12" s="3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>
      <c r="B13" s="23"/>
      <c r="C13" s="23"/>
      <c r="D13" s="23"/>
      <c r="E13" s="23" t="s">
        <v>1181</v>
      </c>
      <c r="F13" s="23"/>
      <c r="G13" s="92"/>
      <c r="H13" s="92"/>
      <c r="I13" s="406"/>
      <c r="J13" s="23"/>
      <c r="K13" s="23"/>
      <c r="L13" s="333">
        <f ca="1">Drivers2!$U118</f>
        <v>0</v>
      </c>
      <c r="M13" s="333">
        <f ca="1">Driver22!$U118</f>
        <v>0</v>
      </c>
      <c r="N13" s="323"/>
      <c r="O13" s="323"/>
      <c r="P13" s="23"/>
      <c r="Q13" s="23"/>
      <c r="R13" s="23"/>
      <c r="S13" s="23"/>
      <c r="T13" s="23"/>
      <c r="U13" s="23"/>
      <c r="V13" s="23"/>
      <c r="W13" s="426">
        <v>3</v>
      </c>
      <c r="X13" s="23"/>
      <c r="Y13" s="23"/>
      <c r="Z13" s="23"/>
      <c r="AA13" s="23"/>
      <c r="AB13" s="23"/>
    </row>
    <row r="14" spans="1:28">
      <c r="B14" s="23"/>
      <c r="C14" s="23"/>
      <c r="D14" s="23"/>
      <c r="E14" s="23" t="s">
        <v>1178</v>
      </c>
      <c r="F14" s="23"/>
      <c r="G14" s="92"/>
      <c r="H14" s="92"/>
      <c r="I14" s="406"/>
      <c r="J14" s="23"/>
      <c r="K14" s="23"/>
      <c r="L14" s="333">
        <f ca="1">Drivers2!$U119</f>
        <v>0</v>
      </c>
      <c r="M14" s="333">
        <f ca="1">Driver22!$U119</f>
        <v>0</v>
      </c>
      <c r="N14" s="323"/>
      <c r="O14" s="323"/>
      <c r="P14" s="23"/>
      <c r="Q14" s="23"/>
      <c r="R14" s="23"/>
      <c r="S14" s="23"/>
      <c r="T14" s="23"/>
      <c r="U14" s="23"/>
      <c r="V14" s="23"/>
      <c r="W14" s="426">
        <v>3</v>
      </c>
      <c r="X14" s="23"/>
      <c r="Y14" s="23"/>
      <c r="Z14" s="23"/>
      <c r="AA14" s="23"/>
      <c r="AB14" s="23"/>
    </row>
    <row r="15" spans="1:28">
      <c r="B15" s="23"/>
      <c r="C15" s="23"/>
      <c r="D15" s="23"/>
      <c r="E15" s="23" t="s">
        <v>1179</v>
      </c>
      <c r="F15" s="23"/>
      <c r="G15" s="92"/>
      <c r="H15" s="92"/>
      <c r="I15" s="406"/>
      <c r="J15" s="23"/>
      <c r="K15" s="23"/>
      <c r="L15" s="333">
        <f ca="1">Drivers2!$U120</f>
        <v>0</v>
      </c>
      <c r="M15" s="333">
        <f ca="1">Driver22!$U120</f>
        <v>0</v>
      </c>
      <c r="N15" s="323"/>
      <c r="O15" s="323"/>
      <c r="P15" s="23"/>
      <c r="Q15" s="23"/>
      <c r="R15" s="23"/>
      <c r="S15" s="23"/>
      <c r="T15" s="23"/>
      <c r="U15" s="23"/>
      <c r="V15" s="23"/>
      <c r="W15" s="426">
        <v>3</v>
      </c>
      <c r="X15" s="23"/>
      <c r="Y15" s="23"/>
      <c r="Z15" s="23"/>
      <c r="AA15" s="23"/>
      <c r="AB15" s="23"/>
    </row>
    <row r="16" spans="1:28">
      <c r="B16" s="116"/>
      <c r="C16" s="116"/>
      <c r="D16" s="116"/>
      <c r="E16" s="116" t="s">
        <v>1180</v>
      </c>
      <c r="F16" s="116"/>
      <c r="G16" s="511"/>
      <c r="H16" s="511"/>
      <c r="I16" s="514"/>
      <c r="J16" s="116"/>
      <c r="K16" s="116"/>
      <c r="L16" s="330">
        <f ca="1">Drivers2!$U121</f>
        <v>0</v>
      </c>
      <c r="M16" s="330">
        <f ca="1">Driver22!$U121</f>
        <v>0</v>
      </c>
      <c r="N16" s="331"/>
      <c r="O16" s="331"/>
      <c r="P16" s="116"/>
      <c r="Q16" s="116"/>
      <c r="R16" s="116"/>
      <c r="S16" s="116"/>
      <c r="T16" s="116"/>
      <c r="U16" s="116"/>
      <c r="V16" s="116"/>
      <c r="W16" s="512">
        <v>3</v>
      </c>
      <c r="X16" s="116"/>
      <c r="Y16" s="116"/>
      <c r="Z16" s="116"/>
      <c r="AA16" s="116"/>
      <c r="AB16" s="116"/>
    </row>
    <row r="17" spans="2:28">
      <c r="B17" s="23" t="s">
        <v>1393</v>
      </c>
      <c r="C17" s="300" t="s">
        <v>1394</v>
      </c>
      <c r="D17" s="23" t="s">
        <v>981</v>
      </c>
      <c r="E17" s="23"/>
      <c r="F17" s="23"/>
      <c r="G17" s="92">
        <f>J34*N$17*0.8</f>
        <v>0</v>
      </c>
      <c r="H17" s="92">
        <f>K34*O$17*0.6</f>
        <v>0</v>
      </c>
      <c r="I17" s="404"/>
      <c r="J17" s="323">
        <f ca="1">J7+IF(N$17,G17/N$17,J34)</f>
        <v>0</v>
      </c>
      <c r="K17" s="323">
        <f ca="1">K7+IF(O$17,H17/O$17,K34)</f>
        <v>0</v>
      </c>
      <c r="L17" s="333"/>
      <c r="M17" s="333"/>
      <c r="N17" s="323">
        <f ca="1">Drivers2!$L$104</f>
        <v>0</v>
      </c>
      <c r="O17" s="323">
        <f ca="1">Driver22!$L$104</f>
        <v>0</v>
      </c>
      <c r="P17" s="23">
        <v>0.9</v>
      </c>
      <c r="Q17" s="23">
        <v>30</v>
      </c>
      <c r="R17" s="323">
        <f>N17/$P17*$R$3</f>
        <v>0</v>
      </c>
      <c r="S17" s="323">
        <f>O17/$P17*$R$3</f>
        <v>0</v>
      </c>
      <c r="T17" s="323">
        <f>S17</f>
        <v>0</v>
      </c>
      <c r="U17" s="23">
        <v>0</v>
      </c>
      <c r="V17" s="426">
        <v>3</v>
      </c>
      <c r="W17" s="426"/>
      <c r="X17" s="23"/>
      <c r="Y17" s="23"/>
      <c r="Z17" s="23"/>
      <c r="AA17" s="23"/>
      <c r="AB17" s="23"/>
    </row>
    <row r="18" spans="2:28">
      <c r="B18" s="23"/>
      <c r="C18" s="300"/>
      <c r="D18" s="23" t="s">
        <v>979</v>
      </c>
      <c r="E18" s="23" t="s">
        <v>528</v>
      </c>
      <c r="F18" s="23"/>
      <c r="G18" s="92">
        <f>J35*N$17*0.8</f>
        <v>0</v>
      </c>
      <c r="H18" s="92">
        <f>K35*O$17*0.9</f>
        <v>0</v>
      </c>
      <c r="I18" s="404"/>
      <c r="J18" s="323">
        <f>J8+IF(N$17,G18/N$17,J35)</f>
        <v>0</v>
      </c>
      <c r="K18" s="323">
        <f>K8+IF(O$17,H18/O$17,K35)</f>
        <v>0</v>
      </c>
      <c r="L18" s="333">
        <f>L10</f>
        <v>1.1100000000000001</v>
      </c>
      <c r="M18" s="333">
        <f>M10</f>
        <v>1.6400000000000001</v>
      </c>
      <c r="N18" s="323"/>
      <c r="O18" s="323"/>
      <c r="P18" s="23"/>
      <c r="Q18" s="23"/>
      <c r="R18" s="50"/>
      <c r="S18" s="50"/>
      <c r="T18" s="23"/>
      <c r="U18" s="23"/>
      <c r="V18" s="426">
        <v>3</v>
      </c>
      <c r="W18" s="426"/>
      <c r="X18" s="23"/>
      <c r="Y18" s="23"/>
      <c r="Z18" s="23"/>
      <c r="AA18" s="23"/>
      <c r="AB18" s="23"/>
    </row>
    <row r="19" spans="2:28">
      <c r="B19" s="23"/>
      <c r="C19" s="300"/>
      <c r="D19" s="23" t="s">
        <v>980</v>
      </c>
      <c r="E19" s="23" t="s">
        <v>607</v>
      </c>
      <c r="F19" s="23"/>
      <c r="G19" s="92"/>
      <c r="H19" s="92"/>
      <c r="I19" s="404"/>
      <c r="J19" s="323">
        <f>J9</f>
        <v>0</v>
      </c>
      <c r="K19" s="323">
        <f>K9</f>
        <v>0</v>
      </c>
      <c r="L19" s="501">
        <f>L11</f>
        <v>16.853878873187327</v>
      </c>
      <c r="M19" s="501">
        <f>M11</f>
        <v>16.604216332004349</v>
      </c>
      <c r="N19" s="323"/>
      <c r="O19" s="323"/>
      <c r="P19" s="23"/>
      <c r="Q19" s="23"/>
      <c r="R19" s="50"/>
      <c r="S19" s="50"/>
      <c r="T19" s="23"/>
      <c r="U19" s="23"/>
      <c r="V19" s="426">
        <v>3</v>
      </c>
      <c r="W19" s="426"/>
      <c r="X19" s="23"/>
      <c r="Y19" s="23"/>
      <c r="Z19" s="23"/>
      <c r="AA19" s="23"/>
      <c r="AB19" s="23"/>
    </row>
    <row r="20" spans="2:28">
      <c r="B20" s="23"/>
      <c r="C20" s="23"/>
      <c r="D20" s="23" t="s">
        <v>459</v>
      </c>
      <c r="E20" s="23" t="s">
        <v>1387</v>
      </c>
      <c r="F20" s="23"/>
      <c r="G20" s="92"/>
      <c r="H20" s="92"/>
      <c r="I20" s="404"/>
      <c r="J20" s="501">
        <v>5.8</v>
      </c>
      <c r="K20" s="501">
        <v>5.8</v>
      </c>
      <c r="L20" s="333"/>
      <c r="M20" s="333"/>
      <c r="N20" s="323"/>
      <c r="O20" s="323"/>
      <c r="P20" s="23"/>
      <c r="Q20" s="116"/>
      <c r="R20" s="116"/>
      <c r="S20" s="116"/>
      <c r="T20" s="116"/>
      <c r="U20" s="116"/>
      <c r="V20" s="23"/>
      <c r="W20" s="426"/>
      <c r="X20" s="23"/>
      <c r="Y20" s="23"/>
      <c r="Z20" s="23"/>
      <c r="AA20" s="23"/>
      <c r="AB20" s="23"/>
    </row>
    <row r="21" spans="2:28" ht="12.75" customHeight="1">
      <c r="B21" s="326" t="s">
        <v>342</v>
      </c>
      <c r="C21" s="326" t="s">
        <v>460</v>
      </c>
      <c r="D21" s="326" t="s">
        <v>981</v>
      </c>
      <c r="E21" s="332"/>
      <c r="F21" s="332"/>
      <c r="G21" s="344">
        <f ca="1">VLOOKUP($B21,Drivers2!$T$58:$V$83,2,FALSE)*VLOOKUP($D21,Calibration2!$A$211:$U$215,21,0)</f>
        <v>0</v>
      </c>
      <c r="H21" s="344">
        <f ca="1">VLOOKUP($B21,Driver22!$T$58:$V$83,2,FALSE)*VLOOKUP($D21,Calibrati22!$A$211:$U$215,21,0)</f>
        <v>0</v>
      </c>
      <c r="I21" s="407"/>
      <c r="J21" s="327">
        <f ca="1">IF(N21,G21/N21,0)</f>
        <v>0</v>
      </c>
      <c r="K21" s="327">
        <f ca="1">IF(O21,H21/O21,0)</f>
        <v>0</v>
      </c>
      <c r="L21" s="326"/>
      <c r="M21" s="326"/>
      <c r="N21" s="327">
        <f ca="1">VLOOKUP(B21,Drivers2!$E$58:$H$82,4,0)</f>
        <v>0</v>
      </c>
      <c r="O21" s="327">
        <f ca="1">VLOOKUP($B21,Driver22!$E$58:$H$82,4,0)</f>
        <v>0</v>
      </c>
      <c r="P21" s="326">
        <v>0.9</v>
      </c>
      <c r="Q21" s="50">
        <v>25</v>
      </c>
      <c r="R21" s="323">
        <f>N21/$P21*$R$3</f>
        <v>0</v>
      </c>
      <c r="S21" s="323">
        <f>O21/$P21*$R$3</f>
        <v>0</v>
      </c>
      <c r="T21" s="50"/>
      <c r="U21" s="50">
        <v>0</v>
      </c>
      <c r="V21" s="326"/>
      <c r="W21" s="326"/>
      <c r="X21" s="326"/>
      <c r="Y21" s="326"/>
      <c r="Z21" s="326"/>
      <c r="AA21" s="326"/>
      <c r="AB21" s="326"/>
    </row>
    <row r="22" spans="2:28">
      <c r="B22" s="23"/>
      <c r="C22" s="23"/>
      <c r="D22" s="23" t="s">
        <v>459</v>
      </c>
      <c r="E22" s="23" t="s">
        <v>979</v>
      </c>
      <c r="F22" s="23"/>
      <c r="G22" s="92">
        <f ca="1">VLOOKUP($B21,Drivers2!$T$58:$V$83,3,FALSE)*VLOOKUP($E22,Calibration2!$A$220:$U$224,21,0)</f>
        <v>0</v>
      </c>
      <c r="H22" s="92">
        <f ca="1">VLOOKUP($B21,Driver22!$T$58:$V$83,3,FALSE)*VLOOKUP($E22,Calibrati22!$A$220:$U$224,21,0)</f>
        <v>0</v>
      </c>
      <c r="I22" s="404"/>
      <c r="J22" s="323">
        <f ca="1">Drivers2!$P107</f>
        <v>2.8</v>
      </c>
      <c r="K22" s="323">
        <f ca="1">Driver22!$P107</f>
        <v>2.8</v>
      </c>
      <c r="L22" s="323">
        <f ca="1">IF(N21,-G22/N21,0)</f>
        <v>0</v>
      </c>
      <c r="M22" s="323">
        <f ca="1">IF(O21,-H22/O21,0)</f>
        <v>0</v>
      </c>
      <c r="N22" s="323"/>
      <c r="O22" s="3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3" spans="2:28">
      <c r="B23" s="23"/>
      <c r="C23" s="23"/>
      <c r="D23" s="23"/>
      <c r="E23" s="23" t="s">
        <v>528</v>
      </c>
      <c r="F23" s="23"/>
      <c r="G23" s="92"/>
      <c r="H23" s="92"/>
      <c r="I23" s="404"/>
      <c r="J23" s="323"/>
      <c r="K23" s="323"/>
      <c r="L23" s="323">
        <f ca="1">Drivers2!$P113</f>
        <v>0.25</v>
      </c>
      <c r="M23" s="323">
        <f ca="1">Driver22!$P113</f>
        <v>0.35</v>
      </c>
      <c r="N23" s="323"/>
      <c r="O23" s="3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2:28">
      <c r="B24" s="23"/>
      <c r="C24" s="23"/>
      <c r="D24" s="23"/>
      <c r="E24" s="23" t="s">
        <v>458</v>
      </c>
      <c r="F24" s="23"/>
      <c r="G24" s="92"/>
      <c r="H24" s="92"/>
      <c r="I24" s="404"/>
      <c r="J24" s="323"/>
      <c r="K24" s="323"/>
      <c r="L24" s="323"/>
      <c r="M24" s="323"/>
      <c r="N24" s="323"/>
      <c r="O24" s="3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2:28">
      <c r="B25" s="23"/>
      <c r="C25" s="23"/>
      <c r="D25" s="23"/>
      <c r="E25" s="23" t="s">
        <v>1174</v>
      </c>
      <c r="F25" s="23"/>
      <c r="G25" s="92"/>
      <c r="H25" s="92"/>
      <c r="I25" s="404"/>
      <c r="J25" s="323"/>
      <c r="K25" s="323"/>
      <c r="L25" s="333">
        <f ca="1">Drivers2!$L113</f>
        <v>0.31418599945406628</v>
      </c>
      <c r="M25" s="333">
        <f ca="1">Driver22!$L113</f>
        <v>0.31418599945406628</v>
      </c>
      <c r="N25" s="323"/>
      <c r="O25" s="3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6" spans="2:28">
      <c r="B26" s="23"/>
      <c r="C26" s="23"/>
      <c r="D26" s="23"/>
      <c r="E26" s="23" t="s">
        <v>1175</v>
      </c>
      <c r="F26" s="23"/>
      <c r="G26" s="92"/>
      <c r="H26" s="92"/>
      <c r="I26" s="404"/>
      <c r="J26" s="323"/>
      <c r="K26" s="323"/>
      <c r="L26" s="333">
        <f ca="1">Drivers2!$L114</f>
        <v>0.1238136495505601</v>
      </c>
      <c r="M26" s="333">
        <f ca="1">Driver22!$L114</f>
        <v>0.1238136495505601</v>
      </c>
      <c r="N26" s="323"/>
      <c r="O26" s="3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2:28">
      <c r="B27" s="23"/>
      <c r="C27" s="23"/>
      <c r="D27" s="23"/>
      <c r="E27" s="23" t="s">
        <v>1177</v>
      </c>
      <c r="F27" s="23"/>
      <c r="G27" s="92"/>
      <c r="H27" s="92"/>
      <c r="I27" s="404"/>
      <c r="J27" s="323"/>
      <c r="K27" s="323"/>
      <c r="L27" s="333">
        <f ca="1">Drivers2!$L112</f>
        <v>0.35558999638957894</v>
      </c>
      <c r="M27" s="333">
        <f ca="1">Driver22!$L112</f>
        <v>0.35558999638957894</v>
      </c>
      <c r="N27" s="323"/>
      <c r="O27" s="3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</row>
    <row r="28" spans="2:28">
      <c r="B28" s="116"/>
      <c r="C28" s="116"/>
      <c r="D28" s="116"/>
      <c r="E28" s="116" t="s">
        <v>1176</v>
      </c>
      <c r="F28" s="116"/>
      <c r="G28" s="511"/>
      <c r="H28" s="511"/>
      <c r="I28" s="513"/>
      <c r="J28" s="331"/>
      <c r="K28" s="331"/>
      <c r="L28" s="330">
        <f ca="1">1-SUM(L25:L27)</f>
        <v>0.20641035460579471</v>
      </c>
      <c r="M28" s="330">
        <f ca="1">1-SUM(M25:M27)</f>
        <v>0.20641035460579471</v>
      </c>
      <c r="N28" s="331"/>
      <c r="O28" s="331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</row>
    <row r="29" spans="2:28">
      <c r="B29" s="50" t="s">
        <v>344</v>
      </c>
      <c r="C29" s="50" t="s">
        <v>461</v>
      </c>
      <c r="D29" s="50" t="s">
        <v>981</v>
      </c>
      <c r="E29" s="219"/>
      <c r="F29" s="219"/>
      <c r="G29" s="397">
        <f ca="1">VLOOKUP($B29,Drivers2!$T$58:$V$83,2,FALSE)*VLOOKUP($D29,Calibration2!$A$211:$U$215,21,0)</f>
        <v>0</v>
      </c>
      <c r="H29" s="397">
        <f ca="1">VLOOKUP($B29,Driver22!$T$58:$V$83,2,FALSE)*VLOOKUP($D29,Calibrati22!$A$211:$U$215,21,0)</f>
        <v>0</v>
      </c>
      <c r="I29" s="404"/>
      <c r="J29" s="328">
        <f t="shared" ref="J29:K31" si="0">IF(N$29,G29/N$29,0)</f>
        <v>0</v>
      </c>
      <c r="K29" s="328">
        <f t="shared" si="0"/>
        <v>0</v>
      </c>
      <c r="L29" s="50"/>
      <c r="M29" s="50"/>
      <c r="N29" s="328">
        <f ca="1">VLOOKUP(B29,Drivers2!$E$58:$H$82,4,0)</f>
        <v>0</v>
      </c>
      <c r="O29" s="328">
        <f ca="1">VLOOKUP($B29,Driver22!$E$58:$H$82,4,0)</f>
        <v>0</v>
      </c>
      <c r="P29" s="50">
        <v>0.9</v>
      </c>
      <c r="Q29" s="50">
        <v>25</v>
      </c>
      <c r="R29" s="323">
        <f>N29/$P29*$R$3</f>
        <v>0</v>
      </c>
      <c r="S29" s="323">
        <f>O29/$P29*$R$3</f>
        <v>0</v>
      </c>
      <c r="T29" s="50"/>
      <c r="U29" s="50">
        <v>0</v>
      </c>
      <c r="V29" s="50"/>
      <c r="W29" s="50"/>
      <c r="X29" s="50"/>
      <c r="Y29" s="50"/>
      <c r="Z29" s="50"/>
      <c r="AA29" s="50"/>
      <c r="AB29" s="50"/>
    </row>
    <row r="30" spans="2:28">
      <c r="B30" s="23"/>
      <c r="C30" s="23"/>
      <c r="D30" s="23" t="s">
        <v>979</v>
      </c>
      <c r="E30" s="23"/>
      <c r="F30" s="23"/>
      <c r="G30" s="92">
        <f ca="1">VLOOKUP($B29,Drivers2!$T$58:$V$83,3,FALSE)*VLOOKUP($D30,Calibration2!$A$220:$U$224,21,0)</f>
        <v>0</v>
      </c>
      <c r="H30" s="92">
        <f ca="1">VLOOKUP($B29,Driver22!$T$58:$V$83,3,FALSE)*VLOOKUP($D30,Calibrati22!$A$220:$U$224,21,0)</f>
        <v>0</v>
      </c>
      <c r="I30" s="404"/>
      <c r="J30" s="323">
        <f t="shared" si="0"/>
        <v>0</v>
      </c>
      <c r="K30" s="323">
        <f t="shared" si="0"/>
        <v>0</v>
      </c>
      <c r="L30" s="23"/>
      <c r="M30" s="23"/>
      <c r="N30" s="323"/>
      <c r="O30" s="3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2:28">
      <c r="B31" s="23"/>
      <c r="C31" s="23"/>
      <c r="D31" s="23" t="s">
        <v>462</v>
      </c>
      <c r="E31" s="23"/>
      <c r="F31" s="23"/>
      <c r="G31" s="92">
        <f ca="1">Calibration2!$T$203*Drivers2!$X$27</f>
        <v>0</v>
      </c>
      <c r="H31" s="92">
        <f ca="1">Calibrati22!$T$203*Driver22!$X$27</f>
        <v>0</v>
      </c>
      <c r="I31" s="404"/>
      <c r="J31" s="323">
        <f t="shared" si="0"/>
        <v>0</v>
      </c>
      <c r="K31" s="323">
        <f t="shared" si="0"/>
        <v>0</v>
      </c>
      <c r="L31" s="23"/>
      <c r="M31" s="23"/>
      <c r="N31" s="323"/>
      <c r="O31" s="3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2" spans="2:28">
      <c r="B32" s="23"/>
      <c r="C32" s="23"/>
      <c r="D32" s="23" t="s">
        <v>463</v>
      </c>
      <c r="E32" s="23" t="s">
        <v>458</v>
      </c>
      <c r="F32" s="23"/>
      <c r="G32" s="92"/>
      <c r="H32" s="92"/>
      <c r="I32" s="404"/>
      <c r="J32" s="323">
        <f ca="1">1/0.9</f>
        <v>1.1111111111111112</v>
      </c>
      <c r="K32" s="323">
        <f ca="1">1/0.9</f>
        <v>1.1111111111111112</v>
      </c>
      <c r="L32" s="23"/>
      <c r="M32" s="23"/>
      <c r="N32" s="323"/>
      <c r="O32" s="3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3" spans="2:28">
      <c r="B33" s="326" t="s">
        <v>1147</v>
      </c>
      <c r="C33" s="326" t="s">
        <v>1148</v>
      </c>
      <c r="D33" s="326" t="s">
        <v>458</v>
      </c>
      <c r="E33" s="332"/>
      <c r="F33" s="326" t="s">
        <v>86</v>
      </c>
      <c r="G33" s="344">
        <f ca="1">Drivers2!$L103</f>
        <v>0</v>
      </c>
      <c r="H33" s="344">
        <f ca="1">Driver22!$L103</f>
        <v>0</v>
      </c>
      <c r="I33" s="407"/>
      <c r="J33" s="327">
        <v>1</v>
      </c>
      <c r="K33" s="327">
        <v>1</v>
      </c>
      <c r="L33" s="326"/>
      <c r="M33" s="326"/>
      <c r="N33" s="327"/>
      <c r="O33" s="327"/>
      <c r="P33" s="326"/>
      <c r="Q33" s="326"/>
      <c r="R33" s="359"/>
      <c r="S33" s="326"/>
      <c r="T33" s="326"/>
      <c r="U33" s="326"/>
      <c r="V33" s="326"/>
      <c r="W33" s="326"/>
      <c r="X33" s="327">
        <f>G33</f>
        <v>0</v>
      </c>
      <c r="Y33" s="327">
        <f>H33</f>
        <v>0</v>
      </c>
      <c r="Z33" s="327"/>
      <c r="AA33" s="327"/>
      <c r="AB33" s="327">
        <v>1</v>
      </c>
    </row>
    <row r="34" spans="2:28">
      <c r="B34" s="50"/>
      <c r="C34" s="50"/>
      <c r="D34" s="50" t="s">
        <v>981</v>
      </c>
      <c r="E34" s="219"/>
      <c r="F34" s="219"/>
      <c r="G34" s="397">
        <f ca="1">J34*G$33</f>
        <v>0</v>
      </c>
      <c r="H34" s="397">
        <f ca="1">K34*H$33</f>
        <v>0</v>
      </c>
      <c r="I34" s="404"/>
      <c r="J34" s="328">
        <f ca="1">Drivers2!$L132</f>
        <v>0</v>
      </c>
      <c r="K34" s="328">
        <f ca="1">Driver22!$L132</f>
        <v>0</v>
      </c>
      <c r="L34" s="50"/>
      <c r="M34" s="50"/>
      <c r="N34" s="328"/>
      <c r="O34" s="328"/>
      <c r="P34" s="50"/>
      <c r="Q34" s="50"/>
      <c r="R34" s="328"/>
      <c r="S34" s="50"/>
      <c r="T34" s="50"/>
      <c r="U34" s="50"/>
      <c r="V34" s="50"/>
      <c r="W34" s="50"/>
      <c r="X34" s="50"/>
      <c r="Y34" s="50"/>
      <c r="Z34" s="50"/>
      <c r="AA34" s="50"/>
      <c r="AB34" s="50"/>
    </row>
    <row r="35" spans="2:28">
      <c r="B35" s="50"/>
      <c r="C35" s="50"/>
      <c r="D35" s="50" t="s">
        <v>979</v>
      </c>
      <c r="E35" s="219"/>
      <c r="F35" s="219"/>
      <c r="G35" s="397">
        <f ca="1">J35*G$33</f>
        <v>0</v>
      </c>
      <c r="H35" s="397">
        <f ca="1">K35*H$33</f>
        <v>0</v>
      </c>
      <c r="I35" s="404"/>
      <c r="J35" s="328">
        <f ca="1">Drivers2!$L127</f>
        <v>0</v>
      </c>
      <c r="K35" s="328">
        <f ca="1">Driver22!$L127</f>
        <v>0</v>
      </c>
      <c r="L35" s="50"/>
      <c r="M35" s="50"/>
      <c r="N35" s="328"/>
      <c r="O35" s="328"/>
      <c r="P35" s="50"/>
      <c r="Q35" s="50"/>
      <c r="R35" s="328"/>
      <c r="S35" s="50"/>
      <c r="T35" s="50"/>
      <c r="U35" s="50"/>
      <c r="V35" s="50"/>
      <c r="W35" s="50"/>
      <c r="X35" s="50"/>
      <c r="Y35" s="50"/>
      <c r="Z35" s="50"/>
      <c r="AA35" s="50"/>
      <c r="AB35" s="50"/>
    </row>
    <row r="36" spans="2:28">
      <c r="B36" s="50"/>
      <c r="C36" s="50"/>
      <c r="D36" s="50" t="s">
        <v>1178</v>
      </c>
      <c r="E36" s="219"/>
      <c r="F36" s="50"/>
      <c r="G36" s="397"/>
      <c r="H36" s="397"/>
      <c r="I36" s="404"/>
      <c r="J36" s="328">
        <f ca="1">Drivers2!$L120</f>
        <v>0</v>
      </c>
      <c r="K36" s="328">
        <f ca="1">Driver22!$L120</f>
        <v>0</v>
      </c>
      <c r="L36" s="50"/>
      <c r="M36" s="50"/>
      <c r="N36" s="328"/>
      <c r="O36" s="328"/>
      <c r="P36" s="50"/>
      <c r="Q36" s="50"/>
      <c r="R36" s="328"/>
      <c r="S36" s="50"/>
      <c r="T36" s="50"/>
      <c r="U36" s="50"/>
      <c r="V36" s="50"/>
      <c r="W36" s="50"/>
      <c r="X36" s="50"/>
      <c r="Y36" s="50"/>
      <c r="Z36" s="50"/>
      <c r="AA36" s="50"/>
      <c r="AB36" s="50"/>
    </row>
    <row r="37" spans="2:28">
      <c r="B37" s="23"/>
      <c r="C37" s="23"/>
      <c r="D37" s="23" t="s">
        <v>1179</v>
      </c>
      <c r="E37" s="23"/>
      <c r="F37" s="23"/>
      <c r="G37" s="92"/>
      <c r="H37" s="92"/>
      <c r="I37" s="404"/>
      <c r="J37" s="323"/>
      <c r="K37" s="323"/>
      <c r="L37" s="23"/>
      <c r="M37" s="23"/>
      <c r="N37" s="323"/>
      <c r="O37" s="3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8" spans="2:28">
      <c r="B38" s="326" t="s">
        <v>1185</v>
      </c>
      <c r="C38" s="326" t="s">
        <v>1173</v>
      </c>
      <c r="D38" s="326" t="s">
        <v>458</v>
      </c>
      <c r="E38" s="326" t="s">
        <v>1182</v>
      </c>
      <c r="F38" s="326"/>
      <c r="G38" s="344"/>
      <c r="H38" s="344"/>
      <c r="I38" s="407"/>
      <c r="J38" s="327">
        <v>1</v>
      </c>
      <c r="K38" s="327">
        <v>1</v>
      </c>
      <c r="L38" s="326"/>
      <c r="M38" s="326"/>
      <c r="N38" s="326"/>
      <c r="O38" s="326"/>
      <c r="P38" s="326"/>
      <c r="Q38" s="326"/>
      <c r="R38" s="359"/>
      <c r="S38" s="326"/>
      <c r="T38" s="326"/>
      <c r="U38" s="326"/>
      <c r="V38" s="326"/>
      <c r="W38" s="326"/>
      <c r="X38" s="326"/>
      <c r="Y38" s="326"/>
      <c r="Z38" s="326"/>
      <c r="AA38" s="326"/>
      <c r="AB38" s="326"/>
    </row>
    <row r="39" spans="2:28">
      <c r="B39" s="23"/>
      <c r="C39" s="23"/>
      <c r="D39" s="23" t="s">
        <v>1174</v>
      </c>
      <c r="E39" s="23"/>
      <c r="F39" s="23"/>
      <c r="G39" s="92"/>
      <c r="H39" s="92"/>
      <c r="I39" s="404"/>
      <c r="J39" s="333">
        <f ca="1">Drivers2!$U106</f>
        <v>0</v>
      </c>
      <c r="K39" s="333">
        <f ca="1">Driver22!$U106</f>
        <v>0</v>
      </c>
      <c r="L39" s="400"/>
      <c r="M39" s="400"/>
      <c r="N39" s="323"/>
      <c r="O39" s="323"/>
      <c r="P39" s="23"/>
      <c r="Q39" s="23"/>
      <c r="R39" s="23"/>
      <c r="S39" s="23"/>
      <c r="T39" s="23"/>
      <c r="U39" s="23"/>
      <c r="V39" s="23">
        <v>3</v>
      </c>
      <c r="W39" s="23"/>
      <c r="X39" s="23"/>
      <c r="Y39" s="23"/>
      <c r="Z39" s="23"/>
      <c r="AA39" s="23"/>
      <c r="AB39" s="23"/>
    </row>
    <row r="40" spans="2:28">
      <c r="B40" s="23"/>
      <c r="C40" s="23"/>
      <c r="D40" s="23" t="s">
        <v>1177</v>
      </c>
      <c r="E40" s="23"/>
      <c r="F40" s="23"/>
      <c r="G40" s="92"/>
      <c r="H40" s="92"/>
      <c r="I40" s="404"/>
      <c r="J40" s="333">
        <f ca="1">Drivers2!$U107</f>
        <v>0</v>
      </c>
      <c r="K40" s="333">
        <f ca="1">Driver22!$U107</f>
        <v>0</v>
      </c>
      <c r="L40" s="400"/>
      <c r="M40" s="400"/>
      <c r="N40" s="323"/>
      <c r="O40" s="323"/>
      <c r="P40" s="23"/>
      <c r="Q40" s="23"/>
      <c r="R40" s="23"/>
      <c r="S40" s="23"/>
      <c r="T40" s="23"/>
      <c r="U40" s="23"/>
      <c r="V40" s="23">
        <v>3</v>
      </c>
      <c r="W40" s="23"/>
      <c r="X40" s="23"/>
      <c r="Y40" s="23"/>
      <c r="Z40" s="23"/>
      <c r="AA40" s="23"/>
      <c r="AB40" s="23"/>
    </row>
    <row r="41" spans="2:28">
      <c r="B41" s="23"/>
      <c r="C41" s="23"/>
      <c r="D41" s="23" t="s">
        <v>1178</v>
      </c>
      <c r="E41" s="23"/>
      <c r="F41" s="23"/>
      <c r="G41" s="92"/>
      <c r="H41" s="92"/>
      <c r="I41" s="404"/>
      <c r="J41" s="333">
        <f ca="1">Drivers2!$U108</f>
        <v>0</v>
      </c>
      <c r="K41" s="333">
        <f ca="1">Driver22!$U108</f>
        <v>0</v>
      </c>
      <c r="L41" s="400"/>
      <c r="M41" s="400"/>
      <c r="N41" s="323"/>
      <c r="O41" s="323"/>
      <c r="P41" s="23"/>
      <c r="Q41" s="23"/>
      <c r="R41" s="23"/>
      <c r="S41" s="23"/>
      <c r="T41" s="23"/>
      <c r="U41" s="23"/>
      <c r="V41" s="23">
        <v>3</v>
      </c>
      <c r="W41" s="23"/>
      <c r="X41" s="23"/>
      <c r="Y41" s="23"/>
      <c r="Z41" s="23"/>
      <c r="AA41" s="23"/>
      <c r="AB41" s="23"/>
    </row>
    <row r="42" spans="2:28">
      <c r="B42" s="23"/>
      <c r="C42" s="23"/>
      <c r="D42" s="23" t="s">
        <v>1179</v>
      </c>
      <c r="E42" s="23"/>
      <c r="F42" s="23"/>
      <c r="G42" s="92"/>
      <c r="H42" s="92"/>
      <c r="I42" s="404"/>
      <c r="J42" s="333">
        <f ca="1">Drivers2!$U109</f>
        <v>0</v>
      </c>
      <c r="K42" s="333">
        <f ca="1">Driver22!$U109</f>
        <v>0</v>
      </c>
      <c r="L42" s="400"/>
      <c r="M42" s="400"/>
      <c r="N42" s="323"/>
      <c r="O42" s="323"/>
      <c r="P42" s="23"/>
      <c r="Q42" s="23"/>
      <c r="R42" s="23"/>
      <c r="S42" s="23"/>
      <c r="T42" s="23"/>
      <c r="U42" s="23"/>
      <c r="V42" s="23">
        <v>3</v>
      </c>
      <c r="W42" s="23"/>
      <c r="X42" s="23"/>
      <c r="Y42" s="23"/>
      <c r="Z42" s="23"/>
      <c r="AA42" s="23"/>
      <c r="AB42" s="23"/>
    </row>
    <row r="43" spans="2:28">
      <c r="B43" s="326" t="s">
        <v>1184</v>
      </c>
      <c r="C43" s="326" t="s">
        <v>1173</v>
      </c>
      <c r="D43" s="326" t="s">
        <v>458</v>
      </c>
      <c r="E43" s="326" t="s">
        <v>1183</v>
      </c>
      <c r="F43" s="326"/>
      <c r="G43" s="344"/>
      <c r="H43" s="344"/>
      <c r="I43" s="407"/>
      <c r="J43" s="327">
        <v>1</v>
      </c>
      <c r="K43" s="327">
        <v>1</v>
      </c>
      <c r="L43" s="326"/>
      <c r="M43" s="326"/>
      <c r="N43" s="327"/>
      <c r="O43" s="327"/>
      <c r="P43" s="326"/>
      <c r="Q43" s="326"/>
      <c r="R43" s="359"/>
      <c r="S43" s="326"/>
      <c r="T43" s="326"/>
      <c r="U43" s="326"/>
      <c r="V43" s="326"/>
      <c r="W43" s="326"/>
      <c r="X43" s="326"/>
      <c r="Y43" s="326"/>
      <c r="Z43" s="326"/>
      <c r="AA43" s="326"/>
      <c r="AB43" s="326"/>
    </row>
    <row r="44" spans="2:28">
      <c r="B44" s="23"/>
      <c r="C44" s="23"/>
      <c r="D44" s="23" t="s">
        <v>1181</v>
      </c>
      <c r="E44" s="23"/>
      <c r="F44" s="23"/>
      <c r="G44" s="92"/>
      <c r="H44" s="92"/>
      <c r="I44" s="404"/>
      <c r="J44" s="400">
        <f ca="1">Drivers2!$U110</f>
        <v>0</v>
      </c>
      <c r="K44" s="400">
        <f ca="1">Driver22!$U110</f>
        <v>0</v>
      </c>
      <c r="L44" s="400"/>
      <c r="M44" s="400"/>
      <c r="N44" s="323"/>
      <c r="O44" s="323"/>
      <c r="P44" s="23"/>
      <c r="Q44" s="23"/>
      <c r="R44" s="23"/>
      <c r="S44" s="23"/>
      <c r="T44" s="23"/>
      <c r="U44" s="23"/>
      <c r="V44" s="23">
        <v>3</v>
      </c>
      <c r="W44" s="23"/>
      <c r="X44" s="23"/>
      <c r="Y44" s="23"/>
      <c r="Z44" s="23"/>
      <c r="AA44" s="23"/>
      <c r="AB44" s="23"/>
    </row>
    <row r="45" spans="2:28">
      <c r="B45" s="23"/>
      <c r="C45" s="23"/>
      <c r="D45" s="23" t="s">
        <v>1175</v>
      </c>
      <c r="E45" s="23"/>
      <c r="F45" s="23"/>
      <c r="G45" s="92"/>
      <c r="H45" s="92"/>
      <c r="I45" s="404"/>
      <c r="J45" s="400">
        <f ca="1">Drivers2!$U111</f>
        <v>0</v>
      </c>
      <c r="K45" s="400">
        <f ca="1">Driver22!$U111</f>
        <v>0</v>
      </c>
      <c r="L45" s="400"/>
      <c r="M45" s="400"/>
      <c r="N45" s="323"/>
      <c r="O45" s="323"/>
      <c r="P45" s="23"/>
      <c r="Q45" s="23"/>
      <c r="R45" s="23"/>
      <c r="S45" s="23"/>
      <c r="T45" s="23"/>
      <c r="U45" s="23"/>
      <c r="V45" s="23">
        <v>3</v>
      </c>
      <c r="W45" s="23"/>
      <c r="X45" s="23"/>
      <c r="Y45" s="23"/>
      <c r="Z45" s="23"/>
      <c r="AA45" s="23"/>
      <c r="AB45" s="23"/>
    </row>
    <row r="46" spans="2:28">
      <c r="B46" s="23"/>
      <c r="C46" s="23"/>
      <c r="D46" s="23" t="s">
        <v>1176</v>
      </c>
      <c r="E46" s="23"/>
      <c r="F46" s="23"/>
      <c r="G46" s="92"/>
      <c r="H46" s="92"/>
      <c r="I46" s="404"/>
      <c r="J46" s="400">
        <f ca="1">Drivers2!$U112</f>
        <v>0</v>
      </c>
      <c r="K46" s="400">
        <f ca="1">Driver22!$U112</f>
        <v>0</v>
      </c>
      <c r="L46" s="400"/>
      <c r="M46" s="400"/>
      <c r="N46" s="323"/>
      <c r="O46" s="323"/>
      <c r="P46" s="23"/>
      <c r="Q46" s="23"/>
      <c r="R46" s="23"/>
      <c r="S46" s="23"/>
      <c r="T46" s="23"/>
      <c r="U46" s="23"/>
      <c r="V46" s="23">
        <v>3</v>
      </c>
      <c r="W46" s="23"/>
      <c r="X46" s="23"/>
      <c r="Y46" s="23"/>
      <c r="Z46" s="23"/>
      <c r="AA46" s="23"/>
      <c r="AB46" s="23"/>
    </row>
    <row r="47" spans="2:28">
      <c r="B47" s="23"/>
      <c r="C47" s="23"/>
      <c r="D47" s="23" t="s">
        <v>1178</v>
      </c>
      <c r="E47" s="23"/>
      <c r="F47" s="23"/>
      <c r="G47" s="92"/>
      <c r="H47" s="92"/>
      <c r="I47" s="404"/>
      <c r="J47" s="400">
        <f ca="1">Drivers2!$U113</f>
        <v>0</v>
      </c>
      <c r="K47" s="400">
        <f ca="1">Driver22!$U113</f>
        <v>0</v>
      </c>
      <c r="L47" s="400"/>
      <c r="M47" s="400"/>
      <c r="N47" s="323"/>
      <c r="O47" s="323"/>
      <c r="P47" s="23"/>
      <c r="Q47" s="23"/>
      <c r="R47" s="23"/>
      <c r="S47" s="23"/>
      <c r="T47" s="23"/>
      <c r="U47" s="23"/>
      <c r="V47" s="23">
        <v>3</v>
      </c>
      <c r="W47" s="23"/>
      <c r="X47" s="23"/>
      <c r="Y47" s="23"/>
      <c r="Z47" s="23"/>
      <c r="AA47" s="23"/>
      <c r="AB47" s="23"/>
    </row>
    <row r="48" spans="2:28">
      <c r="B48" s="23"/>
      <c r="C48" s="23"/>
      <c r="D48" s="23" t="s">
        <v>1179</v>
      </c>
      <c r="E48" s="23"/>
      <c r="F48" s="23"/>
      <c r="G48" s="92"/>
      <c r="H48" s="92"/>
      <c r="I48" s="404"/>
      <c r="J48" s="400">
        <f ca="1">Drivers2!$U114</f>
        <v>0</v>
      </c>
      <c r="K48" s="400">
        <f ca="1">Driver22!$U114</f>
        <v>0</v>
      </c>
      <c r="L48" s="400"/>
      <c r="M48" s="400"/>
      <c r="N48" s="323"/>
      <c r="O48" s="323"/>
      <c r="P48" s="23"/>
      <c r="Q48" s="23"/>
      <c r="R48" s="23"/>
      <c r="S48" s="23"/>
      <c r="T48" s="23"/>
      <c r="U48" s="23"/>
      <c r="V48" s="23">
        <v>3</v>
      </c>
      <c r="W48" s="23"/>
      <c r="X48" s="23"/>
      <c r="Y48" s="23"/>
      <c r="Z48" s="23"/>
      <c r="AA48" s="23"/>
      <c r="AB48" s="23"/>
    </row>
    <row r="49" spans="2:28">
      <c r="B49" s="23"/>
      <c r="C49" s="23"/>
      <c r="D49" s="23" t="s">
        <v>1180</v>
      </c>
      <c r="E49" s="23"/>
      <c r="F49" s="23"/>
      <c r="G49" s="92"/>
      <c r="H49" s="92"/>
      <c r="I49" s="404"/>
      <c r="J49" s="400">
        <f ca="1">Drivers2!$U115</f>
        <v>0</v>
      </c>
      <c r="K49" s="400">
        <f ca="1">Driver22!$U115</f>
        <v>0</v>
      </c>
      <c r="L49" s="400"/>
      <c r="M49" s="400"/>
      <c r="N49" s="323"/>
      <c r="O49" s="323"/>
      <c r="P49" s="23"/>
      <c r="Q49" s="23"/>
      <c r="R49" s="116"/>
      <c r="S49" s="116"/>
      <c r="T49" s="23"/>
      <c r="U49" s="23"/>
      <c r="V49" s="23">
        <v>3</v>
      </c>
      <c r="W49" s="23"/>
      <c r="X49" s="23"/>
      <c r="Y49" s="23"/>
      <c r="Z49" s="23"/>
      <c r="AA49" s="23"/>
      <c r="AB49" s="23"/>
    </row>
    <row r="50" spans="2:28">
      <c r="B50" s="326" t="s">
        <v>341</v>
      </c>
      <c r="C50" s="326" t="s">
        <v>464</v>
      </c>
      <c r="D50" s="326" t="s">
        <v>981</v>
      </c>
      <c r="E50" s="332"/>
      <c r="F50" s="332"/>
      <c r="G50" s="344">
        <f ca="1">VLOOKUP($B50,Drivers2!$T$58:$V$83,2,FALSE)*VLOOKUP($D50,Calibration2!$A$211:$U$215,21,0)</f>
        <v>0</v>
      </c>
      <c r="H50" s="344">
        <f ca="1">VLOOKUP($B50,Driver22!$T$58:$V$83,2,FALSE)*VLOOKUP($D50,Calibrati22!$A$211:$U$215,21,0)</f>
        <v>0</v>
      </c>
      <c r="I50" s="407"/>
      <c r="J50" s="327">
        <f t="shared" ref="J50:K52" si="1">IF(N$50,G50/N$50,0)</f>
        <v>0</v>
      </c>
      <c r="K50" s="327">
        <f t="shared" si="1"/>
        <v>0</v>
      </c>
      <c r="L50" s="326"/>
      <c r="M50" s="326"/>
      <c r="N50" s="327">
        <f ca="1">VLOOKUP(B50,Drivers2!$E$58:$H$82,4,0)</f>
        <v>0</v>
      </c>
      <c r="O50" s="327">
        <f ca="1">VLOOKUP($B50,Driver22!$E$58:$H$82,4,0)</f>
        <v>0</v>
      </c>
      <c r="P50" s="326">
        <v>0.9</v>
      </c>
      <c r="Q50" s="326">
        <v>30</v>
      </c>
      <c r="R50" s="323">
        <f>N50/$P50*$R$3</f>
        <v>0</v>
      </c>
      <c r="S50" s="323">
        <f>O50/$P50*$R$3</f>
        <v>0</v>
      </c>
      <c r="T50" s="326"/>
      <c r="U50" s="326">
        <v>0</v>
      </c>
      <c r="V50" s="326"/>
      <c r="W50" s="326"/>
      <c r="X50" s="326"/>
      <c r="Y50" s="326"/>
      <c r="Z50" s="326"/>
      <c r="AA50" s="326"/>
      <c r="AB50" s="326"/>
    </row>
    <row r="51" spans="2:28">
      <c r="B51" s="23"/>
      <c r="C51" s="23"/>
      <c r="D51" s="23" t="s">
        <v>979</v>
      </c>
      <c r="E51" s="23"/>
      <c r="F51" s="23"/>
      <c r="G51" s="92">
        <f ca="1">VLOOKUP($B50,Drivers2!$T$58:$V$83,3,FALSE)*VLOOKUP($D51,Calibration2!$A$220:$U$224,21,0)</f>
        <v>0</v>
      </c>
      <c r="H51" s="92">
        <f ca="1">VLOOKUP($B50,Driver22!$T$58:$V$83,3,FALSE)*VLOOKUP($D51,Calibrati22!$A$220:$U$224,21,0)</f>
        <v>0</v>
      </c>
      <c r="I51" s="404"/>
      <c r="J51" s="323">
        <f t="shared" si="1"/>
        <v>0</v>
      </c>
      <c r="K51" s="323">
        <f t="shared" si="1"/>
        <v>0</v>
      </c>
      <c r="L51" s="23"/>
      <c r="M51" s="23"/>
      <c r="N51" s="323"/>
      <c r="O51" s="3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2:28">
      <c r="B52" s="23"/>
      <c r="C52" s="23"/>
      <c r="D52" s="23" t="s">
        <v>462</v>
      </c>
      <c r="E52" s="23"/>
      <c r="F52" s="23"/>
      <c r="G52" s="92">
        <f ca="1">Calibration2!$T$200*Drivers2!$X$27</f>
        <v>0</v>
      </c>
      <c r="H52" s="92">
        <f ca="1">Calibrati22!$T$200*Driver22!$X$27</f>
        <v>0</v>
      </c>
      <c r="I52" s="405"/>
      <c r="J52" s="333">
        <f t="shared" si="1"/>
        <v>0</v>
      </c>
      <c r="K52" s="333">
        <f t="shared" si="1"/>
        <v>0</v>
      </c>
      <c r="L52" s="23"/>
      <c r="M52" s="23"/>
      <c r="N52" s="323"/>
      <c r="O52" s="3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</row>
    <row r="53" spans="2:28">
      <c r="B53" s="23"/>
      <c r="C53" s="23"/>
      <c r="D53" s="23" t="s">
        <v>1182</v>
      </c>
      <c r="E53" s="23"/>
      <c r="F53" s="23" t="s">
        <v>692</v>
      </c>
      <c r="G53" s="92">
        <f ca="1">Drivers2!$L$102</f>
        <v>0</v>
      </c>
      <c r="H53" s="92">
        <f ca="1">Driver22!$L$102</f>
        <v>0</v>
      </c>
      <c r="I53" s="405">
        <v>1</v>
      </c>
      <c r="J53" s="333"/>
      <c r="K53" s="333"/>
      <c r="L53" s="23"/>
      <c r="M53" s="23"/>
      <c r="N53" s="323"/>
      <c r="O53" s="3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</row>
    <row r="54" spans="2:28">
      <c r="B54" s="23"/>
      <c r="C54" s="23"/>
      <c r="D54" s="23" t="s">
        <v>1183</v>
      </c>
      <c r="E54" s="23"/>
      <c r="F54" s="23"/>
      <c r="G54" s="92"/>
      <c r="H54" s="92"/>
      <c r="I54" s="405"/>
      <c r="J54" s="23"/>
      <c r="K54" s="23"/>
      <c r="L54" s="23"/>
      <c r="M54" s="23"/>
      <c r="N54" s="323"/>
      <c r="O54" s="3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</row>
    <row r="55" spans="2:28">
      <c r="B55" s="23"/>
      <c r="C55" s="23"/>
      <c r="D55" s="23"/>
      <c r="E55" s="23" t="s">
        <v>454</v>
      </c>
      <c r="F55" s="23"/>
      <c r="G55" s="92">
        <f ca="1">SUM(N7,N21,N29)</f>
        <v>0</v>
      </c>
      <c r="H55" s="92">
        <f ca="1">SUM(O7,O21,O29)</f>
        <v>0</v>
      </c>
      <c r="I55" s="404"/>
      <c r="J55" s="323"/>
      <c r="K55" s="323"/>
      <c r="L55" s="23"/>
      <c r="M55" s="23"/>
      <c r="N55" s="323"/>
      <c r="O55" s="3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</row>
    <row r="56" spans="2:28">
      <c r="B56" s="326" t="s">
        <v>345</v>
      </c>
      <c r="C56" s="326" t="s">
        <v>191</v>
      </c>
      <c r="D56" s="326" t="s">
        <v>981</v>
      </c>
      <c r="E56" s="332"/>
      <c r="F56" s="332"/>
      <c r="G56" s="344">
        <f ca="1">VLOOKUP($B56,Drivers2!$T$58:$V$83,2,FALSE)*VLOOKUP($D56,Calibration2!$A$211:$U$215,21,0)</f>
        <v>4.4147159898973852E-2</v>
      </c>
      <c r="H56" s="344">
        <f ca="1">VLOOKUP($B56,Driver22!$T$58:$V$83,2,FALSE)*VLOOKUP($D56,Calibrati22!$A$211:$U$215,21,0)</f>
        <v>8.8084851811631795E-3</v>
      </c>
      <c r="I56" s="407"/>
      <c r="J56" s="327">
        <f t="shared" ref="J56:K58" si="2">G56/N$56</f>
        <v>0.19769415082760969</v>
      </c>
      <c r="K56" s="327">
        <f t="shared" si="2"/>
        <v>3.9445028897727913E-2</v>
      </c>
      <c r="L56" s="326"/>
      <c r="M56" s="326"/>
      <c r="N56" s="327">
        <f ca="1">Drivers2!P119</f>
        <v>0.22331039999999999</v>
      </c>
      <c r="O56" s="327">
        <f ca="1">Driver22!P119</f>
        <v>0.22331039999999999</v>
      </c>
      <c r="P56" s="326">
        <v>0.9</v>
      </c>
      <c r="Q56" s="326">
        <v>30</v>
      </c>
      <c r="R56" s="359"/>
      <c r="S56" s="360"/>
      <c r="T56" s="360"/>
      <c r="U56" s="360"/>
      <c r="V56" s="360">
        <v>2015</v>
      </c>
      <c r="W56" s="326"/>
      <c r="X56" s="326"/>
      <c r="Y56" s="326"/>
      <c r="Z56" s="326"/>
      <c r="AA56" s="326"/>
      <c r="AB56" s="326"/>
    </row>
    <row r="57" spans="2:28">
      <c r="B57" s="50"/>
      <c r="C57" s="50"/>
      <c r="D57" s="23" t="s">
        <v>979</v>
      </c>
      <c r="E57" s="328"/>
      <c r="F57" s="328"/>
      <c r="G57" s="92">
        <f ca="1">VLOOKUP($B56,Drivers2!$T$58:$V$83,3,FALSE)*VLOOKUP($D57,Calibration2!$A$220:$U$224,21,0)</f>
        <v>0.10097346744208628</v>
      </c>
      <c r="H57" s="92">
        <f ca="1">VLOOKUP($B56,Driver22!$T$58:$V$83,3,FALSE)*VLOOKUP($D57,Calibrati22!$A$220:$U$224,21,0)</f>
        <v>3.7413491725556365E-2</v>
      </c>
      <c r="I57" s="405"/>
      <c r="J57" s="329">
        <f t="shared" si="2"/>
        <v>0.45216643489101399</v>
      </c>
      <c r="K57" s="329">
        <f t="shared" si="2"/>
        <v>0.16754030141702475</v>
      </c>
      <c r="L57" s="50"/>
      <c r="M57" s="50"/>
      <c r="N57" s="328"/>
      <c r="O57" s="328"/>
      <c r="P57" s="50"/>
      <c r="Q57" s="50"/>
      <c r="R57" s="361"/>
      <c r="S57" s="361"/>
      <c r="T57" s="361"/>
      <c r="U57" s="361"/>
      <c r="V57" s="361">
        <v>2015</v>
      </c>
      <c r="W57" s="23"/>
      <c r="X57" s="23"/>
      <c r="Y57" s="23"/>
      <c r="Z57" s="23"/>
      <c r="AA57" s="23"/>
      <c r="AB57" s="23"/>
    </row>
    <row r="58" spans="2:28">
      <c r="B58" s="50"/>
      <c r="C58" s="50"/>
      <c r="D58" s="50" t="s">
        <v>983</v>
      </c>
      <c r="E58" s="328"/>
      <c r="F58" s="328"/>
      <c r="G58" s="92">
        <f ca="1">IOLP2!I$24</f>
        <v>9.7370232222742797E-2</v>
      </c>
      <c r="H58" s="92">
        <f ca="1">IOLP2!J$24</f>
        <v>2.4427670774415312E-2</v>
      </c>
      <c r="I58" s="405"/>
      <c r="J58" s="329">
        <f t="shared" si="2"/>
        <v>0.43603088894535497</v>
      </c>
      <c r="K58" s="329">
        <f t="shared" si="2"/>
        <v>0.10938886310004063</v>
      </c>
      <c r="L58" s="50"/>
      <c r="M58" s="50"/>
      <c r="N58" s="328"/>
      <c r="O58" s="328"/>
      <c r="P58" s="50"/>
      <c r="Q58" s="50"/>
      <c r="R58" s="361"/>
      <c r="S58" s="361"/>
      <c r="T58" s="361"/>
      <c r="U58" s="361"/>
      <c r="V58" s="361">
        <v>2015</v>
      </c>
      <c r="W58" s="23"/>
      <c r="X58" s="23"/>
      <c r="Y58" s="23"/>
      <c r="Z58" s="23"/>
      <c r="AA58" s="23"/>
      <c r="AB58" s="23"/>
    </row>
    <row r="59" spans="2:28">
      <c r="B59" s="50"/>
      <c r="C59" s="50"/>
      <c r="D59" s="50" t="s">
        <v>395</v>
      </c>
      <c r="E59" s="328"/>
      <c r="F59" s="328"/>
      <c r="G59" s="92"/>
      <c r="H59" s="92"/>
      <c r="I59" s="405"/>
      <c r="J59" s="329">
        <v>0.1</v>
      </c>
      <c r="K59" s="329">
        <v>0.1</v>
      </c>
      <c r="L59" s="50"/>
      <c r="M59" s="50"/>
      <c r="N59" s="328"/>
      <c r="O59" s="328"/>
      <c r="P59" s="50"/>
      <c r="Q59" s="50"/>
      <c r="R59" s="361"/>
      <c r="S59" s="361"/>
      <c r="T59" s="361"/>
      <c r="U59" s="361"/>
      <c r="V59" s="361"/>
      <c r="W59" s="23"/>
      <c r="X59" s="23"/>
      <c r="Y59" s="23"/>
      <c r="Z59" s="23"/>
      <c r="AA59" s="23"/>
      <c r="AB59" s="23"/>
    </row>
    <row r="60" spans="2:28">
      <c r="B60" s="116"/>
      <c r="C60" s="116"/>
      <c r="D60" s="116"/>
      <c r="E60" s="116" t="s">
        <v>455</v>
      </c>
      <c r="F60" s="116"/>
      <c r="G60" s="92"/>
      <c r="H60" s="92"/>
      <c r="I60" s="408"/>
      <c r="J60" s="330"/>
      <c r="K60" s="330"/>
      <c r="L60" s="116"/>
      <c r="M60" s="116"/>
      <c r="N60" s="331"/>
      <c r="O60" s="331"/>
      <c r="P60" s="116"/>
      <c r="Q60" s="116"/>
      <c r="R60" s="362"/>
      <c r="S60" s="362"/>
      <c r="T60" s="362"/>
      <c r="U60" s="362"/>
      <c r="V60" s="362"/>
      <c r="W60" s="23"/>
      <c r="X60" s="23"/>
      <c r="Y60" s="23"/>
      <c r="Z60" s="23"/>
      <c r="AA60" s="23"/>
      <c r="AB60" s="23"/>
    </row>
    <row r="61" spans="2:28" ht="15" thickBot="1">
      <c r="B61" s="499" t="s">
        <v>1380</v>
      </c>
      <c r="C61" s="198"/>
      <c r="D61" s="198"/>
      <c r="E61" s="198"/>
      <c r="F61" s="198"/>
      <c r="G61" s="199"/>
      <c r="H61" s="199"/>
      <c r="I61" s="399"/>
      <c r="J61" s="199"/>
      <c r="K61" s="199"/>
      <c r="L61" s="199"/>
      <c r="M61" s="199"/>
      <c r="N61" s="199"/>
      <c r="O61" s="199"/>
      <c r="P61" s="200"/>
      <c r="Q61" s="200" t="s">
        <v>784</v>
      </c>
      <c r="R61" s="201"/>
      <c r="S61" s="198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2:28" ht="25.5">
      <c r="B62" s="266" t="s">
        <v>500</v>
      </c>
      <c r="C62" s="58" t="s">
        <v>111</v>
      </c>
      <c r="D62" s="51" t="s">
        <v>1249</v>
      </c>
      <c r="E62" s="51"/>
      <c r="F62" s="51"/>
      <c r="G62" s="92">
        <f ca="1">Calibration2!$C$103*Drivers2!$P$121</f>
        <v>3.577147475626419E-3</v>
      </c>
      <c r="H62" s="92">
        <f ca="1">Calibrati22!$C$103*Driver22!$P$121</f>
        <v>8.2891521188972338E-4</v>
      </c>
      <c r="I62" s="51"/>
      <c r="J62" s="51">
        <v>1</v>
      </c>
      <c r="K62" s="51">
        <v>1</v>
      </c>
      <c r="L62" s="51"/>
      <c r="M62" s="51"/>
      <c r="N62" s="51"/>
      <c r="O62" s="51"/>
      <c r="P62" s="51">
        <v>0.8</v>
      </c>
      <c r="Q62" s="51">
        <v>3</v>
      </c>
      <c r="R62" s="51"/>
      <c r="S62" s="51"/>
      <c r="T62" s="51"/>
      <c r="U62" s="51"/>
      <c r="V62" s="51"/>
      <c r="W62" s="51"/>
      <c r="X62" s="51"/>
      <c r="Y62" s="51"/>
      <c r="Z62" s="51">
        <v>31.536000000000001</v>
      </c>
      <c r="AA62" s="51">
        <v>100</v>
      </c>
      <c r="AB62" s="51"/>
    </row>
    <row r="63" spans="2:28">
      <c r="B63" s="264"/>
      <c r="C63" s="50"/>
      <c r="D63" s="52" t="s">
        <v>981</v>
      </c>
      <c r="E63" s="52"/>
      <c r="F63" s="386" t="s">
        <v>1126</v>
      </c>
      <c r="G63" s="92"/>
      <c r="H63" s="9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>
        <f ca="1">-Calibration2!$C$210</f>
        <v>-0.86</v>
      </c>
    </row>
    <row r="64" spans="2:28" ht="13.5" thickBot="1">
      <c r="B64" s="24"/>
      <c r="C64" s="24"/>
      <c r="D64" s="22"/>
      <c r="E64" s="22" t="s">
        <v>982</v>
      </c>
      <c r="F64" s="22"/>
      <c r="G64" s="92"/>
      <c r="H64" s="9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>
      <c r="B65" s="198" t="s">
        <v>1380</v>
      </c>
      <c r="C65" s="198"/>
      <c r="D65" s="198"/>
      <c r="E65" s="198"/>
      <c r="F65" s="198"/>
      <c r="G65" s="500">
        <f>SUM(G62:G63)</f>
        <v>3.577147475626419E-3</v>
      </c>
      <c r="H65" s="500">
        <f>SUM(H62:H63)</f>
        <v>8.2891521188972338E-4</v>
      </c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</row>
    <row r="66" spans="2:28">
      <c r="G66" s="2"/>
      <c r="H66" s="2"/>
    </row>
    <row r="67" spans="2:28">
      <c r="G67" s="283"/>
      <c r="H67" s="283"/>
    </row>
    <row r="69" spans="2:28" ht="18">
      <c r="B69" s="86" t="s">
        <v>90</v>
      </c>
      <c r="C69" s="88"/>
      <c r="D69" s="88"/>
      <c r="E69" s="225" t="str">
        <f>"~FI_T: "&amp;Region</f>
        <v>~FI_T: FIM</v>
      </c>
      <c r="O69" s="1"/>
    </row>
    <row r="70" spans="2:28" ht="39" thickBot="1">
      <c r="B70" s="45" t="s">
        <v>649</v>
      </c>
      <c r="C70" s="45" t="s">
        <v>650</v>
      </c>
      <c r="D70" s="45" t="s">
        <v>648</v>
      </c>
      <c r="E70" s="45" t="s">
        <v>651</v>
      </c>
      <c r="F70" s="64" t="str">
        <f ca="1">CONCATENATE("\I:",BaseYear," Service Demand")</f>
        <v>\I:2010 Service Demand</v>
      </c>
      <c r="G70" s="64" t="str">
        <f ca="1">CONCATENATE("\I:",AuxData2!$D$2," service demand")</f>
        <v>\I:2017 service demand</v>
      </c>
      <c r="H70" s="64" t="str">
        <f ca="1">CONCATENATE("\I:",IEA_Year," EFF")</f>
        <v>\I:2010 EFF</v>
      </c>
      <c r="I70" s="45" t="str">
        <f ca="1">"Input~"&amp;BaseYear</f>
        <v>Input~2010</v>
      </c>
      <c r="J70" s="45" t="str">
        <f ca="1">"Input~"&amp;AuxYear</f>
        <v>Input~2017</v>
      </c>
      <c r="K70" s="64" t="s">
        <v>390</v>
      </c>
      <c r="L70" s="45" t="s">
        <v>848</v>
      </c>
      <c r="M70" s="64" t="s">
        <v>872</v>
      </c>
      <c r="N70" s="64" t="s">
        <v>556</v>
      </c>
    </row>
    <row r="71" spans="2:28">
      <c r="B71" s="35" t="s">
        <v>984</v>
      </c>
      <c r="C71" s="23" t="s">
        <v>453</v>
      </c>
      <c r="D71" s="9" t="s">
        <v>454</v>
      </c>
      <c r="E71" s="9"/>
      <c r="F71" s="21">
        <f>N50</f>
        <v>0</v>
      </c>
      <c r="G71" s="21">
        <f>O50</f>
        <v>0</v>
      </c>
      <c r="H71" s="31">
        <v>1</v>
      </c>
      <c r="I71" s="62">
        <f t="shared" ref="I71:J73" si="3">IF($F$75=0,0,F71/I$75)/1</f>
        <v>0</v>
      </c>
      <c r="J71" s="62">
        <f t="shared" si="3"/>
        <v>0</v>
      </c>
      <c r="K71" s="31">
        <v>1</v>
      </c>
      <c r="L71" s="17">
        <v>1</v>
      </c>
      <c r="M71" s="12">
        <v>1</v>
      </c>
      <c r="N71" s="12">
        <v>5</v>
      </c>
    </row>
    <row r="72" spans="2:28">
      <c r="B72" s="9"/>
      <c r="C72" s="23"/>
      <c r="D72" s="9" t="s">
        <v>455</v>
      </c>
      <c r="E72" s="9"/>
      <c r="F72" s="21">
        <f>N56</f>
        <v>0.22331039999999999</v>
      </c>
      <c r="G72" s="21">
        <f>O56</f>
        <v>0.22331039999999999</v>
      </c>
      <c r="H72" s="62"/>
      <c r="I72" s="62">
        <f t="shared" si="3"/>
        <v>1</v>
      </c>
      <c r="J72" s="62">
        <f t="shared" si="3"/>
        <v>1</v>
      </c>
      <c r="K72" s="62"/>
      <c r="L72" s="542"/>
      <c r="M72" s="9"/>
      <c r="N72" s="9"/>
    </row>
    <row r="73" spans="2:28">
      <c r="B73" s="9"/>
      <c r="C73" s="23"/>
      <c r="D73" s="9" t="s">
        <v>982</v>
      </c>
      <c r="E73" s="9"/>
      <c r="F73" s="21">
        <f>G65</f>
        <v>3.577147475626419E-3</v>
      </c>
      <c r="G73" s="21">
        <f>H65</f>
        <v>8.2891521188972338E-4</v>
      </c>
      <c r="H73" s="62"/>
      <c r="I73" s="62">
        <f t="shared" si="3"/>
        <v>1.6018723156764839E-2</v>
      </c>
      <c r="J73" s="62">
        <f t="shared" si="3"/>
        <v>3.7119418168151748E-3</v>
      </c>
      <c r="K73" s="62"/>
      <c r="L73" s="542"/>
      <c r="M73" s="9"/>
      <c r="N73" s="9"/>
    </row>
    <row r="74" spans="2:28">
      <c r="B74" s="9"/>
      <c r="C74" s="23"/>
      <c r="D74" s="9"/>
      <c r="E74" s="9" t="s">
        <v>978</v>
      </c>
      <c r="F74" s="21"/>
      <c r="G74" s="21"/>
      <c r="H74" s="62"/>
      <c r="I74" s="62"/>
      <c r="J74" s="9"/>
      <c r="K74" s="62"/>
      <c r="L74" s="542"/>
      <c r="M74" s="9"/>
      <c r="N74" s="9"/>
    </row>
    <row r="75" spans="2:28">
      <c r="B75" s="192" t="s">
        <v>902</v>
      </c>
      <c r="C75" s="198"/>
      <c r="D75" s="198"/>
      <c r="E75" s="198"/>
      <c r="F75" s="199">
        <f>SUM(F71:F73)</f>
        <v>0.22688754747562642</v>
      </c>
      <c r="G75" s="199">
        <f>SUM(G71:G73)</f>
        <v>0.22413931521188971</v>
      </c>
      <c r="H75" s="199"/>
      <c r="I75" s="199">
        <f>IF(F71&gt;0.01,F71,MAX(F71:F73))</f>
        <v>0.22331039999999999</v>
      </c>
      <c r="J75" s="199">
        <f>IF(G71&gt;0.01,G71,MAX(G71:G73))</f>
        <v>0.22331039999999999</v>
      </c>
      <c r="K75" s="199"/>
      <c r="L75" s="200"/>
      <c r="M75" s="200"/>
      <c r="N75" s="200" t="s">
        <v>784</v>
      </c>
    </row>
    <row r="77" spans="2:28">
      <c r="D77" s="216"/>
    </row>
    <row r="78" spans="2:28" ht="18">
      <c r="B78" s="124" t="s">
        <v>89</v>
      </c>
      <c r="C78" s="125"/>
      <c r="D78" s="225"/>
    </row>
    <row r="79" spans="2:28" ht="26.25" thickBot="1">
      <c r="B79" s="25" t="s">
        <v>772</v>
      </c>
      <c r="C79" s="25" t="s">
        <v>773</v>
      </c>
      <c r="D79" s="25" t="s">
        <v>778</v>
      </c>
      <c r="E79" s="25" t="s">
        <v>1083</v>
      </c>
      <c r="F79" s="25" t="str">
        <f ca="1">"DEMAND~"&amp;AuxYear</f>
        <v>DEMAND~2017</v>
      </c>
      <c r="G79" s="25"/>
      <c r="H79" s="25"/>
    </row>
    <row r="80" spans="2:28">
      <c r="B80" s="27" t="s">
        <v>978</v>
      </c>
      <c r="C80" s="27" t="s">
        <v>887</v>
      </c>
      <c r="D80" s="483" t="s">
        <v>976</v>
      </c>
      <c r="E80" s="30">
        <f>I75</f>
        <v>0.22331039999999999</v>
      </c>
      <c r="F80" s="30">
        <f>J75</f>
        <v>0.22331039999999999</v>
      </c>
      <c r="G80" s="12"/>
      <c r="H80" s="12"/>
    </row>
    <row r="81" spans="2:8">
      <c r="B81" s="27" t="s">
        <v>1387</v>
      </c>
      <c r="C81" s="27" t="s">
        <v>1390</v>
      </c>
      <c r="D81" s="483" t="s">
        <v>976</v>
      </c>
      <c r="E81" s="30">
        <f ca="1">MAX(Drivers2!$L$104)</f>
        <v>0</v>
      </c>
      <c r="F81" s="30">
        <f ca="1">MAX(0.001,Driver22!$L$104)</f>
        <v>1E-3</v>
      </c>
      <c r="G81" s="12"/>
      <c r="H81" s="12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14"/>
  <dimension ref="A1:Z24"/>
  <sheetViews>
    <sheetView zoomScale="75" workbookViewId="0">
      <selection activeCell="Q4" sqref="Q4"/>
    </sheetView>
  </sheetViews>
  <sheetFormatPr defaultColWidth="8.85546875" defaultRowHeight="12.75"/>
  <cols>
    <col min="1" max="1" width="7.5703125" customWidth="1"/>
    <col min="2" max="2" width="15.42578125" customWidth="1"/>
    <col min="3" max="3" width="46.7109375" customWidth="1"/>
    <col min="4" max="4" width="9.85546875" customWidth="1"/>
  </cols>
  <sheetData>
    <row r="1" spans="1:26">
      <c r="E1" s="216"/>
    </row>
    <row r="2" spans="1:26">
      <c r="E2" s="216"/>
    </row>
    <row r="3" spans="1:26">
      <c r="E3" s="216"/>
    </row>
    <row r="4" spans="1:26">
      <c r="E4" s="216"/>
      <c r="Q4" s="12">
        <v>1</v>
      </c>
      <c r="R4" t="s">
        <v>146</v>
      </c>
    </row>
    <row r="5" spans="1:26" ht="18">
      <c r="A5" s="8"/>
      <c r="B5" s="10"/>
      <c r="C5" s="11"/>
      <c r="E5" s="216"/>
      <c r="H5" t="s">
        <v>784</v>
      </c>
    </row>
    <row r="6" spans="1:26" ht="18">
      <c r="B6" s="86" t="s">
        <v>11</v>
      </c>
      <c r="C6" s="88"/>
      <c r="D6" s="123"/>
      <c r="E6" s="225" t="str">
        <f>"~FI_T: "&amp;Region</f>
        <v>~FI_T: FIM</v>
      </c>
      <c r="F6" s="1"/>
      <c r="H6" s="1" t="s">
        <v>784</v>
      </c>
      <c r="I6" s="1" t="s">
        <v>784</v>
      </c>
      <c r="K6" s="1" t="s">
        <v>784</v>
      </c>
      <c r="L6" s="1" t="s">
        <v>784</v>
      </c>
      <c r="P6" s="1"/>
      <c r="Q6" s="1"/>
    </row>
    <row r="7" spans="1:26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64" t="str">
        <f ca="1">CONCATENATE("\I:",IEA_Year," finalene")</f>
        <v>\I:2010 finalene</v>
      </c>
      <c r="G7" s="64" t="str">
        <f ca="1">CONCATENATE("\I:",AuxData2!$D$2," finalene")</f>
        <v>\I:2017 finalene</v>
      </c>
      <c r="H7" s="64" t="str">
        <f ca="1">CONCATENATE("\I:",IEA_Year," EFF")</f>
        <v>\I:2010 EFF</v>
      </c>
      <c r="I7" s="64" t="str">
        <f ca="1">CONCATENATE("\I:",BaseYear," Service Demand")</f>
        <v>\I:2010 Service Demand</v>
      </c>
      <c r="J7" s="64" t="str">
        <f ca="1">CONCATENATE("\I:",AuxData2!$D$2," service demand")</f>
        <v>\I:2017 service demand</v>
      </c>
      <c r="K7" s="64" t="s">
        <v>390</v>
      </c>
      <c r="L7" s="45" t="s">
        <v>388</v>
      </c>
      <c r="M7" s="45" t="str">
        <f ca="1">"INPUT~"&amp;AuxYear</f>
        <v>INPUT~2017</v>
      </c>
      <c r="N7" s="45" t="s">
        <v>848</v>
      </c>
      <c r="O7" s="45" t="s">
        <v>872</v>
      </c>
      <c r="P7" s="45" t="s">
        <v>556</v>
      </c>
      <c r="Q7" s="45" t="str">
        <f ca="1">"RESID~"&amp;BaseYear</f>
        <v>RESID~2010</v>
      </c>
      <c r="R7" s="45" t="str">
        <f ca="1">"RESID~"&amp;AuxYear</f>
        <v>RESID~2017</v>
      </c>
      <c r="S7" s="45" t="str">
        <f ca="1">"RESID~"&amp;CEILING(AuxYear+7,5)</f>
        <v>RESID~2025</v>
      </c>
      <c r="T7" s="45" t="str">
        <f ca="1">"RESID~"&amp;CEILING(AuxYear+17,5)</f>
        <v>RESID~2035</v>
      </c>
      <c r="U7" s="45" t="str">
        <f ca="1">"RESID~"&amp;CEILING(AuxYear+27,5)</f>
        <v>RESID~2045</v>
      </c>
      <c r="V7" s="45" t="s">
        <v>52</v>
      </c>
      <c r="W7" s="45" t="s">
        <v>51</v>
      </c>
      <c r="X7" s="45" t="s">
        <v>552</v>
      </c>
      <c r="Y7" s="45" t="s">
        <v>499</v>
      </c>
      <c r="Z7" s="126" t="s">
        <v>959</v>
      </c>
    </row>
    <row r="8" spans="1:26">
      <c r="B8" s="35" t="s">
        <v>469</v>
      </c>
      <c r="C8" s="23" t="s">
        <v>470</v>
      </c>
      <c r="D8" s="52" t="str">
        <f ca="1">IEAData2!K$38</f>
        <v>INDHFO</v>
      </c>
      <c r="E8" s="52" t="s">
        <v>980</v>
      </c>
      <c r="F8" s="53">
        <f ca="1">INDEX(Calibration2!$C$202:$S$202,MATCH($D8,Calibration2!$C$171:$S$171,0))</f>
        <v>0</v>
      </c>
      <c r="G8" s="53">
        <f ca="1">INDEX(Calibrati22!$C$202:$S$202,MATCH($D8,Calibrati22!$C$171:$S$171,0))</f>
        <v>0</v>
      </c>
      <c r="H8" s="55">
        <v>0.87</v>
      </c>
      <c r="I8" s="544">
        <f>F8*$H8</f>
        <v>0</v>
      </c>
      <c r="J8" s="544">
        <f t="shared" ref="J8:J14" si="0">G8*$H8*K8</f>
        <v>0</v>
      </c>
      <c r="K8" s="55">
        <v>1</v>
      </c>
      <c r="L8" s="542">
        <f t="shared" ref="L8:L14" si="1">1/H8</f>
        <v>1.1494252873563218</v>
      </c>
      <c r="M8" s="542">
        <f t="shared" ref="M8:M14" si="2">1/H8/K8</f>
        <v>1.1494252873563218</v>
      </c>
      <c r="N8" s="57">
        <v>1</v>
      </c>
      <c r="O8" s="49">
        <v>0.9</v>
      </c>
      <c r="P8" s="12">
        <v>30</v>
      </c>
      <c r="Q8" s="544">
        <f>I8/$O8</f>
        <v>0</v>
      </c>
      <c r="R8" s="544">
        <f>J8/$O8</f>
        <v>0</v>
      </c>
      <c r="S8" s="49"/>
      <c r="T8" s="49"/>
      <c r="U8" s="386">
        <v>0</v>
      </c>
      <c r="V8" s="12"/>
      <c r="W8" s="12"/>
      <c r="X8" s="12"/>
      <c r="Y8" s="54"/>
      <c r="Z8" s="128" t="b">
        <f t="shared" ref="Z8:Z14" si="3">IF(I$15,I8/$I$15)</f>
        <v>0</v>
      </c>
    </row>
    <row r="9" spans="1:26">
      <c r="B9" s="35" t="s">
        <v>471</v>
      </c>
      <c r="C9" s="23" t="s">
        <v>472</v>
      </c>
      <c r="D9" s="52" t="str">
        <f ca="1">IEAData2!L$38</f>
        <v>INDOIL</v>
      </c>
      <c r="E9" s="52" t="s">
        <v>462</v>
      </c>
      <c r="F9" s="53">
        <f ca="1">INDEX(Calibration2!$C$200:$S$200+Calibration2!$C$203:$S$203,MATCH($D9,Calibration2!$C$171:$S$171,0))</f>
        <v>0</v>
      </c>
      <c r="G9" s="53">
        <f ca="1">INDEX(Calibrati22!$C$200:$S$200+Calibrati22!$C$203:$S$203,MATCH($D9,Calibrati22!$C$171:$S$171,0))</f>
        <v>0</v>
      </c>
      <c r="H9" s="55">
        <f ca="1">Drivers2!$X$27</f>
        <v>0.82</v>
      </c>
      <c r="I9" s="544">
        <f t="shared" ref="I9:I14" si="4">F9*H9</f>
        <v>0</v>
      </c>
      <c r="J9" s="544">
        <f t="shared" si="0"/>
        <v>0</v>
      </c>
      <c r="K9" s="55">
        <v>1</v>
      </c>
      <c r="L9" s="542">
        <f t="shared" si="1"/>
        <v>1.2195121951219512</v>
      </c>
      <c r="M9" s="542">
        <f t="shared" si="2"/>
        <v>1.2195121951219512</v>
      </c>
      <c r="N9" s="57">
        <v>1</v>
      </c>
      <c r="O9" s="49">
        <f t="shared" ref="O9:O14" si="5">O$8</f>
        <v>0.9</v>
      </c>
      <c r="P9" s="12">
        <v>30</v>
      </c>
      <c r="Q9" s="544">
        <f t="shared" ref="Q9:Q14" si="6">I9/O9</f>
        <v>0</v>
      </c>
      <c r="R9" s="544">
        <f t="shared" ref="R9:R14" si="7">J9/$O9</f>
        <v>0</v>
      </c>
      <c r="S9" s="49"/>
      <c r="T9" s="49"/>
      <c r="U9" s="386">
        <v>0</v>
      </c>
      <c r="V9" s="12"/>
      <c r="W9" s="12"/>
      <c r="X9" s="12"/>
      <c r="Y9" s="55"/>
      <c r="Z9" s="128" t="b">
        <f t="shared" si="3"/>
        <v>0</v>
      </c>
    </row>
    <row r="10" spans="1:26">
      <c r="B10" s="35" t="s">
        <v>473</v>
      </c>
      <c r="C10" s="23" t="s">
        <v>474</v>
      </c>
      <c r="D10" s="52" t="str">
        <f ca="1">IEAData2!C$38</f>
        <v>INDNGA</v>
      </c>
      <c r="E10" s="52" t="s">
        <v>980</v>
      </c>
      <c r="F10" s="53">
        <f ca="1">INDEX(Calibration2!$C$202:$S$202,MATCH($D10,Calibration2!$C$171:$S$171,0))</f>
        <v>0</v>
      </c>
      <c r="G10" s="53">
        <f ca="1">INDEX(Calibrati22!$C$202:$S$202,MATCH($D10,Calibrati22!$C$171:$S$171,0))</f>
        <v>0</v>
      </c>
      <c r="H10" s="55">
        <f>H$8+0.03</f>
        <v>0.9</v>
      </c>
      <c r="I10" s="544">
        <f t="shared" si="4"/>
        <v>0</v>
      </c>
      <c r="J10" s="544">
        <f t="shared" si="0"/>
        <v>0</v>
      </c>
      <c r="K10" s="55">
        <v>1</v>
      </c>
      <c r="L10" s="542">
        <f t="shared" si="1"/>
        <v>1.1111111111111112</v>
      </c>
      <c r="M10" s="542">
        <f t="shared" si="2"/>
        <v>1.1111111111111112</v>
      </c>
      <c r="N10" s="57">
        <v>1</v>
      </c>
      <c r="O10" s="49">
        <f t="shared" si="5"/>
        <v>0.9</v>
      </c>
      <c r="P10" s="12">
        <v>30</v>
      </c>
      <c r="Q10" s="544">
        <f t="shared" si="6"/>
        <v>0</v>
      </c>
      <c r="R10" s="544">
        <f t="shared" si="7"/>
        <v>0</v>
      </c>
      <c r="S10" s="49"/>
      <c r="T10" s="49"/>
      <c r="U10" s="386">
        <v>0</v>
      </c>
      <c r="V10" s="12"/>
      <c r="W10" s="12"/>
      <c r="X10" s="12"/>
      <c r="Y10" s="55"/>
      <c r="Z10" s="128" t="b">
        <f t="shared" si="3"/>
        <v>0</v>
      </c>
    </row>
    <row r="11" spans="1:26">
      <c r="B11" s="35" t="s">
        <v>475</v>
      </c>
      <c r="C11" s="23" t="s">
        <v>474</v>
      </c>
      <c r="D11" s="52" t="str">
        <f ca="1">IEAData2!C$38</f>
        <v>INDNGA</v>
      </c>
      <c r="E11" s="52" t="s">
        <v>462</v>
      </c>
      <c r="F11" s="53">
        <f ca="1">INDEX(Calibration2!$C$200:$S$200+Calibration2!$C$203:$S$203,MATCH($D11,Calibration2!$C$171:$S$171,0))</f>
        <v>0</v>
      </c>
      <c r="G11" s="53">
        <f ca="1">INDEX(Calibrati22!$C$200:$S$200+Calibrati22!$C$203:$S$203,MATCH($D11,Calibrati22!$C$171:$S$171,0))</f>
        <v>0</v>
      </c>
      <c r="H11" s="55">
        <f>H$9+0.03</f>
        <v>0.85</v>
      </c>
      <c r="I11" s="544">
        <f t="shared" si="4"/>
        <v>0</v>
      </c>
      <c r="J11" s="544">
        <f t="shared" si="0"/>
        <v>0</v>
      </c>
      <c r="K11" s="55">
        <v>1</v>
      </c>
      <c r="L11" s="542">
        <f t="shared" si="1"/>
        <v>1.1764705882352942</v>
      </c>
      <c r="M11" s="542">
        <f t="shared" si="2"/>
        <v>1.1764705882352942</v>
      </c>
      <c r="N11" s="57">
        <v>1</v>
      </c>
      <c r="O11" s="49">
        <f t="shared" si="5"/>
        <v>0.9</v>
      </c>
      <c r="P11" s="12">
        <v>30</v>
      </c>
      <c r="Q11" s="544">
        <f t="shared" si="6"/>
        <v>0</v>
      </c>
      <c r="R11" s="544">
        <f t="shared" si="7"/>
        <v>0</v>
      </c>
      <c r="S11" s="49"/>
      <c r="T11" s="49"/>
      <c r="U11" s="386">
        <v>0</v>
      </c>
      <c r="V11" s="12"/>
      <c r="W11" s="12"/>
      <c r="X11" s="12"/>
      <c r="Y11" s="55"/>
      <c r="Z11" s="128" t="b">
        <f t="shared" si="3"/>
        <v>0</v>
      </c>
    </row>
    <row r="12" spans="1:26">
      <c r="B12" s="35" t="s">
        <v>476</v>
      </c>
      <c r="C12" s="23" t="s">
        <v>477</v>
      </c>
      <c r="D12" s="52" t="str">
        <f ca="1">IEAData2!F$38</f>
        <v>INDCOA</v>
      </c>
      <c r="E12" s="52" t="s">
        <v>980</v>
      </c>
      <c r="F12" s="53">
        <f ca="1">INDEX(Calibration2!$C$202:$S$202,MATCH($D12,Calibration2!$C$171:$S$171,0))</f>
        <v>0</v>
      </c>
      <c r="G12" s="53">
        <f ca="1">INDEX(Calibrati22!$C$202:$S$202,MATCH($D12,Calibrati22!$C$171:$S$171,0))</f>
        <v>0</v>
      </c>
      <c r="H12" s="55">
        <f>H$8-0.03</f>
        <v>0.84</v>
      </c>
      <c r="I12" s="544">
        <f t="shared" si="4"/>
        <v>0</v>
      </c>
      <c r="J12" s="544">
        <f t="shared" si="0"/>
        <v>0</v>
      </c>
      <c r="K12" s="55">
        <v>1</v>
      </c>
      <c r="L12" s="542">
        <f t="shared" si="1"/>
        <v>1.1904761904761905</v>
      </c>
      <c r="M12" s="542">
        <f t="shared" si="2"/>
        <v>1.1904761904761905</v>
      </c>
      <c r="N12" s="57">
        <v>1</v>
      </c>
      <c r="O12" s="49">
        <f t="shared" si="5"/>
        <v>0.9</v>
      </c>
      <c r="P12" s="12">
        <v>30</v>
      </c>
      <c r="Q12" s="544">
        <f t="shared" si="6"/>
        <v>0</v>
      </c>
      <c r="R12" s="544">
        <f t="shared" si="7"/>
        <v>0</v>
      </c>
      <c r="S12" s="49"/>
      <c r="T12" s="49"/>
      <c r="U12" s="386">
        <v>0</v>
      </c>
      <c r="V12" s="12"/>
      <c r="W12" s="12"/>
      <c r="X12" s="12"/>
      <c r="Y12" s="55"/>
      <c r="Z12" s="128" t="b">
        <f t="shared" si="3"/>
        <v>0</v>
      </c>
    </row>
    <row r="13" spans="1:26">
      <c r="B13" s="35" t="s">
        <v>478</v>
      </c>
      <c r="C13" s="23" t="s">
        <v>479</v>
      </c>
      <c r="D13" s="52" t="s">
        <v>655</v>
      </c>
      <c r="E13" s="52" t="s">
        <v>980</v>
      </c>
      <c r="F13" s="53">
        <f ca="1">INDEX(Calibration2!$C$202:$S$202,MATCH("IND"&amp;MID($B13,5,3),Calibration2!$C$171:$S$171,0))</f>
        <v>0</v>
      </c>
      <c r="G13" s="53">
        <f ca="1">INDEX(Calibrati22!$C$202:$S$202,MATCH("IND"&amp;MID($B13,5,3),Calibrati22!$C$171:$S$171,0))</f>
        <v>0</v>
      </c>
      <c r="H13" s="55">
        <f>H$8-0.05</f>
        <v>0.82</v>
      </c>
      <c r="I13" s="544">
        <f t="shared" si="4"/>
        <v>0</v>
      </c>
      <c r="J13" s="544">
        <f t="shared" si="0"/>
        <v>0</v>
      </c>
      <c r="K13" s="55">
        <v>1</v>
      </c>
      <c r="L13" s="542">
        <f t="shared" si="1"/>
        <v>1.2195121951219512</v>
      </c>
      <c r="M13" s="542">
        <f t="shared" si="2"/>
        <v>1.2195121951219512</v>
      </c>
      <c r="N13" s="57">
        <v>1</v>
      </c>
      <c r="O13" s="49">
        <f t="shared" si="5"/>
        <v>0.9</v>
      </c>
      <c r="P13" s="12">
        <v>30</v>
      </c>
      <c r="Q13" s="544">
        <f t="shared" si="6"/>
        <v>0</v>
      </c>
      <c r="R13" s="544">
        <f t="shared" si="7"/>
        <v>0</v>
      </c>
      <c r="S13" s="49"/>
      <c r="T13" s="49"/>
      <c r="U13" s="386">
        <v>0</v>
      </c>
      <c r="V13" s="12"/>
      <c r="W13" s="12"/>
      <c r="X13" s="12"/>
      <c r="Y13" s="55"/>
      <c r="Z13" s="128" t="b">
        <f t="shared" si="3"/>
        <v>0</v>
      </c>
    </row>
    <row r="14" spans="1:26">
      <c r="B14" s="264" t="s">
        <v>480</v>
      </c>
      <c r="C14" s="50" t="s">
        <v>481</v>
      </c>
      <c r="D14" s="52" t="str">
        <f ca="1">IEAData2!D$38</f>
        <v>INDLPG</v>
      </c>
      <c r="E14" s="52" t="s">
        <v>462</v>
      </c>
      <c r="F14" s="53">
        <f ca="1">INDEX(Calibration2!$C$200:$S$200+Calibration2!$C$203:$S$203,MATCH($D14,Calibration2!$C$171:$S$171,0))</f>
        <v>0</v>
      </c>
      <c r="G14" s="53">
        <f ca="1">INDEX(Calibrati22!$C$200:$S$200+Calibrati22!$C$203:$S$203,MATCH($D14,Calibrati22!$C$171:$S$171,0))</f>
        <v>0</v>
      </c>
      <c r="H14" s="55">
        <f>H$11</f>
        <v>0.85</v>
      </c>
      <c r="I14" s="544">
        <f t="shared" si="4"/>
        <v>0</v>
      </c>
      <c r="J14" s="544">
        <f t="shared" si="0"/>
        <v>0</v>
      </c>
      <c r="K14" s="55">
        <v>1</v>
      </c>
      <c r="L14" s="542">
        <f t="shared" si="1"/>
        <v>1.1764705882352942</v>
      </c>
      <c r="M14" s="542">
        <f t="shared" si="2"/>
        <v>1.1764705882352942</v>
      </c>
      <c r="N14" s="57">
        <v>1</v>
      </c>
      <c r="O14" s="49">
        <f t="shared" si="5"/>
        <v>0.9</v>
      </c>
      <c r="P14" s="49">
        <v>30</v>
      </c>
      <c r="Q14" s="544">
        <f t="shared" si="6"/>
        <v>0</v>
      </c>
      <c r="R14" s="544">
        <f t="shared" si="7"/>
        <v>0</v>
      </c>
      <c r="S14" s="49"/>
      <c r="T14" s="49"/>
      <c r="U14" s="386">
        <v>0</v>
      </c>
      <c r="V14" s="49"/>
      <c r="W14" s="49"/>
      <c r="X14" s="49"/>
      <c r="Y14" s="55"/>
      <c r="Z14" s="128" t="b">
        <f t="shared" si="3"/>
        <v>0</v>
      </c>
    </row>
    <row r="15" spans="1:26" ht="13.5" thickBot="1">
      <c r="B15" s="482" t="s">
        <v>1380</v>
      </c>
      <c r="C15" s="198"/>
      <c r="D15" s="198"/>
      <c r="E15" s="198"/>
      <c r="F15" s="199">
        <f ca="1">SUM(F8:F14)</f>
        <v>0</v>
      </c>
      <c r="G15" s="199">
        <f ca="1">SUM(G8:G14)</f>
        <v>0</v>
      </c>
      <c r="H15" s="199"/>
      <c r="I15" s="199">
        <f>SUM(I8:I14)</f>
        <v>0</v>
      </c>
      <c r="J15" s="199">
        <f>SUM(J8:J14)</f>
        <v>0</v>
      </c>
      <c r="K15" s="200"/>
      <c r="L15" s="199">
        <f>SUMIF($E9:$E14,"IPLP",I8:I14)</f>
        <v>0</v>
      </c>
      <c r="M15" s="199">
        <f>SUMIF($E9:$E14,"IPLP",J8:J14)</f>
        <v>0</v>
      </c>
      <c r="N15" s="200" t="s">
        <v>784</v>
      </c>
      <c r="O15" s="201"/>
      <c r="P15" s="198"/>
      <c r="Q15" s="199">
        <f>SUM(Q8:Q14)</f>
        <v>0</v>
      </c>
      <c r="R15" s="199">
        <f>SUM(R8:R14)</f>
        <v>0</v>
      </c>
      <c r="S15" s="198"/>
      <c r="T15" s="198"/>
      <c r="U15" s="439"/>
      <c r="V15" s="198"/>
      <c r="W15" s="198"/>
      <c r="X15" s="198"/>
      <c r="Y15" s="198"/>
      <c r="Z15" s="198"/>
    </row>
    <row r="16" spans="1:26">
      <c r="B16" s="266" t="s">
        <v>482</v>
      </c>
      <c r="C16" s="50" t="s">
        <v>483</v>
      </c>
      <c r="D16" s="52" t="str">
        <f ca="1">IEAData2!K$38</f>
        <v>INDHFO</v>
      </c>
      <c r="E16" s="52" t="s">
        <v>983</v>
      </c>
      <c r="F16" s="92">
        <f ca="1">INDEX(Calibration2!$C$204:$S$204,MATCH($D16,Calibration2!$C$171:$S$171,0))</f>
        <v>5.8854924958056352E-3</v>
      </c>
      <c r="G16" s="92">
        <f ca="1">INDEX(Calibrati22!$C$204:$S$204,MATCH($D16,Calibrati22!$C$171:$S$171,0))</f>
        <v>9.6709826114300533E-4</v>
      </c>
      <c r="H16" s="55">
        <v>0.81</v>
      </c>
      <c r="I16" s="544">
        <f>F16*$H16</f>
        <v>4.7672489216025651E-3</v>
      </c>
      <c r="J16" s="544">
        <f t="shared" ref="J16:J23" si="8">G16*$H16*K16</f>
        <v>7.8334959152583442E-4</v>
      </c>
      <c r="K16" s="55">
        <v>1</v>
      </c>
      <c r="L16" s="542">
        <f t="shared" ref="L16:L23" si="9">1/H16</f>
        <v>1.2345679012345678</v>
      </c>
      <c r="M16" s="542">
        <f t="shared" ref="M16:M23" si="10">1/H16/K16</f>
        <v>1.2345679012345678</v>
      </c>
      <c r="N16" s="57">
        <v>1</v>
      </c>
      <c r="O16" s="49">
        <v>1</v>
      </c>
      <c r="P16" s="12">
        <v>30</v>
      </c>
      <c r="Q16" s="544">
        <f t="shared" ref="Q16:Q23" si="11">I16/O16</f>
        <v>4.7672489216025651E-3</v>
      </c>
      <c r="R16" s="544">
        <f t="shared" ref="R16:R23" si="12">I16/$P16</f>
        <v>1.5890829738675216E-4</v>
      </c>
      <c r="S16" s="49"/>
      <c r="T16" s="49"/>
      <c r="U16" s="386">
        <v>0</v>
      </c>
      <c r="V16" s="12"/>
      <c r="W16" s="12"/>
      <c r="X16" s="12"/>
      <c r="Y16" s="54"/>
      <c r="Z16" s="128">
        <f t="shared" ref="Z16:Z23" ca="1" si="13">F16/($F$24+Tiny)</f>
        <v>5.2012395129027021E-2</v>
      </c>
    </row>
    <row r="17" spans="2:26">
      <c r="B17" s="264" t="s">
        <v>484</v>
      </c>
      <c r="C17" s="50" t="s">
        <v>485</v>
      </c>
      <c r="D17" s="52" t="str">
        <f ca="1">IEAData2!L$38</f>
        <v>INDOIL</v>
      </c>
      <c r="E17" s="52" t="s">
        <v>983</v>
      </c>
      <c r="F17" s="92">
        <f ca="1">INDEX(Calibration2!$C$204:$S$204,MATCH($D17,Calibration2!$C$171:$S$171,0))</f>
        <v>0</v>
      </c>
      <c r="G17" s="92">
        <f ca="1">INDEX(Calibrati22!$C$204:$S$204,MATCH($D17,Calibrati22!$C$171:$S$171,0))</f>
        <v>0</v>
      </c>
      <c r="H17" s="55">
        <f>H$16</f>
        <v>0.81</v>
      </c>
      <c r="I17" s="544">
        <f t="shared" ref="I17:I23" si="14">F17*H17</f>
        <v>0</v>
      </c>
      <c r="J17" s="544">
        <f t="shared" si="8"/>
        <v>0</v>
      </c>
      <c r="K17" s="55">
        <v>1</v>
      </c>
      <c r="L17" s="542">
        <f t="shared" si="9"/>
        <v>1.2345679012345678</v>
      </c>
      <c r="M17" s="542">
        <f t="shared" si="10"/>
        <v>1.2345679012345678</v>
      </c>
      <c r="N17" s="57">
        <v>1</v>
      </c>
      <c r="O17" s="49">
        <v>1</v>
      </c>
      <c r="P17" s="12">
        <v>30</v>
      </c>
      <c r="Q17" s="544">
        <f t="shared" si="11"/>
        <v>0</v>
      </c>
      <c r="R17" s="544">
        <f t="shared" si="12"/>
        <v>0</v>
      </c>
      <c r="S17" s="49"/>
      <c r="T17" s="49"/>
      <c r="U17" s="386">
        <v>0</v>
      </c>
      <c r="V17" s="12"/>
      <c r="W17" s="12"/>
      <c r="X17" s="12"/>
      <c r="Y17" s="55"/>
      <c r="Z17" s="128">
        <f t="shared" ca="1" si="13"/>
        <v>0</v>
      </c>
    </row>
    <row r="18" spans="2:26">
      <c r="B18" s="264" t="s">
        <v>486</v>
      </c>
      <c r="C18" s="50" t="s">
        <v>487</v>
      </c>
      <c r="D18" s="52" t="str">
        <f ca="1">IEAData2!C$38</f>
        <v>INDNGA</v>
      </c>
      <c r="E18" s="52" t="s">
        <v>983</v>
      </c>
      <c r="F18" s="92">
        <f ca="1">INDEX(Calibration2!$C$204:$S$204,MATCH($D18,Calibration2!$C$171:$S$171,0))</f>
        <v>2.427422194126725E-2</v>
      </c>
      <c r="G18" s="92">
        <f ca="1">INDEX(Calibrati22!$C$204:$S$204,MATCH($D18,Calibrati22!$C$171:$S$171,0))</f>
        <v>5.7018913590961267E-3</v>
      </c>
      <c r="H18" s="55">
        <f>H$16</f>
        <v>0.81</v>
      </c>
      <c r="I18" s="544">
        <f t="shared" si="14"/>
        <v>1.9662119772426476E-2</v>
      </c>
      <c r="J18" s="544">
        <f t="shared" si="8"/>
        <v>4.6185320008678629E-3</v>
      </c>
      <c r="K18" s="55">
        <v>1</v>
      </c>
      <c r="L18" s="542">
        <f t="shared" si="9"/>
        <v>1.2345679012345678</v>
      </c>
      <c r="M18" s="542">
        <f t="shared" si="10"/>
        <v>1.2345679012345678</v>
      </c>
      <c r="N18" s="57">
        <v>1</v>
      </c>
      <c r="O18" s="49">
        <v>1</v>
      </c>
      <c r="P18" s="12">
        <v>30</v>
      </c>
      <c r="Q18" s="544">
        <f t="shared" si="11"/>
        <v>1.9662119772426476E-2</v>
      </c>
      <c r="R18" s="544">
        <f t="shared" si="12"/>
        <v>6.5540399241421584E-4</v>
      </c>
      <c r="S18" s="49"/>
      <c r="T18" s="49"/>
      <c r="U18" s="386">
        <v>0</v>
      </c>
      <c r="V18" s="12"/>
      <c r="W18" s="12"/>
      <c r="X18" s="12"/>
      <c r="Y18" s="55"/>
      <c r="Z18" s="128">
        <f t="shared" ca="1" si="13"/>
        <v>0.21452077697128455</v>
      </c>
    </row>
    <row r="19" spans="2:26">
      <c r="B19" s="264" t="s">
        <v>488</v>
      </c>
      <c r="C19" s="50" t="s">
        <v>489</v>
      </c>
      <c r="D19" s="52" t="str">
        <f ca="1">'ILP0002'!$D$62</f>
        <v>ILPELC</v>
      </c>
      <c r="E19" s="52" t="s">
        <v>983</v>
      </c>
      <c r="F19" s="92">
        <f ca="1">INDEX(Calibration2!$C$204:$S$204,MATCH("IND"&amp;RIGHT($D19,3),Calibration2!$C$171:$S$171,0))</f>
        <v>3.8094780031388539E-2</v>
      </c>
      <c r="G19" s="92">
        <f ca="1">INDEX(Calibrati22!$C$204:$S$204,MATCH("IND"&amp;RIGHT($D19,3),Calibrati22!$C$171:$S$171,0))</f>
        <v>1.0480455667983573E-2</v>
      </c>
      <c r="H19" s="55">
        <v>0.96</v>
      </c>
      <c r="I19" s="544">
        <f t="shared" si="14"/>
        <v>3.6570988830132996E-2</v>
      </c>
      <c r="J19" s="544">
        <f t="shared" si="8"/>
        <v>1.0061237441264229E-2</v>
      </c>
      <c r="K19" s="55">
        <v>1</v>
      </c>
      <c r="L19" s="542">
        <f t="shared" si="9"/>
        <v>1.0416666666666667</v>
      </c>
      <c r="M19" s="542">
        <f t="shared" si="10"/>
        <v>1.0416666666666667</v>
      </c>
      <c r="N19" s="57">
        <v>1</v>
      </c>
      <c r="O19" s="49">
        <v>1</v>
      </c>
      <c r="P19" s="49">
        <v>30</v>
      </c>
      <c r="Q19" s="544">
        <f t="shared" si="11"/>
        <v>3.6570988830132996E-2</v>
      </c>
      <c r="R19" s="544">
        <f t="shared" si="12"/>
        <v>1.2190329610044333E-3</v>
      </c>
      <c r="S19" s="49"/>
      <c r="T19" s="49"/>
      <c r="U19" s="386">
        <v>0</v>
      </c>
      <c r="V19" s="49"/>
      <c r="W19" s="49"/>
      <c r="X19" s="49"/>
      <c r="Y19" s="55"/>
      <c r="Z19" s="128">
        <f t="shared" ca="1" si="13"/>
        <v>0.3366584449403372</v>
      </c>
    </row>
    <row r="20" spans="2:26">
      <c r="B20" s="264" t="s">
        <v>490</v>
      </c>
      <c r="C20" s="50" t="s">
        <v>491</v>
      </c>
      <c r="D20" s="52" t="str">
        <f ca="1">IEAData2!D$38</f>
        <v>INDLPG</v>
      </c>
      <c r="E20" s="52" t="s">
        <v>983</v>
      </c>
      <c r="F20" s="92">
        <f ca="1">INDEX(Calibration2!$C$204:$S$204,MATCH($D20,Calibration2!$C$171:$S$171,0))</f>
        <v>2.9682376593700818E-3</v>
      </c>
      <c r="G20" s="92">
        <f ca="1">INDEX(Calibrati22!$C$204:$S$204,MATCH($D20,Calibrati22!$C$171:$S$171,0))</f>
        <v>9.8163209238377042E-4</v>
      </c>
      <c r="H20" s="55">
        <f>H$16</f>
        <v>0.81</v>
      </c>
      <c r="I20" s="544">
        <f t="shared" si="14"/>
        <v>2.4042725040897663E-3</v>
      </c>
      <c r="J20" s="544">
        <f t="shared" si="8"/>
        <v>7.9512199483085407E-4</v>
      </c>
      <c r="K20" s="55">
        <v>1</v>
      </c>
      <c r="L20" s="542">
        <f t="shared" si="9"/>
        <v>1.2345679012345678</v>
      </c>
      <c r="M20" s="542">
        <f t="shared" si="10"/>
        <v>1.2345679012345678</v>
      </c>
      <c r="N20" s="57">
        <v>1</v>
      </c>
      <c r="O20" s="49">
        <v>1</v>
      </c>
      <c r="P20" s="49">
        <v>30</v>
      </c>
      <c r="Q20" s="544">
        <f t="shared" si="11"/>
        <v>2.4042725040897663E-3</v>
      </c>
      <c r="R20" s="544">
        <f t="shared" si="12"/>
        <v>8.0142416802992205E-5</v>
      </c>
      <c r="S20" s="49"/>
      <c r="T20" s="49"/>
      <c r="U20" s="386">
        <v>0</v>
      </c>
      <c r="V20" s="49"/>
      <c r="W20" s="49"/>
      <c r="X20" s="49"/>
      <c r="Y20" s="55"/>
      <c r="Z20" s="128">
        <f t="shared" ca="1" si="13"/>
        <v>2.6231475120567969E-2</v>
      </c>
    </row>
    <row r="21" spans="2:26">
      <c r="B21" s="264" t="s">
        <v>492</v>
      </c>
      <c r="C21" s="50" t="s">
        <v>493</v>
      </c>
      <c r="D21" s="52" t="str">
        <f ca="1">IEAData2!P$38</f>
        <v>INDBIO</v>
      </c>
      <c r="E21" s="52" t="s">
        <v>983</v>
      </c>
      <c r="F21" s="92">
        <f ca="1">INDEX(Calibration2!$C$204:$S$204,MATCH($D21,Calibration2!$C$171:$S$171,0))</f>
        <v>4.1026585821347779E-2</v>
      </c>
      <c r="G21" s="92">
        <f ca="1">INDEX(Calibrati22!$C$204:$S$204,MATCH($D21,Calibrati22!$C$171:$S$171,0))</f>
        <v>9.2388887833096678E-3</v>
      </c>
      <c r="H21" s="55">
        <f>H$16</f>
        <v>0.81</v>
      </c>
      <c r="I21" s="544">
        <f t="shared" si="14"/>
        <v>3.3231534515291705E-2</v>
      </c>
      <c r="J21" s="544">
        <f t="shared" si="8"/>
        <v>7.4834999144808316E-3</v>
      </c>
      <c r="K21" s="55">
        <v>1</v>
      </c>
      <c r="L21" s="542">
        <f t="shared" si="9"/>
        <v>1.2345679012345678</v>
      </c>
      <c r="M21" s="542">
        <f t="shared" si="10"/>
        <v>1.2345679012345678</v>
      </c>
      <c r="N21" s="57">
        <v>1</v>
      </c>
      <c r="O21" s="49">
        <v>1</v>
      </c>
      <c r="P21" s="49">
        <v>30</v>
      </c>
      <c r="Q21" s="544">
        <f t="shared" si="11"/>
        <v>3.3231534515291705E-2</v>
      </c>
      <c r="R21" s="544">
        <f t="shared" si="12"/>
        <v>1.1077178171763902E-3</v>
      </c>
      <c r="S21" s="49"/>
      <c r="T21" s="49"/>
      <c r="U21" s="386">
        <v>0</v>
      </c>
      <c r="V21" s="49"/>
      <c r="W21" s="49"/>
      <c r="X21" s="49"/>
      <c r="Y21" s="55"/>
      <c r="Z21" s="128">
        <f t="shared" ca="1" si="13"/>
        <v>0.36256795740638875</v>
      </c>
    </row>
    <row r="22" spans="2:26">
      <c r="B22" s="264" t="s">
        <v>494</v>
      </c>
      <c r="C22" s="50" t="s">
        <v>495</v>
      </c>
      <c r="D22" s="52" t="str">
        <f ca="1">IEAData2!F$38</f>
        <v>INDCOA</v>
      </c>
      <c r="E22" s="52" t="s">
        <v>983</v>
      </c>
      <c r="F22" s="92">
        <f ca="1">INDEX(Calibration2!$C$204:$S$204,MATCH($D22,Calibration2!$C$171:$S$171,0))</f>
        <v>9.0625639407319978E-4</v>
      </c>
      <c r="G22" s="92">
        <f ca="1">INDEX(Calibrati22!$C$204:$S$204,MATCH($D22,Calibrati22!$C$171:$S$171,0))</f>
        <v>8.4682695240209562E-4</v>
      </c>
      <c r="H22" s="55">
        <f>H$16</f>
        <v>0.81</v>
      </c>
      <c r="I22" s="544">
        <f t="shared" si="14"/>
        <v>7.3406767919929189E-4</v>
      </c>
      <c r="J22" s="544">
        <f t="shared" si="8"/>
        <v>6.859298314456975E-4</v>
      </c>
      <c r="K22" s="55">
        <v>1</v>
      </c>
      <c r="L22" s="542">
        <f t="shared" si="9"/>
        <v>1.2345679012345678</v>
      </c>
      <c r="M22" s="542">
        <f t="shared" si="10"/>
        <v>1.2345679012345678</v>
      </c>
      <c r="N22" s="57">
        <v>1</v>
      </c>
      <c r="O22" s="49">
        <v>1</v>
      </c>
      <c r="P22" s="49">
        <v>30</v>
      </c>
      <c r="Q22" s="544">
        <f t="shared" si="11"/>
        <v>7.3406767919929189E-4</v>
      </c>
      <c r="R22" s="544">
        <f t="shared" si="12"/>
        <v>2.4468922639976396E-5</v>
      </c>
      <c r="S22" s="49"/>
      <c r="T22" s="49"/>
      <c r="U22" s="386">
        <v>0</v>
      </c>
      <c r="V22" s="49"/>
      <c r="W22" s="49"/>
      <c r="X22" s="49"/>
      <c r="Y22" s="55"/>
      <c r="Z22" s="128">
        <f t="shared" ca="1" si="13"/>
        <v>8.0089415950041418E-3</v>
      </c>
    </row>
    <row r="23" spans="2:26">
      <c r="B23" s="264" t="s">
        <v>496</v>
      </c>
      <c r="C23" s="50" t="s">
        <v>497</v>
      </c>
      <c r="D23" s="52" t="str">
        <f ca="1">IEAData2!G$38</f>
        <v>INDCOK</v>
      </c>
      <c r="E23" s="52" t="s">
        <v>983</v>
      </c>
      <c r="F23" s="92">
        <f ca="1">INDEX(Calibration2!$C$204:$S$204,MATCH($D23,Calibration2!$C$171:$S$171,0))</f>
        <v>0</v>
      </c>
      <c r="G23" s="92">
        <f ca="1">INDEX(Calibrati22!$C$204:$S$204,MATCH($D23,Calibrati22!$C$171:$S$171,0))</f>
        <v>0</v>
      </c>
      <c r="H23" s="55">
        <f>H$16</f>
        <v>0.81</v>
      </c>
      <c r="I23" s="544">
        <f t="shared" si="14"/>
        <v>0</v>
      </c>
      <c r="J23" s="544">
        <f t="shared" si="8"/>
        <v>0</v>
      </c>
      <c r="K23" s="55">
        <v>1</v>
      </c>
      <c r="L23" s="542">
        <f t="shared" si="9"/>
        <v>1.2345679012345678</v>
      </c>
      <c r="M23" s="542">
        <f t="shared" si="10"/>
        <v>1.2345679012345678</v>
      </c>
      <c r="N23" s="57">
        <v>1</v>
      </c>
      <c r="O23" s="49">
        <v>1</v>
      </c>
      <c r="P23" s="49">
        <v>30</v>
      </c>
      <c r="Q23" s="544">
        <f t="shared" si="11"/>
        <v>0</v>
      </c>
      <c r="R23" s="544">
        <f t="shared" si="12"/>
        <v>0</v>
      </c>
      <c r="S23" s="49"/>
      <c r="T23" s="49"/>
      <c r="U23" s="386">
        <v>0</v>
      </c>
      <c r="V23" s="49"/>
      <c r="W23" s="49"/>
      <c r="X23" s="49"/>
      <c r="Y23" s="55"/>
      <c r="Z23" s="128">
        <f t="shared" ca="1" si="13"/>
        <v>0</v>
      </c>
    </row>
    <row r="24" spans="2:26">
      <c r="B24" s="192" t="s">
        <v>902</v>
      </c>
      <c r="C24" s="198"/>
      <c r="D24" s="198"/>
      <c r="E24" s="198"/>
      <c r="F24" s="199">
        <f>SUM(F16:F23)</f>
        <v>0.11315557434325248</v>
      </c>
      <c r="G24" s="199">
        <f>SUM(G16:G23)</f>
        <v>2.821679311631824E-2</v>
      </c>
      <c r="H24" s="199"/>
      <c r="I24" s="199">
        <f>SUM(I16:I23)</f>
        <v>9.7370232222742797E-2</v>
      </c>
      <c r="J24" s="199">
        <f>SUM(J16:J23)</f>
        <v>2.4427670774415312E-2</v>
      </c>
      <c r="K24" s="198"/>
      <c r="L24" s="200"/>
      <c r="M24" s="200"/>
      <c r="N24" s="200"/>
      <c r="O24" s="201"/>
      <c r="P24" s="198"/>
      <c r="Q24" s="199">
        <f>SUM(Q16:Q23)</f>
        <v>9.7370232222742797E-2</v>
      </c>
      <c r="R24" s="199">
        <f>SUM(R16:R23)</f>
        <v>3.2456744074247602E-3</v>
      </c>
      <c r="S24" s="198"/>
      <c r="T24" s="198"/>
      <c r="U24" s="198"/>
      <c r="V24" s="198"/>
      <c r="W24" s="198"/>
      <c r="X24" s="198"/>
      <c r="Y24" s="198"/>
      <c r="Z24" s="198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12"/>
  <dimension ref="A1:X44"/>
  <sheetViews>
    <sheetView zoomScale="75" workbookViewId="0">
      <selection activeCell="E51" sqref="E51"/>
    </sheetView>
  </sheetViews>
  <sheetFormatPr defaultColWidth="8.85546875" defaultRowHeight="12.75"/>
  <cols>
    <col min="1" max="1" width="8.85546875" customWidth="1"/>
    <col min="2" max="2" width="25.5703125" customWidth="1"/>
    <col min="3" max="3" width="32.85546875" customWidth="1"/>
    <col min="4" max="5" width="10.7109375" customWidth="1"/>
    <col min="6" max="6" width="7.42578125" customWidth="1"/>
    <col min="7" max="27" width="8.85546875" customWidth="1"/>
    <col min="28" max="28" width="9.7109375" bestFit="1" customWidth="1"/>
  </cols>
  <sheetData>
    <row r="1" spans="1:24" ht="18">
      <c r="A1" s="5" t="s">
        <v>675</v>
      </c>
      <c r="E1" s="216"/>
      <c r="F1" s="216"/>
    </row>
    <row r="2" spans="1:24">
      <c r="E2" s="216"/>
      <c r="F2" s="216"/>
    </row>
    <row r="3" spans="1:24">
      <c r="E3" s="216"/>
      <c r="F3" s="216"/>
    </row>
    <row r="4" spans="1:24">
      <c r="E4" s="216"/>
      <c r="F4" s="216"/>
      <c r="Q4" s="12">
        <v>1.01</v>
      </c>
      <c r="R4" t="s">
        <v>146</v>
      </c>
    </row>
    <row r="5" spans="1:24" ht="18">
      <c r="A5" s="8"/>
      <c r="B5" s="10"/>
      <c r="C5" s="11"/>
      <c r="E5" s="216"/>
      <c r="F5" s="216"/>
      <c r="I5" t="s">
        <v>784</v>
      </c>
    </row>
    <row r="6" spans="1:24" ht="18">
      <c r="B6" s="86" t="s">
        <v>11</v>
      </c>
      <c r="C6" s="88"/>
      <c r="D6" s="123"/>
      <c r="E6" s="225" t="str">
        <f>"~FI_T: "&amp;Region</f>
        <v>~FI_T: FIM</v>
      </c>
      <c r="F6" s="225"/>
      <c r="G6" s="1" t="s">
        <v>784</v>
      </c>
      <c r="I6" s="1" t="s">
        <v>784</v>
      </c>
      <c r="K6" s="1" t="s">
        <v>784</v>
      </c>
      <c r="M6" s="1" t="s">
        <v>784</v>
      </c>
      <c r="O6" s="1"/>
      <c r="P6" s="1"/>
    </row>
    <row r="7" spans="1:24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CONCATENATE("\I:",IEA_Year," final energy")</f>
        <v>\I:2010 final energy</v>
      </c>
      <c r="H7" s="64" t="str">
        <f ca="1">CONCATENATE("\I:",AuxYear," final energy")</f>
        <v>\I:2017 final energy</v>
      </c>
      <c r="I7" s="45" t="s">
        <v>50</v>
      </c>
      <c r="J7" s="45" t="str">
        <f ca="1">"EFF~"&amp;AuxYear</f>
        <v>EFF~2017</v>
      </c>
      <c r="K7" s="64" t="str">
        <f ca="1">CONCATENATE("\I:",BaseYear," Service Demand")</f>
        <v>\I:2010 Service Demand</v>
      </c>
      <c r="L7" s="64" t="str">
        <f ca="1">CONCATENATE("\I:",AuxYear," Service Demand")</f>
        <v>\I:2017 Service Demand</v>
      </c>
      <c r="M7" s="64" t="s">
        <v>390</v>
      </c>
      <c r="N7" s="45" t="s">
        <v>79</v>
      </c>
      <c r="O7" s="45" t="s">
        <v>556</v>
      </c>
      <c r="P7" s="45" t="str">
        <f ca="1">"RESID~"&amp;BaseYear</f>
        <v>RESID~2010</v>
      </c>
      <c r="Q7" s="45" t="str">
        <f ca="1">"RESID~"&amp;AuxYear</f>
        <v>RESID~2017</v>
      </c>
      <c r="R7" s="45" t="str">
        <f ca="1">"RESID~"&amp;CEILING(AuxYear+12,5)</f>
        <v>RESID~2030</v>
      </c>
      <c r="S7" s="45" t="str">
        <f ca="1">"RESID~"&amp;CEILING(AuxYear+27,5)</f>
        <v>RESID~2045</v>
      </c>
      <c r="T7" s="45" t="s">
        <v>52</v>
      </c>
      <c r="U7" s="45" t="s">
        <v>51</v>
      </c>
      <c r="V7" s="45" t="s">
        <v>499</v>
      </c>
      <c r="W7" s="79" t="s">
        <v>1379</v>
      </c>
      <c r="X7" s="126" t="s">
        <v>959</v>
      </c>
    </row>
    <row r="8" spans="1:24">
      <c r="B8" s="35" t="str">
        <f>"ISTM"&amp;RIGHT(D8,3)&amp;"000"</f>
        <v>ISTMNGA000</v>
      </c>
      <c r="C8" s="300" t="s">
        <v>684</v>
      </c>
      <c r="D8" s="9" t="s">
        <v>906</v>
      </c>
      <c r="E8" s="52"/>
      <c r="F8" s="336">
        <f ca="1">MATCH($D8,Calibration2!$C$218:$U$218,0)</f>
        <v>2</v>
      </c>
      <c r="G8" s="21">
        <f ca="1">INDEX(Calibration2!$C$225:$U$225,F8)</f>
        <v>0.22832852592972419</v>
      </c>
      <c r="H8" s="21">
        <f ca="1">INDEX(Calibrati22!$C$225:$U$225,$F8)</f>
        <v>9.551532649476184E-2</v>
      </c>
      <c r="I8" s="17">
        <f ca="1">INDEX(Calibration2!$C$219:$U$219,F8)</f>
        <v>0.82</v>
      </c>
      <c r="J8" s="542">
        <f>I8*M8</f>
        <v>0.82</v>
      </c>
      <c r="K8" s="62">
        <f>G8*I8</f>
        <v>0.18722939126237381</v>
      </c>
      <c r="L8" s="62">
        <f>H8*J8</f>
        <v>7.83225677257047E-2</v>
      </c>
      <c r="M8" s="31">
        <v>1</v>
      </c>
      <c r="N8" s="12">
        <v>0.75</v>
      </c>
      <c r="O8" s="12">
        <v>30</v>
      </c>
      <c r="P8" s="544">
        <f>K8/$N8</f>
        <v>0.24963918834983176</v>
      </c>
      <c r="Q8" s="544">
        <f>L8/$N8</f>
        <v>0.1044300903009396</v>
      </c>
      <c r="R8" s="49"/>
      <c r="S8" s="52">
        <v>0</v>
      </c>
      <c r="T8" s="12"/>
      <c r="U8" s="12"/>
      <c r="V8" s="31"/>
      <c r="W8" s="31">
        <v>1</v>
      </c>
      <c r="X8" s="127">
        <f>G8/$G$42</f>
        <v>0.22669147950965374</v>
      </c>
    </row>
    <row r="9" spans="1:24">
      <c r="B9" s="9"/>
      <c r="C9" s="300"/>
      <c r="D9" s="9"/>
      <c r="E9" s="52" t="s">
        <v>946</v>
      </c>
      <c r="F9" s="337"/>
      <c r="G9" s="21"/>
      <c r="H9" s="21"/>
      <c r="I9" s="17"/>
      <c r="J9" s="542"/>
      <c r="K9" s="62"/>
      <c r="L9" s="9"/>
      <c r="M9" s="31"/>
      <c r="N9" s="12"/>
      <c r="O9" s="12"/>
      <c r="P9" s="544"/>
      <c r="Q9" s="544"/>
      <c r="R9" s="49"/>
      <c r="S9" s="52"/>
      <c r="T9" s="12"/>
      <c r="U9" s="12"/>
      <c r="V9" s="31"/>
      <c r="W9" s="31"/>
      <c r="X9" s="127"/>
    </row>
    <row r="10" spans="1:24">
      <c r="B10" s="35" t="str">
        <f>"ISTM"&amp;RIGHT(D10,3)&amp;"000"</f>
        <v>ISTMLPG000</v>
      </c>
      <c r="C10" s="300" t="s">
        <v>688</v>
      </c>
      <c r="D10" s="9" t="s">
        <v>907</v>
      </c>
      <c r="E10" s="52"/>
      <c r="F10" s="336">
        <f ca="1">MATCH($D10,Calibration2!$C$218:$U$218,0)</f>
        <v>3</v>
      </c>
      <c r="G10" s="21">
        <f ca="1">INDEX(Calibration2!$C$225:$U$225,F10)</f>
        <v>4.3839537937799378E-2</v>
      </c>
      <c r="H10" s="21">
        <f ca="1">INDEX(Calibrati22!$C$225:$U$225,$F10)</f>
        <v>1.9393588543794454E-2</v>
      </c>
      <c r="I10" s="17">
        <f ca="1">INDEX(Calibration2!$C$219:$U$219,F10)</f>
        <v>0.82</v>
      </c>
      <c r="J10" s="542">
        <f>I10*M10</f>
        <v>0.82</v>
      </c>
      <c r="K10" s="62">
        <f>G10*I10</f>
        <v>3.5948421108995487E-2</v>
      </c>
      <c r="L10" s="62">
        <f>H10*J10</f>
        <v>1.590274260591145E-2</v>
      </c>
      <c r="M10" s="31">
        <v>1</v>
      </c>
      <c r="N10" s="12">
        <v>0.75</v>
      </c>
      <c r="O10" s="12">
        <v>30</v>
      </c>
      <c r="P10" s="544">
        <f>K10/N10</f>
        <v>4.7931228145327319E-2</v>
      </c>
      <c r="Q10" s="544">
        <f>L10/$N10</f>
        <v>2.1203656807881933E-2</v>
      </c>
      <c r="R10" s="49"/>
      <c r="S10" s="52">
        <v>0</v>
      </c>
      <c r="T10" s="12"/>
      <c r="U10" s="12"/>
      <c r="V10" s="55"/>
      <c r="W10" s="55">
        <v>1</v>
      </c>
      <c r="X10" s="127">
        <f>G10/$G$42</f>
        <v>4.3525221720207244E-2</v>
      </c>
    </row>
    <row r="11" spans="1:24">
      <c r="B11" s="9"/>
      <c r="C11" s="300"/>
      <c r="D11" s="9"/>
      <c r="E11" s="52" t="s">
        <v>946</v>
      </c>
      <c r="F11" s="337"/>
      <c r="G11" s="21"/>
      <c r="H11" s="21"/>
      <c r="I11" s="17"/>
      <c r="J11" s="542"/>
      <c r="K11" s="62"/>
      <c r="L11" s="9"/>
      <c r="M11" s="31"/>
      <c r="N11" s="12"/>
      <c r="O11" s="12"/>
      <c r="P11" s="544"/>
      <c r="Q11" s="544"/>
      <c r="R11" s="49"/>
      <c r="S11" s="52"/>
      <c r="T11" s="12"/>
      <c r="U11" s="12"/>
      <c r="V11" s="31"/>
      <c r="W11" s="31"/>
      <c r="X11" s="127"/>
    </row>
    <row r="12" spans="1:24">
      <c r="B12" s="35" t="str">
        <f>"ISTM"&amp;RIGHT(D12,3)&amp;"000"</f>
        <v>ISTMCOA000</v>
      </c>
      <c r="C12" s="300" t="s">
        <v>685</v>
      </c>
      <c r="D12" s="9" t="s">
        <v>909</v>
      </c>
      <c r="E12" s="52"/>
      <c r="F12" s="336">
        <f ca="1">MATCH($D12,Calibration2!$C$218:$U$218,0)</f>
        <v>5</v>
      </c>
      <c r="G12" s="21">
        <f ca="1">INDEX(Calibration2!$C$225:$U$225,F12)</f>
        <v>6.451168705650781E-2</v>
      </c>
      <c r="H12" s="21">
        <f ca="1">INDEX(Calibrati22!$C$225:$U$225,$F12)</f>
        <v>1.5006505907127189E-2</v>
      </c>
      <c r="I12" s="17">
        <f ca="1">INDEX(Calibration2!$C$219:$U$219,F12)</f>
        <v>0.82</v>
      </c>
      <c r="J12" s="542">
        <f>I12*M12</f>
        <v>0.82</v>
      </c>
      <c r="K12" s="62">
        <f>G12*I12</f>
        <v>5.28995833863364E-2</v>
      </c>
      <c r="L12" s="62">
        <f>H12*J12</f>
        <v>1.2305334843844294E-2</v>
      </c>
      <c r="M12" s="31">
        <v>1</v>
      </c>
      <c r="N12" s="12">
        <v>0.75</v>
      </c>
      <c r="O12" s="12">
        <v>30</v>
      </c>
      <c r="P12" s="544">
        <f>K12/N12</f>
        <v>7.0532777848448538E-2</v>
      </c>
      <c r="Q12" s="544">
        <f>L12/$N12</f>
        <v>1.6407113125125727E-2</v>
      </c>
      <c r="R12" s="49"/>
      <c r="S12" s="52">
        <v>0</v>
      </c>
      <c r="T12" s="12"/>
      <c r="U12" s="12"/>
      <c r="V12" s="55"/>
      <c r="W12" s="55">
        <v>1</v>
      </c>
      <c r="X12" s="127">
        <f>G12/$G$42</f>
        <v>6.4049157786813901E-2</v>
      </c>
    </row>
    <row r="13" spans="1:24">
      <c r="B13" s="9"/>
      <c r="C13" s="300"/>
      <c r="D13" s="9"/>
      <c r="E13" s="52" t="s">
        <v>946</v>
      </c>
      <c r="F13" s="337"/>
      <c r="G13" s="21"/>
      <c r="H13" s="21"/>
      <c r="I13" s="17"/>
      <c r="J13" s="542"/>
      <c r="K13" s="62"/>
      <c r="L13" s="9"/>
      <c r="M13" s="31"/>
      <c r="N13" s="12"/>
      <c r="O13" s="12"/>
      <c r="P13" s="544"/>
      <c r="Q13" s="544"/>
      <c r="R13" s="49"/>
      <c r="S13" s="52"/>
      <c r="T13" s="12"/>
      <c r="U13" s="12"/>
      <c r="V13" s="31"/>
      <c r="W13" s="31"/>
      <c r="X13" s="127"/>
    </row>
    <row r="14" spans="1:24">
      <c r="B14" s="35" t="str">
        <f>"ISTM"&amp;RIGHT(D14,3)&amp;"000"</f>
        <v>ISTMCOK000</v>
      </c>
      <c r="C14" s="520" t="s">
        <v>689</v>
      </c>
      <c r="D14" s="9" t="s">
        <v>910</v>
      </c>
      <c r="E14" s="52"/>
      <c r="F14" s="336">
        <f ca="1">MATCH($D14,Calibration2!$C$218:$U$218,0)</f>
        <v>6</v>
      </c>
      <c r="G14" s="21">
        <f ca="1">INDEX(Calibration2!$C$225:$U$225,F14)</f>
        <v>0</v>
      </c>
      <c r="H14" s="21">
        <f ca="1">INDEX(Calibrati22!$C$225:$U$225,$F14)</f>
        <v>0</v>
      </c>
      <c r="I14" s="17">
        <f ca="1">INDEX(Calibration2!$C$219:$U$219,F14)</f>
        <v>0.82</v>
      </c>
      <c r="J14" s="542">
        <f>I14*M14</f>
        <v>0.82</v>
      </c>
      <c r="K14" s="62">
        <f>G14*I14</f>
        <v>0</v>
      </c>
      <c r="L14" s="62">
        <f>H14*J14</f>
        <v>0</v>
      </c>
      <c r="M14" s="31">
        <v>1</v>
      </c>
      <c r="N14" s="12">
        <v>0.75</v>
      </c>
      <c r="O14" s="12">
        <v>30</v>
      </c>
      <c r="P14" s="544">
        <f>K14/N14</f>
        <v>0</v>
      </c>
      <c r="Q14" s="544">
        <f>L14/$N14</f>
        <v>0</v>
      </c>
      <c r="R14" s="49"/>
      <c r="S14" s="52">
        <v>0</v>
      </c>
      <c r="T14" s="12"/>
      <c r="U14" s="12"/>
      <c r="V14" s="31"/>
      <c r="W14" s="31">
        <v>1</v>
      </c>
      <c r="X14" s="127">
        <f>G14/$G$42</f>
        <v>0</v>
      </c>
    </row>
    <row r="15" spans="1:24">
      <c r="B15" s="9"/>
      <c r="C15" s="300"/>
      <c r="D15" s="9"/>
      <c r="E15" s="52" t="s">
        <v>946</v>
      </c>
      <c r="F15" s="337"/>
      <c r="G15" s="21"/>
      <c r="H15" s="21"/>
      <c r="I15" s="17"/>
      <c r="J15" s="542"/>
      <c r="K15" s="62"/>
      <c r="L15" s="9"/>
      <c r="M15" s="31"/>
      <c r="N15" s="12"/>
      <c r="O15" s="12"/>
      <c r="P15" s="544"/>
      <c r="Q15" s="544"/>
      <c r="R15" s="49"/>
      <c r="S15" s="52"/>
      <c r="T15" s="12"/>
      <c r="U15" s="12"/>
      <c r="V15" s="31"/>
      <c r="W15" s="31"/>
      <c r="X15" s="127"/>
    </row>
    <row r="16" spans="1:24">
      <c r="B16" s="35" t="str">
        <f>"ISTM"&amp;RIGHT(D16,3)&amp;"000"</f>
        <v>ISTMCOG000</v>
      </c>
      <c r="C16" s="520" t="s">
        <v>682</v>
      </c>
      <c r="D16" s="9" t="s">
        <v>911</v>
      </c>
      <c r="E16" s="52"/>
      <c r="F16" s="336">
        <f ca="1">MATCH($D16,Calibration2!$C$218:$U$218,0)</f>
        <v>7</v>
      </c>
      <c r="G16" s="21">
        <f ca="1">INDEX(Calibration2!$C$225:$U$225,F16)</f>
        <v>0</v>
      </c>
      <c r="H16" s="21">
        <f ca="1">INDEX(Calibrati22!$C$225:$U$225,$F16)</f>
        <v>0</v>
      </c>
      <c r="I16" s="17">
        <f ca="1">INDEX(Calibration2!$C$219:$U$219,F16)</f>
        <v>0.82</v>
      </c>
      <c r="J16" s="542">
        <f>I16*M16</f>
        <v>0.82</v>
      </c>
      <c r="K16" s="62">
        <f>G16*I16</f>
        <v>0</v>
      </c>
      <c r="L16" s="62">
        <f>H16*J16</f>
        <v>0</v>
      </c>
      <c r="M16" s="31">
        <v>1</v>
      </c>
      <c r="N16" s="12">
        <v>0.75</v>
      </c>
      <c r="O16" s="12">
        <v>30</v>
      </c>
      <c r="P16" s="544">
        <f>K16/N16</f>
        <v>0</v>
      </c>
      <c r="Q16" s="544">
        <f>L16/$N16</f>
        <v>0</v>
      </c>
      <c r="R16" s="49"/>
      <c r="S16" s="52">
        <v>0</v>
      </c>
      <c r="T16" s="12"/>
      <c r="U16" s="12"/>
      <c r="V16" s="31"/>
      <c r="W16" s="31">
        <v>1</v>
      </c>
      <c r="X16" s="127">
        <f>G16/$G$42</f>
        <v>0</v>
      </c>
    </row>
    <row r="17" spans="1:24">
      <c r="B17" s="9"/>
      <c r="C17" s="300"/>
      <c r="D17" s="9"/>
      <c r="E17" s="52" t="s">
        <v>946</v>
      </c>
      <c r="F17" s="337"/>
      <c r="G17" s="21"/>
      <c r="H17" s="21"/>
      <c r="I17" s="17"/>
      <c r="J17" s="542"/>
      <c r="K17" s="62"/>
      <c r="L17" s="9"/>
      <c r="M17" s="31"/>
      <c r="N17" s="12"/>
      <c r="O17" s="12"/>
      <c r="P17" s="544"/>
      <c r="Q17" s="544"/>
      <c r="R17" s="49"/>
      <c r="S17" s="52"/>
      <c r="T17" s="12"/>
      <c r="U17" s="12"/>
      <c r="V17" s="31"/>
      <c r="W17" s="31"/>
      <c r="X17" s="127"/>
    </row>
    <row r="18" spans="1:24">
      <c r="B18" s="35" t="str">
        <f>"ISTM"&amp;RIGHT(D18,3)&amp;"000"</f>
        <v>ISTMBFG000</v>
      </c>
      <c r="C18" s="300" t="s">
        <v>683</v>
      </c>
      <c r="D18" s="9" t="s">
        <v>912</v>
      </c>
      <c r="E18" s="52"/>
      <c r="F18" s="336">
        <f ca="1">MATCH($D18,Calibration2!$C$218:$U$218,0)</f>
        <v>8</v>
      </c>
      <c r="G18" s="21">
        <f ca="1">INDEX(Calibration2!$C$225:$U$225,F18)</f>
        <v>0</v>
      </c>
      <c r="H18" s="21">
        <f ca="1">INDEX(Calibrati22!$C$225:$U$225,$F18)</f>
        <v>0</v>
      </c>
      <c r="I18" s="17">
        <f ca="1">INDEX(Calibration2!$C$219:$U$219,F18)</f>
        <v>0.82</v>
      </c>
      <c r="J18" s="542">
        <f>I18*M18</f>
        <v>0.82</v>
      </c>
      <c r="K18" s="62">
        <f>G18*I18</f>
        <v>0</v>
      </c>
      <c r="L18" s="62">
        <f>H18*J18</f>
        <v>0</v>
      </c>
      <c r="M18" s="31">
        <v>1</v>
      </c>
      <c r="N18" s="12">
        <v>0.75</v>
      </c>
      <c r="O18" s="12">
        <v>30</v>
      </c>
      <c r="P18" s="544">
        <f>K18/N18</f>
        <v>0</v>
      </c>
      <c r="Q18" s="544">
        <f>L18/$N18</f>
        <v>0</v>
      </c>
      <c r="R18" s="49"/>
      <c r="S18" s="52">
        <v>0</v>
      </c>
      <c r="T18" s="12"/>
      <c r="U18" s="12"/>
      <c r="V18" s="55"/>
      <c r="W18" s="55">
        <v>1</v>
      </c>
      <c r="X18" s="127">
        <f>G18/$G$42</f>
        <v>0</v>
      </c>
    </row>
    <row r="19" spans="1:24">
      <c r="B19" s="9"/>
      <c r="C19" s="300"/>
      <c r="D19" s="9"/>
      <c r="E19" s="52" t="s">
        <v>946</v>
      </c>
      <c r="F19" s="337"/>
      <c r="G19" s="21"/>
      <c r="H19" s="21"/>
      <c r="I19" s="17"/>
      <c r="J19" s="542"/>
      <c r="K19" s="62"/>
      <c r="L19" s="9"/>
      <c r="M19" s="31"/>
      <c r="N19" s="12"/>
      <c r="O19" s="12"/>
      <c r="P19" s="544"/>
      <c r="Q19" s="544"/>
      <c r="R19" s="49"/>
      <c r="S19" s="52"/>
      <c r="T19" s="12"/>
      <c r="U19" s="12"/>
      <c r="V19" s="31"/>
      <c r="W19" s="31"/>
      <c r="X19" s="127"/>
    </row>
    <row r="20" spans="1:24">
      <c r="B20" s="35" t="str">
        <f>"ISTM"&amp;RIGHT(D20,3)&amp;"000"</f>
        <v>ISTMBCO000</v>
      </c>
      <c r="C20" s="300" t="s">
        <v>1161</v>
      </c>
      <c r="D20" s="9" t="s">
        <v>1150</v>
      </c>
      <c r="E20" s="52"/>
      <c r="F20" s="336">
        <f ca="1">MATCH($D20,Calibration2!$C$218:$U$218,0)</f>
        <v>9</v>
      </c>
      <c r="G20" s="21">
        <f ca="1">INDEX(Calibration2!$C$225:$U$225,F20)</f>
        <v>1.0999999999999999E-2</v>
      </c>
      <c r="H20" s="21">
        <f ca="1">INDEX(Calibrati22!$C$225:$U$225,$F20)</f>
        <v>2E-3</v>
      </c>
      <c r="I20" s="17">
        <f ca="1">INDEX(Calibration2!$C$219:$U$219,F20)</f>
        <v>0.82</v>
      </c>
      <c r="J20" s="542">
        <f>I20*M20</f>
        <v>0.82</v>
      </c>
      <c r="K20" s="62">
        <f>G20*I20</f>
        <v>9.0199999999999985E-3</v>
      </c>
      <c r="L20" s="62">
        <f>H20*J20</f>
        <v>1.64E-3</v>
      </c>
      <c r="M20" s="31">
        <v>1</v>
      </c>
      <c r="N20" s="12">
        <v>0.75</v>
      </c>
      <c r="O20" s="12">
        <v>30</v>
      </c>
      <c r="P20" s="544">
        <f>K20/N20</f>
        <v>1.2026666666666665E-2</v>
      </c>
      <c r="Q20" s="544">
        <f>L20/$N20</f>
        <v>2.1866666666666666E-3</v>
      </c>
      <c r="R20" s="49"/>
      <c r="S20" s="52">
        <v>0</v>
      </c>
      <c r="T20" s="12"/>
      <c r="U20" s="12"/>
      <c r="V20" s="55"/>
      <c r="W20" s="55">
        <v>1</v>
      </c>
      <c r="X20" s="127">
        <f>G20/$G$42</f>
        <v>1.0921133329497701E-2</v>
      </c>
    </row>
    <row r="21" spans="1:24">
      <c r="B21" s="9"/>
      <c r="C21" s="300"/>
      <c r="D21" s="9"/>
      <c r="E21" s="52" t="s">
        <v>946</v>
      </c>
      <c r="F21" s="337"/>
      <c r="G21" s="21"/>
      <c r="H21" s="21"/>
      <c r="I21" s="17"/>
      <c r="J21" s="542"/>
      <c r="K21" s="62"/>
      <c r="L21" s="9"/>
      <c r="M21" s="31"/>
      <c r="N21" s="12"/>
      <c r="O21" s="12"/>
      <c r="P21" s="544"/>
      <c r="Q21" s="544"/>
      <c r="R21" s="49"/>
      <c r="S21" s="52"/>
      <c r="T21" s="12"/>
      <c r="U21" s="12"/>
      <c r="V21" s="31"/>
      <c r="W21" s="31"/>
      <c r="X21" s="127"/>
    </row>
    <row r="22" spans="1:24" s="15" customFormat="1">
      <c r="A22" s="65"/>
      <c r="B22" s="35" t="str">
        <f>"ISTM"&amp;RIGHT(D22,3)&amp;"000"</f>
        <v>ISTMHFO000</v>
      </c>
      <c r="C22" s="520" t="s">
        <v>680</v>
      </c>
      <c r="D22" s="9" t="s">
        <v>913</v>
      </c>
      <c r="E22" s="52"/>
      <c r="F22" s="336">
        <f ca="1">MATCH($D22,Calibration2!$C$218:$U$218,0)</f>
        <v>10</v>
      </c>
      <c r="G22" s="21">
        <f ca="1">INDEX(Calibration2!$C$225:$U$225,F22)</f>
        <v>5.6424451263091924E-2</v>
      </c>
      <c r="H22" s="21">
        <f ca="1">INDEX(Calibrati22!$C$225:$U$225,$F22)</f>
        <v>4.5142930966028831E-2</v>
      </c>
      <c r="I22" s="17">
        <f ca="1">INDEX(Calibration2!$C$219:$U$219,F22)</f>
        <v>0.82</v>
      </c>
      <c r="J22" s="542">
        <f>I22*M22</f>
        <v>0.82</v>
      </c>
      <c r="K22" s="544">
        <f>G22*I22</f>
        <v>4.6268050035735378E-2</v>
      </c>
      <c r="L22" s="62">
        <f>H22*J22</f>
        <v>3.7017203392143642E-2</v>
      </c>
      <c r="M22" s="55">
        <v>1</v>
      </c>
      <c r="N22" s="49">
        <v>0.75</v>
      </c>
      <c r="O22" s="49">
        <v>30</v>
      </c>
      <c r="P22" s="544">
        <f>K22/N22</f>
        <v>6.1690733380980502E-2</v>
      </c>
      <c r="Q22" s="544">
        <f>L22/$N22</f>
        <v>4.9356271189524854E-2</v>
      </c>
      <c r="R22" s="49"/>
      <c r="S22" s="52">
        <v>0</v>
      </c>
      <c r="T22" s="49"/>
      <c r="U22" s="49"/>
      <c r="V22" s="55"/>
      <c r="W22" s="55">
        <v>1</v>
      </c>
      <c r="X22" s="127">
        <f>G22/$G$42</f>
        <v>5.6019905026179262E-2</v>
      </c>
    </row>
    <row r="23" spans="1:24">
      <c r="B23" s="9"/>
      <c r="C23" s="300"/>
      <c r="D23" s="9"/>
      <c r="E23" s="52" t="s">
        <v>946</v>
      </c>
      <c r="F23" s="337"/>
      <c r="G23" s="21"/>
      <c r="H23" s="21"/>
      <c r="I23" s="17"/>
      <c r="J23" s="542"/>
      <c r="K23" s="62"/>
      <c r="L23" s="9"/>
      <c r="M23" s="31"/>
      <c r="N23" s="12"/>
      <c r="O23" s="12"/>
      <c r="P23" s="544"/>
      <c r="Q23" s="544"/>
      <c r="R23" s="49"/>
      <c r="S23" s="52"/>
      <c r="T23" s="12"/>
      <c r="U23" s="12"/>
      <c r="V23" s="31"/>
      <c r="W23" s="31"/>
      <c r="X23" s="127"/>
    </row>
    <row r="24" spans="1:24">
      <c r="B24" s="35" t="str">
        <f>"ISTM"&amp;RIGHT(D24,3)&amp;"000"</f>
        <v>ISTMOIL000</v>
      </c>
      <c r="C24" s="520" t="s">
        <v>681</v>
      </c>
      <c r="D24" s="9" t="s">
        <v>826</v>
      </c>
      <c r="E24" s="52"/>
      <c r="F24" s="336">
        <f ca="1">MATCH($D24,Calibration2!$C$218:$U$218,0)</f>
        <v>11</v>
      </c>
      <c r="G24" s="21">
        <f ca="1">INDEX(Calibration2!$C$225:$U$225,F24)</f>
        <v>2.5913922546045479E-2</v>
      </c>
      <c r="H24" s="21">
        <f ca="1">INDEX(Calibrati22!$C$225:$U$225,$F24)</f>
        <v>1.1707876419428975E-2</v>
      </c>
      <c r="I24" s="17">
        <f ca="1">INDEX(Calibration2!$C$219:$U$219,F24)</f>
        <v>0.82</v>
      </c>
      <c r="J24" s="542">
        <f>I24*M24</f>
        <v>0.82</v>
      </c>
      <c r="K24" s="544">
        <f>G24*I24</f>
        <v>2.124941648775729E-2</v>
      </c>
      <c r="L24" s="62">
        <f>H24*J24</f>
        <v>9.6004586639317595E-3</v>
      </c>
      <c r="M24" s="55">
        <v>1</v>
      </c>
      <c r="N24" s="49">
        <v>0.75</v>
      </c>
      <c r="O24" s="49">
        <v>30</v>
      </c>
      <c r="P24" s="544">
        <f>K24/N24</f>
        <v>2.8332555317009719E-2</v>
      </c>
      <c r="Q24" s="544">
        <f>L24/$N24</f>
        <v>1.2800611551909013E-2</v>
      </c>
      <c r="R24" s="49"/>
      <c r="S24" s="52">
        <v>0</v>
      </c>
      <c r="T24" s="49"/>
      <c r="U24" s="49"/>
      <c r="V24" s="55"/>
      <c r="W24" s="55">
        <v>1</v>
      </c>
      <c r="X24" s="127">
        <f>G24/$G$42</f>
        <v>2.5728127565058111E-2</v>
      </c>
    </row>
    <row r="25" spans="1:24">
      <c r="B25" s="9"/>
      <c r="C25" s="300"/>
      <c r="D25" s="9"/>
      <c r="E25" s="52" t="s">
        <v>946</v>
      </c>
      <c r="F25" s="337"/>
      <c r="G25" s="21"/>
      <c r="H25" s="21"/>
      <c r="I25" s="17"/>
      <c r="J25" s="542"/>
      <c r="K25" s="62"/>
      <c r="L25" s="9"/>
      <c r="M25" s="31"/>
      <c r="N25" s="12"/>
      <c r="O25" s="12"/>
      <c r="P25" s="544"/>
      <c r="Q25" s="544"/>
      <c r="R25" s="49"/>
      <c r="S25" s="52"/>
      <c r="T25" s="12"/>
      <c r="U25" s="12"/>
      <c r="V25" s="31"/>
      <c r="W25" s="31"/>
      <c r="X25" s="127"/>
    </row>
    <row r="26" spans="1:24">
      <c r="B26" s="35" t="str">
        <f>"ISTM"&amp;RIGHT(D26,3)&amp;"000"</f>
        <v>ISTMETH000</v>
      </c>
      <c r="C26" s="520" t="s">
        <v>438</v>
      </c>
      <c r="D26" s="9" t="s">
        <v>914</v>
      </c>
      <c r="E26" s="52"/>
      <c r="F26" s="336">
        <f ca="1">MATCH($D26,Calibration2!$C$218:$U$218,0)</f>
        <v>12</v>
      </c>
      <c r="G26" s="21">
        <f ca="1">INDEX(Calibration2!$C$225:$U$225,F26)</f>
        <v>0</v>
      </c>
      <c r="H26" s="21">
        <f ca="1">INDEX(Calibrati22!$C$225:$U$225,$F26)</f>
        <v>0</v>
      </c>
      <c r="I26" s="17">
        <f ca="1">INDEX(Calibration2!$C$219:$U$219,F26)</f>
        <v>0.82</v>
      </c>
      <c r="J26" s="542">
        <f>I26*M26</f>
        <v>0.82</v>
      </c>
      <c r="K26" s="544">
        <f>G26*I26</f>
        <v>0</v>
      </c>
      <c r="L26" s="62">
        <f>H26*J26</f>
        <v>0</v>
      </c>
      <c r="M26" s="55">
        <v>1</v>
      </c>
      <c r="N26" s="49">
        <v>0.75</v>
      </c>
      <c r="O26" s="49">
        <v>30</v>
      </c>
      <c r="P26" s="544">
        <f>K26/N26</f>
        <v>0</v>
      </c>
      <c r="Q26" s="544">
        <f>L26/$N26</f>
        <v>0</v>
      </c>
      <c r="R26" s="49"/>
      <c r="S26" s="52">
        <v>0</v>
      </c>
      <c r="T26" s="12"/>
      <c r="U26" s="12"/>
      <c r="V26" s="31"/>
      <c r="W26" s="31"/>
      <c r="X26" s="127"/>
    </row>
    <row r="27" spans="1:24">
      <c r="B27" s="35"/>
      <c r="C27" s="520"/>
      <c r="D27" s="9"/>
      <c r="E27" s="52" t="s">
        <v>946</v>
      </c>
      <c r="F27" s="337"/>
      <c r="G27" s="21"/>
      <c r="H27" s="21"/>
      <c r="I27" s="17"/>
      <c r="J27" s="542"/>
      <c r="K27" s="62"/>
      <c r="L27" s="9"/>
      <c r="M27" s="31"/>
      <c r="N27" s="12"/>
      <c r="O27" s="12"/>
      <c r="P27" s="544"/>
      <c r="Q27" s="544"/>
      <c r="R27" s="49"/>
      <c r="S27" s="52"/>
      <c r="T27" s="12"/>
      <c r="U27" s="12"/>
      <c r="V27" s="31"/>
      <c r="W27" s="31"/>
      <c r="X27" s="127"/>
    </row>
    <row r="28" spans="1:24">
      <c r="A28" s="6"/>
      <c r="B28" s="35" t="str">
        <f>"ISTM"&amp;RIGHT(D28,3)&amp;"000"</f>
        <v>ISTMPTC000</v>
      </c>
      <c r="C28" s="300" t="s">
        <v>690</v>
      </c>
      <c r="D28" s="9" t="s">
        <v>916</v>
      </c>
      <c r="E28" s="52"/>
      <c r="F28" s="336">
        <f ca="1">MATCH($D28,Calibration2!$C$218:$U$218,0)</f>
        <v>14</v>
      </c>
      <c r="G28" s="21">
        <f ca="1">INDEX(Calibration2!$C$225:$U$225,F28)</f>
        <v>5.3999999999999999E-2</v>
      </c>
      <c r="H28" s="21">
        <f ca="1">INDEX(Calibrati22!$C$225:$U$225,$F28)</f>
        <v>0.05</v>
      </c>
      <c r="I28" s="17">
        <f ca="1">INDEX(Calibration2!$C$219:$U$219,F28)</f>
        <v>0.82</v>
      </c>
      <c r="J28" s="542">
        <f>I28*M28</f>
        <v>0.82</v>
      </c>
      <c r="K28" s="62">
        <f>G28*I28</f>
        <v>4.428E-2</v>
      </c>
      <c r="L28" s="62">
        <f>H28*J28</f>
        <v>4.1000000000000002E-2</v>
      </c>
      <c r="M28" s="31">
        <v>1</v>
      </c>
      <c r="N28" s="12">
        <v>0.75</v>
      </c>
      <c r="O28" s="12">
        <v>30</v>
      </c>
      <c r="P28" s="544">
        <f>K28/N28</f>
        <v>5.9040000000000002E-2</v>
      </c>
      <c r="Q28" s="544">
        <f>L28/$N28</f>
        <v>5.4666666666666669E-2</v>
      </c>
      <c r="R28" s="49"/>
      <c r="S28" s="52">
        <v>0</v>
      </c>
      <c r="T28" s="12"/>
      <c r="U28" s="12"/>
      <c r="V28" s="55"/>
      <c r="W28" s="55">
        <v>1</v>
      </c>
      <c r="X28" s="127">
        <f>G28/$G$42</f>
        <v>5.3612836344806895E-2</v>
      </c>
    </row>
    <row r="29" spans="1:24">
      <c r="B29" s="9"/>
      <c r="C29" s="300"/>
      <c r="D29" s="9"/>
      <c r="E29" s="52" t="s">
        <v>946</v>
      </c>
      <c r="F29" s="337"/>
      <c r="G29" s="21"/>
      <c r="H29" s="21"/>
      <c r="I29" s="17"/>
      <c r="J29" s="542"/>
      <c r="K29" s="62"/>
      <c r="L29" s="9"/>
      <c r="M29" s="31"/>
      <c r="N29" s="12"/>
      <c r="O29" s="12"/>
      <c r="P29" s="544"/>
      <c r="Q29" s="544"/>
      <c r="R29" s="49"/>
      <c r="S29" s="52"/>
      <c r="T29" s="12"/>
      <c r="U29" s="12"/>
      <c r="V29" s="31"/>
      <c r="W29" s="31"/>
      <c r="X29" s="127"/>
    </row>
    <row r="30" spans="1:24">
      <c r="A30" s="6"/>
      <c r="B30" s="35" t="str">
        <f>"ISTM"&amp;RIGHT(D30,3)&amp;"000"</f>
        <v>ISTMBIO000</v>
      </c>
      <c r="C30" s="300" t="s">
        <v>687</v>
      </c>
      <c r="D30" s="9" t="s">
        <v>917</v>
      </c>
      <c r="E30" s="52"/>
      <c r="F30" s="336">
        <f ca="1">MATCH($D30,Calibration2!$C$218:$U$218,0)</f>
        <v>15</v>
      </c>
      <c r="G30" s="21">
        <f ca="1">INDEX(Calibration2!$C$225:$U$225,F30)-INDEX(Calibration2!$C$224:$U$224,F30)/$Q$4</f>
        <v>2.1999736774046069E-2</v>
      </c>
      <c r="H30" s="21">
        <f ca="1">INDEX(Calibrati22!$C$225:$U$225,$F30)-INDEX(Calibrati22!$C$224:$U$224,$F30)/$Q$4</f>
        <v>6.839367436848208E-2</v>
      </c>
      <c r="I30" s="17">
        <f ca="1">INDEX(Calibration2!$C$219:$U$219,F30)</f>
        <v>0.82</v>
      </c>
      <c r="J30" s="542">
        <f>I30*M30</f>
        <v>0.82</v>
      </c>
      <c r="K30" s="62">
        <f>G30*I30</f>
        <v>1.8039784154717776E-2</v>
      </c>
      <c r="L30" s="62">
        <f>H30*J30</f>
        <v>5.6082812982155304E-2</v>
      </c>
      <c r="M30" s="31">
        <v>1</v>
      </c>
      <c r="N30" s="12">
        <v>0.75</v>
      </c>
      <c r="O30" s="12">
        <v>30</v>
      </c>
      <c r="P30" s="544">
        <f>K30/N30</f>
        <v>2.4053045539623702E-2</v>
      </c>
      <c r="Q30" s="544">
        <f>L30/$N30</f>
        <v>7.4777083976207068E-2</v>
      </c>
      <c r="R30" s="49"/>
      <c r="S30" s="52">
        <v>0</v>
      </c>
      <c r="T30" s="12"/>
      <c r="U30" s="12"/>
      <c r="V30" s="55"/>
      <c r="W30" s="55">
        <v>1</v>
      </c>
      <c r="X30" s="127">
        <f>G30/$G$42</f>
        <v>2.1842005320291888E-2</v>
      </c>
    </row>
    <row r="31" spans="1:24">
      <c r="B31" s="9"/>
      <c r="C31" s="300"/>
      <c r="D31" s="9"/>
      <c r="E31" s="52" t="s">
        <v>946</v>
      </c>
      <c r="F31" s="337"/>
      <c r="G31" s="21"/>
      <c r="H31" s="21"/>
      <c r="I31" s="17"/>
      <c r="J31" s="542"/>
      <c r="K31" s="62"/>
      <c r="L31" s="9"/>
      <c r="M31" s="31"/>
      <c r="N31" s="12"/>
      <c r="O31" s="12"/>
      <c r="P31" s="544"/>
      <c r="Q31" s="544"/>
      <c r="R31" s="49"/>
      <c r="S31" s="52"/>
      <c r="T31" s="12"/>
      <c r="U31" s="12"/>
      <c r="V31" s="31"/>
      <c r="W31" s="31"/>
      <c r="X31" s="127"/>
    </row>
    <row r="32" spans="1:24">
      <c r="B32" s="264" t="s">
        <v>468</v>
      </c>
      <c r="C32" s="520" t="s">
        <v>334</v>
      </c>
      <c r="D32" s="59" t="s">
        <v>655</v>
      </c>
      <c r="E32" s="52"/>
      <c r="F32" s="336">
        <f ca="1">F30</f>
        <v>15</v>
      </c>
      <c r="G32" s="21">
        <f ca="1">Drivers2!$P128</f>
        <v>0.10097341417865223</v>
      </c>
      <c r="H32" s="21">
        <f ca="1">Drivers2!$P128</f>
        <v>0.10097341417865223</v>
      </c>
      <c r="I32" s="17">
        <f ca="1">INDEX(Calibration2!$C$219:$U$219,F32)</f>
        <v>0.82</v>
      </c>
      <c r="J32" s="542">
        <f>I32*M32</f>
        <v>0.82</v>
      </c>
      <c r="K32" s="62">
        <f>G32*I32</f>
        <v>8.2798199626494817E-2</v>
      </c>
      <c r="L32" s="62">
        <f>H32*J32</f>
        <v>8.2798199626494817E-2</v>
      </c>
      <c r="M32" s="31">
        <v>1</v>
      </c>
      <c r="N32" s="12">
        <v>0.75</v>
      </c>
      <c r="O32" s="12">
        <v>30</v>
      </c>
      <c r="P32" s="544">
        <f>K32/N32</f>
        <v>0.11039759950199309</v>
      </c>
      <c r="Q32" s="544">
        <f>L32/$N32</f>
        <v>0.11039759950199309</v>
      </c>
      <c r="R32" s="49"/>
      <c r="S32" s="52">
        <v>0</v>
      </c>
      <c r="T32" s="12"/>
      <c r="U32" s="12"/>
      <c r="V32" s="31"/>
      <c r="W32" s="55">
        <v>1</v>
      </c>
      <c r="X32" s="127">
        <f>G32/$G$42</f>
        <v>0.10024946536178679</v>
      </c>
    </row>
    <row r="33" spans="1:24">
      <c r="B33" s="52"/>
      <c r="C33" s="520"/>
      <c r="D33" s="59"/>
      <c r="E33" s="52" t="s">
        <v>979</v>
      </c>
      <c r="F33" s="337"/>
      <c r="G33" s="21"/>
      <c r="H33" s="21"/>
      <c r="I33" s="17"/>
      <c r="J33" s="542"/>
      <c r="K33" s="62"/>
      <c r="L33" s="9"/>
      <c r="M33" s="31"/>
      <c r="N33" s="12"/>
      <c r="O33" s="12"/>
      <c r="P33" s="544"/>
      <c r="Q33" s="544"/>
      <c r="R33" s="49"/>
      <c r="S33" s="52"/>
      <c r="T33" s="12"/>
      <c r="U33" s="12"/>
      <c r="V33" s="31"/>
      <c r="W33" s="31"/>
      <c r="X33" s="127"/>
    </row>
    <row r="34" spans="1:24">
      <c r="A34" s="6"/>
      <c r="B34" s="35" t="str">
        <f>"ISTM"&amp;RIGHT(D34,3)&amp;"000"</f>
        <v>ISTMGEO000</v>
      </c>
      <c r="C34" s="300" t="s">
        <v>686</v>
      </c>
      <c r="D34" s="9" t="s">
        <v>950</v>
      </c>
      <c r="E34" s="52"/>
      <c r="F34" s="336">
        <f ca="1">MATCH($D34,Calibration2!$C$218:$U$218,0)</f>
        <v>16</v>
      </c>
      <c r="G34" s="21">
        <f ca="1">INDEX(Calibration2!$C$225:$U$225,F34)</f>
        <v>0</v>
      </c>
      <c r="H34" s="21">
        <f ca="1">INDEX(Calibrati22!$C$225:$U$225,$F34)</f>
        <v>0</v>
      </c>
      <c r="I34" s="17">
        <f ca="1">INDEX(Calibration2!$C$219:$U$219,F34)</f>
        <v>0.90553851381374162</v>
      </c>
      <c r="J34" s="542">
        <f>I34*M34</f>
        <v>0.90553851381374162</v>
      </c>
      <c r="K34" s="62">
        <f>G34*I34</f>
        <v>0</v>
      </c>
      <c r="L34" s="62">
        <f>H34*J34</f>
        <v>0</v>
      </c>
      <c r="M34" s="31">
        <v>1</v>
      </c>
      <c r="N34" s="12">
        <v>0.75</v>
      </c>
      <c r="O34" s="12">
        <v>30</v>
      </c>
      <c r="P34" s="544">
        <f>K34/N34</f>
        <v>0</v>
      </c>
      <c r="Q34" s="544">
        <f>L34/$N34</f>
        <v>0</v>
      </c>
      <c r="R34" s="49"/>
      <c r="S34" s="52">
        <v>0</v>
      </c>
      <c r="T34" s="12"/>
      <c r="U34" s="12"/>
      <c r="V34" s="55"/>
      <c r="W34" s="55">
        <v>1</v>
      </c>
      <c r="X34" s="127">
        <f>G34/$G$42</f>
        <v>0</v>
      </c>
    </row>
    <row r="35" spans="1:24">
      <c r="B35" s="9"/>
      <c r="C35" s="300"/>
      <c r="D35" s="9"/>
      <c r="E35" s="52" t="s">
        <v>946</v>
      </c>
      <c r="F35" s="337"/>
      <c r="G35" s="21"/>
      <c r="H35" s="21"/>
      <c r="I35" s="17"/>
      <c r="J35" s="542"/>
      <c r="K35" s="62"/>
      <c r="L35" s="9"/>
      <c r="M35" s="31"/>
      <c r="N35" s="12"/>
      <c r="O35" s="12"/>
      <c r="P35" s="544"/>
      <c r="Q35" s="544"/>
      <c r="R35" s="49"/>
      <c r="S35" s="52"/>
      <c r="T35" s="12"/>
      <c r="U35" s="12"/>
      <c r="V35" s="31"/>
      <c r="W35" s="31"/>
      <c r="X35" s="127"/>
    </row>
    <row r="36" spans="1:24">
      <c r="A36" s="221"/>
      <c r="B36" s="35" t="str">
        <f>"ISTM"&amp;RIGHT(D36,3)&amp;"000"</f>
        <v>ISTMHET000</v>
      </c>
      <c r="C36" s="520" t="s">
        <v>679</v>
      </c>
      <c r="D36" s="52" t="str">
        <f ca="1">IEAData2!R$38</f>
        <v>INDHET</v>
      </c>
      <c r="E36" s="191"/>
      <c r="F36" s="336">
        <f ca="1">MATCH($D36,Calibration2!$C$218:$U$218,0)</f>
        <v>17</v>
      </c>
      <c r="G36" s="21">
        <f ca="1">INDEX(Calibration2!$C$225:$U$225,F36)</f>
        <v>0.40023019740880544</v>
      </c>
      <c r="H36" s="21">
        <f ca="1">INDEX(Calibrati22!$C$225:$U$225,$F36)</f>
        <v>0.23082202316763362</v>
      </c>
      <c r="I36" s="17">
        <v>1</v>
      </c>
      <c r="J36" s="542">
        <f>I36*M36</f>
        <v>1</v>
      </c>
      <c r="K36" s="544">
        <f>G36*I36</f>
        <v>0.40023019740880544</v>
      </c>
      <c r="L36" s="62">
        <f>H36*J36</f>
        <v>0.23082202316763362</v>
      </c>
      <c r="M36" s="55">
        <v>1</v>
      </c>
      <c r="N36" s="12">
        <v>0.75</v>
      </c>
      <c r="O36" s="49">
        <v>30</v>
      </c>
      <c r="P36" s="544"/>
      <c r="Q36" s="544"/>
      <c r="R36" s="49"/>
      <c r="S36" s="52"/>
      <c r="T36" s="49"/>
      <c r="U36" s="49"/>
      <c r="V36" s="55"/>
      <c r="W36" s="55">
        <v>1</v>
      </c>
      <c r="X36" s="127">
        <f>G36/$G$42</f>
        <v>0.39736066803570452</v>
      </c>
    </row>
    <row r="37" spans="1:24">
      <c r="B37" s="9"/>
      <c r="C37" s="23"/>
      <c r="D37" s="9"/>
      <c r="E37" s="52" t="s">
        <v>577</v>
      </c>
      <c r="F37" s="337"/>
      <c r="G37" s="21"/>
      <c r="H37" s="21"/>
      <c r="I37" s="17"/>
      <c r="J37" s="542"/>
      <c r="K37" s="62"/>
      <c r="L37" s="9"/>
      <c r="M37" s="31"/>
      <c r="N37" s="12"/>
      <c r="O37" s="12"/>
      <c r="P37" s="544"/>
      <c r="Q37" s="544"/>
      <c r="R37" s="49"/>
      <c r="S37" s="52"/>
      <c r="T37" s="12"/>
      <c r="U37" s="12"/>
      <c r="V37" s="31"/>
      <c r="W37" s="31"/>
      <c r="X37" s="127"/>
    </row>
    <row r="38" spans="1:24">
      <c r="B38" s="9"/>
      <c r="C38" s="23"/>
      <c r="D38" s="9"/>
      <c r="E38" s="52" t="s">
        <v>859</v>
      </c>
      <c r="F38" s="337"/>
      <c r="G38" s="21"/>
      <c r="H38" s="21"/>
      <c r="I38" s="17"/>
      <c r="J38" s="31"/>
      <c r="K38" s="31"/>
      <c r="L38" s="31"/>
      <c r="M38" s="31"/>
      <c r="N38" s="12"/>
      <c r="O38" s="12"/>
      <c r="P38" s="49"/>
      <c r="Q38" s="49"/>
      <c r="R38" s="49"/>
      <c r="S38" s="31"/>
      <c r="T38" s="12"/>
      <c r="U38" s="12"/>
      <c r="V38" s="31"/>
      <c r="W38" s="31"/>
      <c r="X38" s="127"/>
    </row>
    <row r="39" spans="1:24">
      <c r="B39" s="9"/>
      <c r="C39" s="23"/>
      <c r="D39" s="9"/>
      <c r="E39" s="52" t="s">
        <v>570</v>
      </c>
      <c r="F39" s="337"/>
      <c r="G39" s="21"/>
      <c r="H39" s="21"/>
      <c r="I39" s="17"/>
      <c r="J39" s="31"/>
      <c r="K39" s="31"/>
      <c r="L39" s="31"/>
      <c r="M39" s="31"/>
      <c r="N39" s="12"/>
      <c r="O39" s="12"/>
      <c r="P39" s="49"/>
      <c r="Q39" s="49"/>
      <c r="R39" s="49"/>
      <c r="S39" s="31"/>
      <c r="T39" s="12"/>
      <c r="U39" s="12"/>
      <c r="V39" s="31"/>
      <c r="W39" s="31"/>
      <c r="X39" s="127"/>
    </row>
    <row r="40" spans="1:24">
      <c r="B40" s="9"/>
      <c r="C40" s="23"/>
      <c r="D40" s="9"/>
      <c r="E40" s="52" t="s">
        <v>92</v>
      </c>
      <c r="F40" s="337"/>
      <c r="G40" s="21"/>
      <c r="H40" s="21"/>
      <c r="I40" s="17"/>
      <c r="J40" s="31"/>
      <c r="K40" s="31"/>
      <c r="L40" s="31"/>
      <c r="M40" s="31"/>
      <c r="N40" s="12"/>
      <c r="O40" s="12"/>
      <c r="P40" s="49"/>
      <c r="Q40" s="49"/>
      <c r="R40" s="49"/>
      <c r="S40" s="31"/>
      <c r="T40" s="12"/>
      <c r="U40" s="12"/>
      <c r="V40" s="31"/>
      <c r="W40" s="31"/>
      <c r="X40" s="127"/>
    </row>
    <row r="41" spans="1:24">
      <c r="B41" s="9"/>
      <c r="C41" s="23"/>
      <c r="D41" s="9"/>
      <c r="E41" s="52" t="s">
        <v>979</v>
      </c>
      <c r="F41" s="337"/>
      <c r="G41" s="21"/>
      <c r="H41" s="21"/>
      <c r="I41" s="17"/>
      <c r="J41" s="31"/>
      <c r="K41" s="31"/>
      <c r="L41" s="31"/>
      <c r="M41" s="31"/>
      <c r="N41" s="12"/>
      <c r="O41" s="12"/>
      <c r="P41" s="49"/>
      <c r="Q41" s="49"/>
      <c r="R41" s="49"/>
      <c r="S41" s="31"/>
      <c r="T41" s="12"/>
      <c r="U41" s="12"/>
      <c r="V41" s="31"/>
      <c r="W41" s="31"/>
      <c r="X41" s="127"/>
    </row>
    <row r="42" spans="1:24">
      <c r="B42" s="192" t="s">
        <v>902</v>
      </c>
      <c r="C42" s="198"/>
      <c r="D42" s="198"/>
      <c r="E42" s="198"/>
      <c r="F42" s="200" t="s">
        <v>784</v>
      </c>
      <c r="G42" s="199">
        <f>SUM(G8:G41)</f>
        <v>1.0072214730946725</v>
      </c>
      <c r="H42" s="199">
        <f>SUM(H8:H41)</f>
        <v>0.63895534004590926</v>
      </c>
      <c r="I42" s="199"/>
      <c r="J42" s="200"/>
      <c r="K42" s="199">
        <f>SUM(K8:K41)</f>
        <v>0.89796304347121636</v>
      </c>
      <c r="L42" s="199">
        <f>SUM(L8:L41)</f>
        <v>0.56549134300781967</v>
      </c>
      <c r="M42" s="198"/>
      <c r="N42" s="201"/>
      <c r="O42" s="198"/>
      <c r="P42" s="199">
        <f>SUM(P8:P41)</f>
        <v>0.66364379474988144</v>
      </c>
      <c r="Q42" s="199">
        <f>SUM(Q8:Q41)</f>
        <v>0.44622575978691459</v>
      </c>
      <c r="R42" s="198"/>
      <c r="S42" s="198"/>
      <c r="T42" s="198"/>
      <c r="U42" s="198"/>
      <c r="V42" s="198"/>
      <c r="W42" s="198"/>
    </row>
    <row r="43" spans="1:24">
      <c r="I43" s="2"/>
      <c r="K43" s="2"/>
      <c r="N43" s="4"/>
    </row>
    <row r="44" spans="1:24">
      <c r="G44" s="2"/>
    </row>
  </sheetData>
  <phoneticPr fontId="25" type="noConversion"/>
  <pageMargins left="0.75" right="0.75" top="1" bottom="1" header="0.5" footer="0.5"/>
  <pageSetup paperSize="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13"/>
  <dimension ref="A1:AB34"/>
  <sheetViews>
    <sheetView topLeftCell="B1" zoomScale="75" workbookViewId="0">
      <selection activeCell="S4" sqref="S4"/>
    </sheetView>
  </sheetViews>
  <sheetFormatPr defaultColWidth="8.85546875" defaultRowHeight="12.75"/>
  <cols>
    <col min="1" max="1" width="8.85546875" customWidth="1"/>
    <col min="2" max="2" width="15.42578125" customWidth="1"/>
    <col min="3" max="3" width="32.85546875" customWidth="1"/>
    <col min="4" max="5" width="10.7109375" customWidth="1"/>
    <col min="6" max="7" width="7.7109375" customWidth="1"/>
  </cols>
  <sheetData>
    <row r="1" spans="1:28" ht="18">
      <c r="A1" s="5" t="s">
        <v>876</v>
      </c>
      <c r="E1" s="216"/>
      <c r="F1" s="216"/>
      <c r="G1" s="216"/>
    </row>
    <row r="2" spans="1:28">
      <c r="E2" s="216"/>
      <c r="F2" s="216"/>
      <c r="G2" s="216"/>
    </row>
    <row r="3" spans="1:28">
      <c r="E3" s="216"/>
      <c r="F3" s="216"/>
      <c r="G3" s="216"/>
    </row>
    <row r="4" spans="1:28">
      <c r="E4" s="216"/>
      <c r="F4" s="216"/>
      <c r="G4" s="216"/>
      <c r="S4" s="12">
        <v>1</v>
      </c>
      <c r="T4" t="s">
        <v>146</v>
      </c>
    </row>
    <row r="5" spans="1:28" ht="18">
      <c r="A5" s="8"/>
      <c r="B5" s="10"/>
      <c r="C5" s="11"/>
      <c r="E5" s="216"/>
      <c r="G5" s="216"/>
      <c r="J5" t="s">
        <v>784</v>
      </c>
    </row>
    <row r="6" spans="1:28" ht="18">
      <c r="B6" s="86" t="s">
        <v>11</v>
      </c>
      <c r="C6" s="88"/>
      <c r="D6" s="123"/>
      <c r="F6" s="225" t="str">
        <f>"~FI_T: "&amp;Region</f>
        <v>~FI_T: FIM</v>
      </c>
      <c r="G6" s="225"/>
      <c r="H6" s="1" t="s">
        <v>784</v>
      </c>
      <c r="J6" s="1" t="s">
        <v>784</v>
      </c>
      <c r="K6" s="1" t="s">
        <v>784</v>
      </c>
      <c r="L6" s="1" t="s">
        <v>784</v>
      </c>
      <c r="N6" s="1" t="s">
        <v>784</v>
      </c>
      <c r="O6" s="1"/>
      <c r="R6" s="1"/>
      <c r="S6" s="1"/>
    </row>
    <row r="7" spans="1:28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45" t="s">
        <v>723</v>
      </c>
      <c r="G7" s="335" t="s">
        <v>391</v>
      </c>
      <c r="H7" s="64" t="str">
        <f ca="1">CONCATENATE("\I:",IEA_Year," final energy")</f>
        <v>\I:2010 final energy</v>
      </c>
      <c r="I7" s="64" t="str">
        <f ca="1">CONCATENATE("\I:",AuxYear," final energy")</f>
        <v>\I:2017 final energy</v>
      </c>
      <c r="J7" s="64" t="str">
        <f ca="1">CONCATENATE("\I:",IEA_Year," EFF")</f>
        <v>\I:2010 EFF</v>
      </c>
      <c r="K7" s="64" t="s">
        <v>390</v>
      </c>
      <c r="L7" s="64" t="str">
        <f ca="1">CONCATENATE("\I:",BaseYear," Service Demand")</f>
        <v>\I:2010 Service Demand</v>
      </c>
      <c r="M7" s="64" t="str">
        <f ca="1">CONCATENATE("\I:",AuxData2!$D$2," service demand")</f>
        <v>\I:2017 service demand</v>
      </c>
      <c r="N7" s="45" t="s">
        <v>388</v>
      </c>
      <c r="O7" s="45" t="str">
        <f ca="1">"INPUT~"&amp;AuxYear</f>
        <v>INPUT~2017</v>
      </c>
      <c r="P7" s="45" t="s">
        <v>1270</v>
      </c>
      <c r="Q7" s="45" t="s">
        <v>1272</v>
      </c>
      <c r="R7" s="45" t="s">
        <v>556</v>
      </c>
      <c r="S7" s="45" t="str">
        <f ca="1">"ACT_BND~"&amp;BaseYear</f>
        <v>ACT_BND~2010</v>
      </c>
      <c r="T7" s="45" t="str">
        <f ca="1">"ACT_BND~"&amp;AuxYear</f>
        <v>ACT_BND~2017</v>
      </c>
      <c r="U7" s="45" t="s">
        <v>1269</v>
      </c>
      <c r="V7" s="45" t="s">
        <v>1268</v>
      </c>
      <c r="W7" s="45" t="s">
        <v>51</v>
      </c>
      <c r="X7" s="45" t="s">
        <v>499</v>
      </c>
      <c r="Y7" s="45" t="str">
        <f ca="1">"FLO_MARK~"&amp;AuxYear</f>
        <v>FLO_MARK~2017</v>
      </c>
      <c r="Z7" s="45" t="str">
        <f ca="1">"FLO_MARK~"&amp;CEILING(AuxYear+17,5)</f>
        <v>FLO_MARK~2035</v>
      </c>
      <c r="AA7" s="45" t="s">
        <v>1271</v>
      </c>
      <c r="AB7" s="126" t="s">
        <v>959</v>
      </c>
    </row>
    <row r="8" spans="1:28">
      <c r="A8" s="221"/>
      <c r="B8" s="264" t="str">
        <f>E9&amp;RIGHT(D8,3)&amp;"000"</f>
        <v>IMISELC000</v>
      </c>
      <c r="C8" s="520" t="s">
        <v>678</v>
      </c>
      <c r="D8" s="52" t="s">
        <v>1245</v>
      </c>
      <c r="E8" s="52"/>
      <c r="F8" s="410" t="s">
        <v>725</v>
      </c>
      <c r="G8" s="339">
        <f ca="1">MATCH("IND"&amp;RIGHT($D8,3),Calibration2!$C$209:$U$209,0)</f>
        <v>1</v>
      </c>
      <c r="H8" s="53">
        <f ca="1">VLOOKUP($E9,Calibration2!$A$211:$U$215,$G8+2,0)</f>
        <v>4.4280315532862852E-2</v>
      </c>
      <c r="I8" s="53">
        <f ca="1">VLOOKUP($E9,Calibrati22!$A$211:$U$215,$G8+2,0)</f>
        <v>1.5369070379608057E-2</v>
      </c>
      <c r="J8" s="55">
        <f ca="1">INDEX(Calibration2!$C$210:$U$210,G8)</f>
        <v>0.86</v>
      </c>
      <c r="K8" s="55">
        <v>1</v>
      </c>
      <c r="L8" s="544">
        <f>H8*J8</f>
        <v>3.8081071358262053E-2</v>
      </c>
      <c r="M8" s="544">
        <f>I8*K8*J8</f>
        <v>1.3217400526462929E-2</v>
      </c>
      <c r="N8" s="542">
        <f>1/J8</f>
        <v>1.1627906976744187</v>
      </c>
      <c r="O8" s="542">
        <f>1/J8/K8</f>
        <v>1.1627906976744187</v>
      </c>
      <c r="P8" s="57">
        <f>O8*0.985</f>
        <v>1.1453488372093024</v>
      </c>
      <c r="Q8" s="49">
        <v>0.7</v>
      </c>
      <c r="R8" s="12">
        <v>30</v>
      </c>
      <c r="S8" s="544">
        <f>L8*0.99</f>
        <v>3.7700260644679434E-2</v>
      </c>
      <c r="T8" s="544">
        <f>M8*0.99</f>
        <v>1.30852265211983E-2</v>
      </c>
      <c r="U8" s="411">
        <f>S8*0.15</f>
        <v>5.6550390967019153E-3</v>
      </c>
      <c r="V8" s="49">
        <v>1</v>
      </c>
      <c r="W8" s="12"/>
      <c r="X8" s="12"/>
      <c r="Y8" s="17"/>
      <c r="Z8" s="17"/>
      <c r="AA8" s="17"/>
      <c r="AB8" s="127">
        <f>H8/$H$33</f>
        <v>8.8039216864688102E-2</v>
      </c>
    </row>
    <row r="9" spans="1:28">
      <c r="B9" s="52"/>
      <c r="C9" s="520"/>
      <c r="D9" s="52"/>
      <c r="E9" s="52" t="s">
        <v>579</v>
      </c>
      <c r="F9" s="410" t="s">
        <v>725</v>
      </c>
      <c r="G9" s="339"/>
      <c r="H9" s="53"/>
      <c r="I9" s="53"/>
      <c r="J9" s="55"/>
      <c r="K9" s="55"/>
      <c r="L9" s="544"/>
      <c r="M9" s="9"/>
      <c r="N9" s="542"/>
      <c r="O9" s="542"/>
      <c r="P9" s="57"/>
      <c r="Q9" s="49"/>
      <c r="R9" s="12"/>
      <c r="S9" s="544"/>
      <c r="T9" s="544"/>
      <c r="U9" s="49"/>
      <c r="V9" s="49"/>
      <c r="W9" s="12"/>
      <c r="X9" s="12"/>
      <c r="Y9" s="17">
        <f>MIN(1/(1+L10/L8),1/(1+M10/M8)-0.005)</f>
        <v>0.95408215397975227</v>
      </c>
      <c r="Z9" s="17">
        <f>Y9*0.8</f>
        <v>0.76326572318380181</v>
      </c>
      <c r="AA9" s="17">
        <f>Z9*0.7</f>
        <v>0.53428600622866118</v>
      </c>
      <c r="AB9" s="127"/>
    </row>
    <row r="10" spans="1:28">
      <c r="A10" s="221"/>
      <c r="B10" s="264" t="str">
        <f>E11&amp;RIGHT(D10,3)&amp;"000"</f>
        <v>IMISOIL000</v>
      </c>
      <c r="C10" s="520" t="s">
        <v>677</v>
      </c>
      <c r="D10" s="52" t="s">
        <v>826</v>
      </c>
      <c r="E10" s="52"/>
      <c r="F10" s="410" t="s">
        <v>440</v>
      </c>
      <c r="G10" s="339">
        <f ca="1">MATCH($D10,Calibration2!$C$209:$U$209,0)</f>
        <v>11</v>
      </c>
      <c r="H10" s="53">
        <f ca="1">VLOOKUP($E11,Calibration2!$A$211:$U$215,$G10+2,0)</f>
        <v>6.5234830425659623E-4</v>
      </c>
      <c r="I10" s="53">
        <f ca="1">VLOOKUP($E11,Calibrati22!$A$211:$U$215,$G10+2,0)</f>
        <v>0</v>
      </c>
      <c r="J10" s="55">
        <f ca="1">INDEX(Calibration2!$C$210:$U$210,G10)</f>
        <v>0.35</v>
      </c>
      <c r="K10" s="55">
        <v>1</v>
      </c>
      <c r="L10" s="544">
        <f>SUM(H10:H12)*J10</f>
        <v>1.832757025818824E-3</v>
      </c>
      <c r="M10" s="544">
        <f>SUM(I10:I12)*K10*J10</f>
        <v>4.6959372693540713E-4</v>
      </c>
      <c r="N10" s="542">
        <f>IF(H10&gt;0,H10/L10,0)</f>
        <v>0.3559382368020908</v>
      </c>
      <c r="O10" s="542">
        <f>IF(I10&gt;0,I10/M10,0)</f>
        <v>0</v>
      </c>
      <c r="P10" s="57"/>
      <c r="Q10" s="49">
        <v>0.7</v>
      </c>
      <c r="R10" s="12">
        <v>30</v>
      </c>
      <c r="S10" s="544">
        <f>L10</f>
        <v>1.832757025818824E-3</v>
      </c>
      <c r="T10" s="544">
        <f>M10</f>
        <v>4.6959372693540713E-4</v>
      </c>
      <c r="U10" s="49">
        <v>0</v>
      </c>
      <c r="V10" s="49">
        <v>3</v>
      </c>
      <c r="W10" s="12"/>
      <c r="X10" s="12"/>
      <c r="Y10" s="12"/>
      <c r="Z10" s="12"/>
      <c r="AA10" s="12"/>
      <c r="AB10" s="127"/>
    </row>
    <row r="11" spans="1:28">
      <c r="A11" s="221"/>
      <c r="B11" s="52"/>
      <c r="C11" s="520"/>
      <c r="D11" s="52" t="s">
        <v>907</v>
      </c>
      <c r="E11" s="52" t="s">
        <v>579</v>
      </c>
      <c r="F11" s="410"/>
      <c r="G11" s="339">
        <f ca="1">MATCH($D11,Calibration2!$C$209:$U$209,0)</f>
        <v>3</v>
      </c>
      <c r="H11" s="53">
        <f ca="1">VLOOKUP($E11,Calibration2!$A$211:$U$215,$G11+2,0)</f>
        <v>4.5841003409400442E-3</v>
      </c>
      <c r="I11" s="53">
        <f ca="1">VLOOKUP($E11,Calibrati22!$A$211:$U$215,$G11+2,0)</f>
        <v>1.3416963626725919E-3</v>
      </c>
      <c r="J11" s="55"/>
      <c r="K11" s="55"/>
      <c r="L11" s="544"/>
      <c r="M11" s="9"/>
      <c r="N11" s="542">
        <f>IF(H11&gt;0,H11/L10,0)</f>
        <v>2.5012046203407667</v>
      </c>
      <c r="O11" s="542">
        <f>IF(I11&gt;0,I11/M10,0)</f>
        <v>2.8571428571428572</v>
      </c>
      <c r="P11" s="57"/>
      <c r="Q11" s="49"/>
      <c r="R11" s="12"/>
      <c r="S11" s="544"/>
      <c r="T11" s="544"/>
      <c r="U11" s="49"/>
      <c r="V11" s="49"/>
      <c r="W11" s="12"/>
      <c r="X11" s="12"/>
      <c r="Y11" s="12"/>
      <c r="Z11" s="12"/>
      <c r="AA11" s="12"/>
      <c r="AB11" s="127"/>
    </row>
    <row r="12" spans="1:28">
      <c r="A12" s="221"/>
      <c r="B12" s="52"/>
      <c r="C12" s="520"/>
      <c r="D12" s="52" t="s">
        <v>915</v>
      </c>
      <c r="E12" s="52"/>
      <c r="F12" s="410"/>
      <c r="G12" s="339">
        <f ca="1">MATCH($D12,Calibration2!$C$209:$U$209,0)</f>
        <v>13</v>
      </c>
      <c r="H12" s="53">
        <f ca="1">VLOOKUP($E11,Calibration2!$A$211:$U$215,$G12+2,0)</f>
        <v>0</v>
      </c>
      <c r="I12" s="53">
        <f ca="1">VLOOKUP($E11,Calibrati22!$A$211:$U$215,$G12+2,0)</f>
        <v>0</v>
      </c>
      <c r="J12" s="55"/>
      <c r="K12" s="55"/>
      <c r="L12" s="544"/>
      <c r="M12" s="9"/>
      <c r="N12" s="542">
        <f>IF(H12&gt;0,H12/L10,0)</f>
        <v>0</v>
      </c>
      <c r="O12" s="542">
        <f>IF(I12&gt;0,I12/M10,0)</f>
        <v>0</v>
      </c>
      <c r="P12" s="57"/>
      <c r="Q12" s="49"/>
      <c r="R12" s="12"/>
      <c r="S12" s="544"/>
      <c r="T12" s="544"/>
      <c r="U12" s="49"/>
      <c r="V12" s="49"/>
      <c r="W12" s="12"/>
      <c r="X12" s="12"/>
      <c r="Y12" s="12"/>
      <c r="Z12" s="12"/>
      <c r="AA12" s="12"/>
      <c r="AB12" s="127"/>
    </row>
    <row r="13" spans="1:28">
      <c r="A13" s="221"/>
      <c r="B13" s="264" t="str">
        <f>E14&amp;RIGHT(D13,3)&amp;"000"</f>
        <v>IMNFELC000</v>
      </c>
      <c r="C13" s="520" t="s">
        <v>678</v>
      </c>
      <c r="D13" s="52" t="s">
        <v>1246</v>
      </c>
      <c r="E13" s="52"/>
      <c r="F13" s="410" t="s">
        <v>725</v>
      </c>
      <c r="G13" s="339">
        <f ca="1">G$8</f>
        <v>1</v>
      </c>
      <c r="H13" s="53">
        <f ca="1">VLOOKUP($E14,Calibration2!$A$211:$U$215,$G13+2,0)</f>
        <v>6.2727911779217077E-2</v>
      </c>
      <c r="I13" s="53">
        <f ca="1">VLOOKUP($E14,Calibrati22!$A$211:$U$215,$G13+2,0)</f>
        <v>1.9862413858238413E-2</v>
      </c>
      <c r="J13" s="55">
        <f ca="1">INDEX(Calibration2!$C$210:$U$210,G13)</f>
        <v>0.86</v>
      </c>
      <c r="K13" s="55">
        <v>1</v>
      </c>
      <c r="L13" s="544">
        <f>H13*J13</f>
        <v>5.3946004130126686E-2</v>
      </c>
      <c r="M13" s="544">
        <f>I13*K13*J13</f>
        <v>1.7081675918085036E-2</v>
      </c>
      <c r="N13" s="542">
        <f>1/J13/K13</f>
        <v>1.1627906976744187</v>
      </c>
      <c r="O13" s="542">
        <f>1/J13/K13</f>
        <v>1.1627906976744187</v>
      </c>
      <c r="P13" s="57">
        <f>O13*0.985</f>
        <v>1.1453488372093024</v>
      </c>
      <c r="Q13" s="49">
        <v>0.7</v>
      </c>
      <c r="R13" s="12">
        <v>30</v>
      </c>
      <c r="S13" s="544">
        <f>L13*0.99</f>
        <v>5.3406544088825419E-2</v>
      </c>
      <c r="T13" s="544">
        <f>M13*0.99</f>
        <v>1.6910859158904185E-2</v>
      </c>
      <c r="U13" s="411">
        <f>S13*0.15</f>
        <v>8.0109816133238122E-3</v>
      </c>
      <c r="V13" s="49">
        <v>1</v>
      </c>
      <c r="W13" s="12"/>
      <c r="X13" s="12"/>
      <c r="Y13" s="17"/>
      <c r="Z13" s="17"/>
      <c r="AA13" s="17"/>
      <c r="AB13" s="127">
        <f>H13/$H$33</f>
        <v>0.12471718329335195</v>
      </c>
    </row>
    <row r="14" spans="1:28">
      <c r="A14" s="221"/>
      <c r="B14" s="52"/>
      <c r="C14" s="520"/>
      <c r="D14" s="52"/>
      <c r="E14" s="52" t="s">
        <v>862</v>
      </c>
      <c r="F14" s="410" t="s">
        <v>725</v>
      </c>
      <c r="G14" s="339"/>
      <c r="H14" s="53"/>
      <c r="I14" s="53"/>
      <c r="J14" s="55"/>
      <c r="K14" s="55"/>
      <c r="L14" s="544"/>
      <c r="M14" s="9"/>
      <c r="N14" s="542"/>
      <c r="O14" s="542"/>
      <c r="P14" s="57"/>
      <c r="Q14" s="49"/>
      <c r="R14" s="12"/>
      <c r="S14" s="544"/>
      <c r="T14" s="544"/>
      <c r="U14" s="49"/>
      <c r="V14" s="49"/>
      <c r="W14" s="12"/>
      <c r="X14" s="12"/>
      <c r="Y14" s="17">
        <f>MIN(1/(1+L15/L13),1/(1+M15/M13)-0.005)</f>
        <v>0.97166217917697373</v>
      </c>
      <c r="Z14" s="17">
        <f>Y14*0.8</f>
        <v>0.777329743341579</v>
      </c>
      <c r="AA14" s="17">
        <f>Z14*0.7</f>
        <v>0.54413082033910531</v>
      </c>
      <c r="AB14" s="127"/>
    </row>
    <row r="15" spans="1:28">
      <c r="A15" s="221"/>
      <c r="B15" s="264" t="str">
        <f>E16&amp;RIGHT(D15,3)&amp;"000"</f>
        <v>IMNFOIL000</v>
      </c>
      <c r="C15" s="520" t="s">
        <v>677</v>
      </c>
      <c r="D15" s="52" t="s">
        <v>826</v>
      </c>
      <c r="E15" s="52"/>
      <c r="F15" s="410" t="s">
        <v>440</v>
      </c>
      <c r="G15" s="339">
        <f ca="1">G$10</f>
        <v>11</v>
      </c>
      <c r="H15" s="53">
        <f ca="1">VLOOKUP($E16,Calibration2!$A$211:$U$215,$G15+2,0)</f>
        <v>0</v>
      </c>
      <c r="I15" s="53">
        <f ca="1">VLOOKUP($E16,Calibrati22!$A$211:$U$215,$G15+2,0)</f>
        <v>0</v>
      </c>
      <c r="J15" s="55">
        <f ca="1">INDEX(Calibration2!$C$210:$U$210,G15)</f>
        <v>0.35</v>
      </c>
      <c r="K15" s="55">
        <v>1</v>
      </c>
      <c r="L15" s="544">
        <f>SUM(H15:H17)*J15</f>
        <v>7.0506839275865404E-4</v>
      </c>
      <c r="M15" s="544">
        <f>SUM(I15:I17)*K15*J15</f>
        <v>4.0817500711372892E-4</v>
      </c>
      <c r="N15" s="542">
        <f>IF(H15&gt;0,H15/L15,0)</f>
        <v>0</v>
      </c>
      <c r="O15" s="542">
        <f>IF(I15&gt;0,I15/M15,0)</f>
        <v>0</v>
      </c>
      <c r="P15" s="57"/>
      <c r="Q15" s="49">
        <v>0.7</v>
      </c>
      <c r="R15" s="12">
        <v>30</v>
      </c>
      <c r="S15" s="544">
        <f>L15</f>
        <v>7.0506839275865404E-4</v>
      </c>
      <c r="T15" s="544">
        <f>M15</f>
        <v>4.0817500711372892E-4</v>
      </c>
      <c r="U15" s="49">
        <v>0</v>
      </c>
      <c r="V15" s="49">
        <v>3</v>
      </c>
      <c r="W15" s="12"/>
      <c r="X15" s="12"/>
      <c r="Y15" s="12"/>
      <c r="Z15" s="12"/>
      <c r="AA15" s="12"/>
      <c r="AB15" s="127"/>
    </row>
    <row r="16" spans="1:28">
      <c r="A16" s="221"/>
      <c r="B16" s="52"/>
      <c r="C16" s="520"/>
      <c r="D16" s="52" t="s">
        <v>907</v>
      </c>
      <c r="E16" s="52" t="s">
        <v>862</v>
      </c>
      <c r="F16" s="410"/>
      <c r="G16" s="339">
        <f ca="1">G$11</f>
        <v>3</v>
      </c>
      <c r="H16" s="53">
        <f ca="1">VLOOKUP($E16,Calibration2!$A$211:$U$215,$G16+2,0)</f>
        <v>2.0144811221675832E-3</v>
      </c>
      <c r="I16" s="53">
        <f ca="1">VLOOKUP($E16,Calibrati22!$A$211:$U$215,$G16+2,0)</f>
        <v>1.1662143060392255E-3</v>
      </c>
      <c r="J16" s="55"/>
      <c r="K16" s="55"/>
      <c r="L16" s="544"/>
      <c r="M16" s="9"/>
      <c r="N16" s="542">
        <f>IF(H16&gt;0,H16/L15,0)</f>
        <v>2.8571428571428572</v>
      </c>
      <c r="O16" s="542">
        <f>IF(I16&gt;0,I16/M15,0)</f>
        <v>2.8571428571428572</v>
      </c>
      <c r="P16" s="57"/>
      <c r="Q16" s="49"/>
      <c r="R16" s="12"/>
      <c r="S16" s="544"/>
      <c r="T16" s="544"/>
      <c r="U16" s="49"/>
      <c r="V16" s="49"/>
      <c r="W16" s="12"/>
      <c r="X16" s="12"/>
      <c r="Y16" s="12"/>
      <c r="Z16" s="12"/>
      <c r="AA16" s="12"/>
      <c r="AB16" s="127"/>
    </row>
    <row r="17" spans="1:28">
      <c r="A17" s="221"/>
      <c r="B17" s="52"/>
      <c r="C17" s="520"/>
      <c r="D17" s="52" t="s">
        <v>915</v>
      </c>
      <c r="E17" s="52"/>
      <c r="F17" s="410"/>
      <c r="G17" s="339">
        <f ca="1">G$12</f>
        <v>13</v>
      </c>
      <c r="H17" s="53">
        <f ca="1">VLOOKUP($E16,Calibration2!$A$211:$U$215,$G17+2,0)</f>
        <v>0</v>
      </c>
      <c r="I17" s="53">
        <f ca="1">VLOOKUP($E16,Calibrati22!$A$211:$U$215,$G17+2,0)</f>
        <v>0</v>
      </c>
      <c r="J17" s="55"/>
      <c r="K17" s="55"/>
      <c r="L17" s="544"/>
      <c r="M17" s="9"/>
      <c r="N17" s="542">
        <f>IF(H17&gt;0,H17/L15,0)</f>
        <v>0</v>
      </c>
      <c r="O17" s="542">
        <f>IF(I17&gt;0,I17/M15,0)</f>
        <v>0</v>
      </c>
      <c r="P17" s="57"/>
      <c r="Q17" s="49"/>
      <c r="R17" s="12"/>
      <c r="S17" s="544"/>
      <c r="T17" s="544"/>
      <c r="U17" s="49"/>
      <c r="V17" s="49"/>
      <c r="W17" s="12"/>
      <c r="X17" s="12"/>
      <c r="Y17" s="12"/>
      <c r="Z17" s="12"/>
      <c r="AA17" s="12"/>
      <c r="AB17" s="127"/>
    </row>
    <row r="18" spans="1:28">
      <c r="A18" s="221"/>
      <c r="B18" s="264" t="str">
        <f>E19&amp;RIGHT(D18,3)&amp;"000"</f>
        <v>IMCHELC000</v>
      </c>
      <c r="C18" s="520" t="s">
        <v>678</v>
      </c>
      <c r="D18" s="52" t="s">
        <v>1248</v>
      </c>
      <c r="E18" s="52"/>
      <c r="F18" s="410" t="s">
        <v>725</v>
      </c>
      <c r="G18" s="339">
        <f ca="1">G$8</f>
        <v>1</v>
      </c>
      <c r="H18" s="53">
        <f ca="1">VLOOKUP($E19,Calibration2!$A$211:$U$215,$G18+2,0)</f>
        <v>0.22277905567970444</v>
      </c>
      <c r="I18" s="53">
        <f ca="1">VLOOKUP($E19,Calibrati22!$A$211:$U$215,$G18+2,0)</f>
        <v>0.15690695509570066</v>
      </c>
      <c r="J18" s="55">
        <f ca="1">INDEX(Calibration2!$C$210:$U$210,G18)</f>
        <v>0.86</v>
      </c>
      <c r="K18" s="55">
        <v>1</v>
      </c>
      <c r="L18" s="544">
        <f>H18*J18</f>
        <v>0.19158998788454581</v>
      </c>
      <c r="M18" s="544">
        <f>I18*K18*J18</f>
        <v>0.13493998138230257</v>
      </c>
      <c r="N18" s="542">
        <f>1/J18/K18</f>
        <v>1.1627906976744187</v>
      </c>
      <c r="O18" s="542">
        <f>1/J18/K18</f>
        <v>1.1627906976744187</v>
      </c>
      <c r="P18" s="57">
        <f>O18*0.985</f>
        <v>1.1453488372093024</v>
      </c>
      <c r="Q18" s="49">
        <v>0.7</v>
      </c>
      <c r="R18" s="12">
        <v>30</v>
      </c>
      <c r="S18" s="544">
        <f>L18*0.99</f>
        <v>0.18967408800570035</v>
      </c>
      <c r="T18" s="544">
        <f>M18*0.99</f>
        <v>0.13359058156847953</v>
      </c>
      <c r="U18" s="411">
        <f>S18*0.15</f>
        <v>2.8451113200855051E-2</v>
      </c>
      <c r="V18" s="49">
        <v>1</v>
      </c>
      <c r="W18" s="12"/>
      <c r="X18" s="12"/>
      <c r="Y18" s="17"/>
      <c r="Z18" s="17"/>
      <c r="AA18" s="17"/>
      <c r="AB18" s="127">
        <f>H18/$H$33</f>
        <v>0.44293482013107666</v>
      </c>
    </row>
    <row r="19" spans="1:28">
      <c r="A19" s="221"/>
      <c r="B19" s="52"/>
      <c r="C19" s="520"/>
      <c r="D19" s="52"/>
      <c r="E19" s="52" t="s">
        <v>572</v>
      </c>
      <c r="F19" s="410" t="s">
        <v>725</v>
      </c>
      <c r="G19" s="339"/>
      <c r="H19" s="53"/>
      <c r="I19" s="53"/>
      <c r="J19" s="55"/>
      <c r="K19" s="55"/>
      <c r="L19" s="544"/>
      <c r="M19" s="9"/>
      <c r="N19" s="542"/>
      <c r="O19" s="542"/>
      <c r="P19" s="57"/>
      <c r="Q19" s="49"/>
      <c r="R19" s="12"/>
      <c r="S19" s="544"/>
      <c r="T19" s="544"/>
      <c r="U19" s="49"/>
      <c r="V19" s="49"/>
      <c r="W19" s="12"/>
      <c r="X19" s="12"/>
      <c r="Y19" s="17">
        <f>MIN(1/(1+L20/L18),1/(1+M20/M18)-0.005)</f>
        <v>0.68377060698679182</v>
      </c>
      <c r="Z19" s="17">
        <f>Y19*0.8</f>
        <v>0.5470164855894335</v>
      </c>
      <c r="AA19" s="17">
        <f>Z19*0.7</f>
        <v>0.3829115399126034</v>
      </c>
      <c r="AB19" s="127"/>
    </row>
    <row r="20" spans="1:28">
      <c r="A20" s="221"/>
      <c r="B20" s="264" t="str">
        <f>E21&amp;RIGHT(D20,3)&amp;"000"</f>
        <v>IMCHOIL000</v>
      </c>
      <c r="C20" s="520" t="s">
        <v>677</v>
      </c>
      <c r="D20" s="52" t="s">
        <v>826</v>
      </c>
      <c r="E20" s="52"/>
      <c r="F20" s="410" t="s">
        <v>440</v>
      </c>
      <c r="G20" s="339">
        <f ca="1">G$10</f>
        <v>11</v>
      </c>
      <c r="H20" s="53">
        <f ca="1">VLOOKUP($E21,Calibration2!$A$211:$U$215,$G20+2,0)</f>
        <v>2.307452295542299E-4</v>
      </c>
      <c r="I20" s="53">
        <f ca="1">VLOOKUP($E21,Calibrati22!$A$211:$U$215,$G20+2,0)</f>
        <v>2.9643892648569476E-5</v>
      </c>
      <c r="J20" s="55">
        <f ca="1">INDEX(Calibration2!$C$210:$U$210,G20)</f>
        <v>0.35</v>
      </c>
      <c r="K20" s="55">
        <v>1</v>
      </c>
      <c r="L20" s="544">
        <f>SUM(H20:H22)*J20</f>
        <v>8.671423233011781E-3</v>
      </c>
      <c r="M20" s="544">
        <f>SUM(I20:I22)*K20*J20</f>
        <v>6.0974275140101911E-2</v>
      </c>
      <c r="N20" s="542">
        <f>IF(H20&gt;0,H20/L20,0)</f>
        <v>2.6609845160802614E-2</v>
      </c>
      <c r="O20" s="542">
        <f>IF(I20&gt;0,I20/M20,0)</f>
        <v>4.8617048059129957E-4</v>
      </c>
      <c r="P20" s="57"/>
      <c r="Q20" s="49">
        <v>0.7</v>
      </c>
      <c r="R20" s="12">
        <v>30</v>
      </c>
      <c r="S20" s="544">
        <f>L20</f>
        <v>8.671423233011781E-3</v>
      </c>
      <c r="T20" s="544">
        <f>M20</f>
        <v>6.0974275140101911E-2</v>
      </c>
      <c r="U20" s="49">
        <v>0</v>
      </c>
      <c r="V20" s="49">
        <v>3</v>
      </c>
      <c r="W20" s="12"/>
      <c r="X20" s="12"/>
      <c r="Y20" s="12"/>
      <c r="Z20" s="12"/>
      <c r="AA20" s="12"/>
      <c r="AB20" s="127"/>
    </row>
    <row r="21" spans="1:28">
      <c r="A21" s="221"/>
      <c r="B21" s="52"/>
      <c r="C21" s="520"/>
      <c r="D21" s="52" t="s">
        <v>907</v>
      </c>
      <c r="E21" s="52" t="s">
        <v>572</v>
      </c>
      <c r="F21" s="410"/>
      <c r="G21" s="339">
        <f ca="1">G$11</f>
        <v>3</v>
      </c>
      <c r="H21" s="53">
        <f ca="1">VLOOKUP($E21,Calibration2!$A$211:$U$215,$G21+2,0)</f>
        <v>2.4544749721908003E-2</v>
      </c>
      <c r="I21" s="53">
        <f ca="1">VLOOKUP($E21,Calibrati22!$A$211:$U$215,$G21+2,0)</f>
        <v>9.5643212579191589E-2</v>
      </c>
      <c r="J21" s="55"/>
      <c r="K21" s="55"/>
      <c r="L21" s="544"/>
      <c r="M21" s="9"/>
      <c r="N21" s="542">
        <f>IF(H21&gt;0,H21/L20,0)</f>
        <v>2.8305330119820549</v>
      </c>
      <c r="O21" s="542">
        <f>IF(I21&gt;0,I21/M20,0)</f>
        <v>1.5685830189769392</v>
      </c>
      <c r="P21" s="57"/>
      <c r="Q21" s="49"/>
      <c r="R21" s="12"/>
      <c r="S21" s="544"/>
      <c r="T21" s="544"/>
      <c r="U21" s="49"/>
      <c r="V21" s="49"/>
      <c r="W21" s="12"/>
      <c r="X21" s="12"/>
      <c r="Y21" s="12"/>
      <c r="Z21" s="12"/>
      <c r="AA21" s="12"/>
      <c r="AB21" s="127"/>
    </row>
    <row r="22" spans="1:28">
      <c r="A22" s="221"/>
      <c r="B22" s="52"/>
      <c r="C22" s="520"/>
      <c r="D22" s="52" t="s">
        <v>915</v>
      </c>
      <c r="E22" s="52"/>
      <c r="F22" s="410"/>
      <c r="G22" s="339">
        <f ca="1">G$12</f>
        <v>13</v>
      </c>
      <c r="H22" s="53">
        <f ca="1">VLOOKUP($E21,Calibration2!$A$211:$U$215,$G22+2,0)</f>
        <v>0</v>
      </c>
      <c r="I22" s="53">
        <f ca="1">VLOOKUP($E21,Calibrati22!$A$211:$U$215,$G22+2,0)</f>
        <v>7.8539358214165314E-2</v>
      </c>
      <c r="J22" s="55"/>
      <c r="K22" s="55"/>
      <c r="L22" s="544"/>
      <c r="M22" s="9"/>
      <c r="N22" s="542">
        <f>IF(H22&gt;0,H22/L20,0)</f>
        <v>0</v>
      </c>
      <c r="O22" s="542">
        <f>IF(I22&gt;0,I22/M20,0)</f>
        <v>1.2880736676853268</v>
      </c>
      <c r="P22" s="57"/>
      <c r="Q22" s="49"/>
      <c r="R22" s="12"/>
      <c r="S22" s="544"/>
      <c r="T22" s="544"/>
      <c r="U22" s="49"/>
      <c r="V22" s="49"/>
      <c r="W22" s="12"/>
      <c r="X22" s="12"/>
      <c r="Y22" s="12"/>
      <c r="Z22" s="12"/>
      <c r="AA22" s="12"/>
      <c r="AB22" s="127"/>
    </row>
    <row r="23" spans="1:28">
      <c r="A23" s="221"/>
      <c r="B23" s="264" t="str">
        <f>E24&amp;RIGHT(D23,3)&amp;"000"</f>
        <v>IMNMELC000</v>
      </c>
      <c r="C23" s="520" t="s">
        <v>678</v>
      </c>
      <c r="D23" s="52" t="s">
        <v>1247</v>
      </c>
      <c r="E23" s="52"/>
      <c r="F23" s="410" t="s">
        <v>725</v>
      </c>
      <c r="G23" s="339">
        <f ca="1">G$8</f>
        <v>1</v>
      </c>
      <c r="H23" s="53">
        <f ca="1">VLOOKUP($E24,Calibration2!$A$211:$U$215,$G23+2,0)</f>
        <v>7.8875065098693228E-2</v>
      </c>
      <c r="I23" s="53">
        <f ca="1">VLOOKUP($E24,Calibrati22!$A$211:$U$215,$G23+2,0)</f>
        <v>2.7240648634223635E-2</v>
      </c>
      <c r="J23" s="55">
        <f ca="1">INDEX(Calibration2!$C$210:$U$210,G23)</f>
        <v>0.86</v>
      </c>
      <c r="K23" s="55">
        <v>1</v>
      </c>
      <c r="L23" s="544">
        <f>H23*J23</f>
        <v>6.7832555984876169E-2</v>
      </c>
      <c r="M23" s="544">
        <f>I23*K23*J23</f>
        <v>2.3426957825432325E-2</v>
      </c>
      <c r="N23" s="542">
        <f>1/J23/K23</f>
        <v>1.1627906976744187</v>
      </c>
      <c r="O23" s="542">
        <f>1/J23/K23</f>
        <v>1.1627906976744187</v>
      </c>
      <c r="P23" s="57">
        <f>O23*0.985</f>
        <v>1.1453488372093024</v>
      </c>
      <c r="Q23" s="49">
        <v>0.7</v>
      </c>
      <c r="R23" s="12">
        <v>30</v>
      </c>
      <c r="S23" s="544">
        <f>L23*0.99</f>
        <v>6.7154230425027411E-2</v>
      </c>
      <c r="T23" s="544">
        <f>M23*0.99</f>
        <v>2.3192688247178E-2</v>
      </c>
      <c r="U23" s="411">
        <f>S23*0.15</f>
        <v>1.0073134563754112E-2</v>
      </c>
      <c r="V23" s="49">
        <v>1</v>
      </c>
      <c r="W23" s="12"/>
      <c r="X23" s="12"/>
      <c r="Y23" s="17"/>
      <c r="Z23" s="17"/>
      <c r="AA23" s="17"/>
      <c r="AB23" s="127">
        <f>H23/$H$33</f>
        <v>0.15682135228432706</v>
      </c>
    </row>
    <row r="24" spans="1:28">
      <c r="A24" s="221"/>
      <c r="B24" s="52"/>
      <c r="C24" s="520"/>
      <c r="D24" s="52"/>
      <c r="E24" s="52" t="s">
        <v>653</v>
      </c>
      <c r="F24" s="410" t="s">
        <v>725</v>
      </c>
      <c r="G24" s="339"/>
      <c r="H24" s="53"/>
      <c r="I24" s="53"/>
      <c r="J24" s="55"/>
      <c r="K24" s="55"/>
      <c r="L24" s="544"/>
      <c r="M24" s="9"/>
      <c r="N24" s="542"/>
      <c r="O24" s="542"/>
      <c r="P24" s="57"/>
      <c r="Q24" s="49"/>
      <c r="R24" s="12"/>
      <c r="S24" s="544"/>
      <c r="T24" s="544"/>
      <c r="U24" s="49"/>
      <c r="V24" s="49"/>
      <c r="W24" s="12"/>
      <c r="X24" s="12"/>
      <c r="Y24" s="17">
        <f>MIN(1/(1+L25/L23),1/(1+M25/M23)-0.005)</f>
        <v>0.92496931979474839</v>
      </c>
      <c r="Z24" s="17">
        <f>Y24*0.8</f>
        <v>0.73997545583579871</v>
      </c>
      <c r="AA24" s="17">
        <f>Z24*0.7</f>
        <v>0.51798281908505905</v>
      </c>
      <c r="AB24" s="127"/>
    </row>
    <row r="25" spans="1:28">
      <c r="A25" s="221"/>
      <c r="B25" s="264" t="str">
        <f>E26&amp;RIGHT(D25,3)&amp;"000"</f>
        <v>IMNMOIL000</v>
      </c>
      <c r="C25" s="520" t="s">
        <v>677</v>
      </c>
      <c r="D25" s="52" t="s">
        <v>826</v>
      </c>
      <c r="E25" s="52"/>
      <c r="F25" s="410" t="s">
        <v>440</v>
      </c>
      <c r="G25" s="339">
        <f ca="1">G$10</f>
        <v>11</v>
      </c>
      <c r="H25" s="53">
        <f ca="1">VLOOKUP($E26,Calibration2!$A$211:$U$215,$G25+2,0)</f>
        <v>2.4082340133711609E-3</v>
      </c>
      <c r="I25" s="53">
        <f ca="1">VLOOKUP($E26,Calibrati22!$A$211:$U$215,$G25+2,0)</f>
        <v>1.0087255879915676E-3</v>
      </c>
      <c r="J25" s="55">
        <f ca="1">INDEX(Calibration2!$C$210:$U$210,G25)</f>
        <v>0.35</v>
      </c>
      <c r="K25" s="55">
        <v>1</v>
      </c>
      <c r="L25" s="544">
        <f>SUM(H25:H27)*J25</f>
        <v>3.8285034705577369E-3</v>
      </c>
      <c r="M25" s="544">
        <f>SUM(I25:I27)*K25*J25</f>
        <v>1.7641504474759037E-3</v>
      </c>
      <c r="N25" s="542">
        <f>IF(H25&gt;0,H25/L25,0)</f>
        <v>0.62902751215746688</v>
      </c>
      <c r="O25" s="542">
        <f>IF(I25&gt;0,I25/M25,0)</f>
        <v>0.5717911357474208</v>
      </c>
      <c r="P25" s="57"/>
      <c r="Q25" s="49">
        <v>0.7</v>
      </c>
      <c r="R25" s="12">
        <v>30</v>
      </c>
      <c r="S25" s="544">
        <f>L25</f>
        <v>3.8285034705577369E-3</v>
      </c>
      <c r="T25" s="544">
        <f>M25</f>
        <v>1.7641504474759037E-3</v>
      </c>
      <c r="U25" s="49">
        <v>0</v>
      </c>
      <c r="V25" s="49">
        <v>3</v>
      </c>
      <c r="W25" s="12"/>
      <c r="X25" s="12"/>
      <c r="Y25" s="12"/>
      <c r="Z25" s="12"/>
      <c r="AA25" s="12"/>
      <c r="AB25" s="127"/>
    </row>
    <row r="26" spans="1:28">
      <c r="A26" s="221"/>
      <c r="B26" s="52"/>
      <c r="C26" s="520"/>
      <c r="D26" s="52" t="s">
        <v>907</v>
      </c>
      <c r="E26" s="52" t="s">
        <v>653</v>
      </c>
      <c r="F26" s="410"/>
      <c r="G26" s="339">
        <f ca="1">G$11</f>
        <v>3</v>
      </c>
      <c r="H26" s="53">
        <f ca="1">VLOOKUP($E26,Calibration2!$A$211:$U$215,$G26+2,0)</f>
        <v>8.5303473310795169E-3</v>
      </c>
      <c r="I26" s="53">
        <f ca="1">VLOOKUP($E26,Calibrati22!$A$211:$U$215,$G26+2,0)</f>
        <v>4.031704261939586E-3</v>
      </c>
      <c r="J26" s="55"/>
      <c r="K26" s="55"/>
      <c r="L26" s="544"/>
      <c r="M26" s="9"/>
      <c r="N26" s="542">
        <f>IF(H26&gt;0,H26/L25,0)</f>
        <v>2.2281153449853903</v>
      </c>
      <c r="O26" s="542">
        <f>IF(I26&gt;0,I26/M25,0)</f>
        <v>2.2853517213954366</v>
      </c>
      <c r="P26" s="57"/>
      <c r="Q26" s="49"/>
      <c r="R26" s="12"/>
      <c r="S26" s="544"/>
      <c r="T26" s="544"/>
      <c r="U26" s="49"/>
      <c r="V26" s="49"/>
      <c r="W26" s="12"/>
      <c r="X26" s="12"/>
      <c r="Y26" s="12"/>
      <c r="Z26" s="12"/>
      <c r="AA26" s="12"/>
      <c r="AB26" s="127"/>
    </row>
    <row r="27" spans="1:28">
      <c r="A27" s="221"/>
      <c r="B27" s="52"/>
      <c r="C27" s="520"/>
      <c r="D27" s="52" t="s">
        <v>915</v>
      </c>
      <c r="E27" s="52"/>
      <c r="F27" s="410"/>
      <c r="G27" s="339">
        <f ca="1">G$12</f>
        <v>13</v>
      </c>
      <c r="H27" s="53">
        <f ca="1">VLOOKUP($E26,Calibration2!$A$211:$U$215,$G27+2,0)</f>
        <v>0</v>
      </c>
      <c r="I27" s="53">
        <f ca="1">VLOOKUP($E26,Calibrati22!$A$211:$U$215,$G27+2,0)</f>
        <v>0</v>
      </c>
      <c r="J27" s="55"/>
      <c r="K27" s="55"/>
      <c r="L27" s="544"/>
      <c r="M27" s="9"/>
      <c r="N27" s="542">
        <f>IF(H27&gt;0,H27/L25,0)</f>
        <v>0</v>
      </c>
      <c r="O27" s="542">
        <f>IF(I27&gt;0,I27/M25,0)</f>
        <v>0</v>
      </c>
      <c r="P27" s="57"/>
      <c r="Q27" s="49"/>
      <c r="R27" s="12"/>
      <c r="S27" s="544"/>
      <c r="T27" s="544"/>
      <c r="U27" s="49"/>
      <c r="V27" s="49"/>
      <c r="W27" s="12"/>
      <c r="X27" s="12"/>
      <c r="Y27" s="12"/>
      <c r="Z27" s="12"/>
      <c r="AA27" s="12"/>
      <c r="AB27" s="127"/>
    </row>
    <row r="28" spans="1:28">
      <c r="B28" s="264" t="str">
        <f>E29&amp;RIGHT(D28,3)&amp;"000"</f>
        <v>IMLPELC000</v>
      </c>
      <c r="C28" s="520" t="s">
        <v>678</v>
      </c>
      <c r="D28" s="52" t="s">
        <v>1249</v>
      </c>
      <c r="E28" s="52"/>
      <c r="F28" s="410" t="s">
        <v>725</v>
      </c>
      <c r="G28" s="339">
        <f ca="1">G$8</f>
        <v>1</v>
      </c>
      <c r="H28" s="53">
        <f ca="1">VLOOKUP($E29,Calibration2!$A$211:$U$215,$G28+2,0)</f>
        <v>5.1333906859271923E-2</v>
      </c>
      <c r="I28" s="53">
        <f ca="1">VLOOKUP($E29,Calibrati22!$A$211:$U$215,$G28+2,0)</f>
        <v>1.0242424629259511E-2</v>
      </c>
      <c r="J28" s="55">
        <f ca="1">INDEX(Calibration2!$C$210:$U$210,G28)</f>
        <v>0.86</v>
      </c>
      <c r="K28" s="55">
        <v>1</v>
      </c>
      <c r="L28" s="544">
        <f>H28*J28</f>
        <v>4.4147159898973852E-2</v>
      </c>
      <c r="M28" s="544">
        <f>I28*K28*J28</f>
        <v>8.8084851811631795E-3</v>
      </c>
      <c r="N28" s="542">
        <f>1/J28/K28</f>
        <v>1.1627906976744187</v>
      </c>
      <c r="O28" s="542">
        <f>1/J28/K28</f>
        <v>1.1627906976744187</v>
      </c>
      <c r="P28" s="57">
        <f>O28*0.985</f>
        <v>1.1453488372093024</v>
      </c>
      <c r="Q28" s="49">
        <v>0.7</v>
      </c>
      <c r="R28" s="12">
        <v>30</v>
      </c>
      <c r="S28" s="544">
        <f ca="1">(L28-'ILP0002'!G$62*J28)*0.999</f>
        <v>4.1029742256865197E-2</v>
      </c>
      <c r="T28" s="544">
        <f ca="1">(M28-'ILP0002'!H$62*K28*J28)*0.999</f>
        <v>8.0875224808390801E-3</v>
      </c>
      <c r="U28" s="411">
        <f>S28*0.15</f>
        <v>6.1544613385297797E-3</v>
      </c>
      <c r="V28" s="49">
        <v>1</v>
      </c>
      <c r="W28" s="12"/>
      <c r="X28" s="12"/>
      <c r="Y28" s="17"/>
      <c r="Z28" s="17"/>
      <c r="AA28" s="17"/>
      <c r="AB28" s="127">
        <f>H28/$H$33</f>
        <v>0.10206334133145571</v>
      </c>
    </row>
    <row r="29" spans="1:28">
      <c r="A29" s="221"/>
      <c r="B29" s="52"/>
      <c r="C29" s="520"/>
      <c r="D29" s="52"/>
      <c r="E29" s="52" t="s">
        <v>981</v>
      </c>
      <c r="F29" s="410" t="s">
        <v>725</v>
      </c>
      <c r="G29" s="339"/>
      <c r="H29" s="53"/>
      <c r="I29" s="53"/>
      <c r="J29" s="55"/>
      <c r="K29" s="55"/>
      <c r="L29" s="544"/>
      <c r="M29" s="9"/>
      <c r="N29" s="542"/>
      <c r="O29" s="542"/>
      <c r="P29" s="57"/>
      <c r="Q29" s="49"/>
      <c r="R29" s="12"/>
      <c r="S29" s="544"/>
      <c r="T29" s="544"/>
      <c r="U29" s="49"/>
      <c r="V29" s="49"/>
      <c r="W29" s="12"/>
      <c r="X29" s="12"/>
      <c r="Y29" s="17">
        <f>1/(1+M30/M28)-0.005</f>
        <v>0.995</v>
      </c>
      <c r="Z29" s="17">
        <f>Y29*0.8</f>
        <v>0.79600000000000004</v>
      </c>
      <c r="AA29" s="17">
        <f>Z29*0.7</f>
        <v>0.55720000000000003</v>
      </c>
      <c r="AB29" s="127"/>
    </row>
    <row r="30" spans="1:28">
      <c r="B30" s="264" t="str">
        <f>E31&amp;RIGHT(D30,3)&amp;"000"</f>
        <v>IMLPOIL000</v>
      </c>
      <c r="C30" s="520" t="s">
        <v>677</v>
      </c>
      <c r="D30" s="52" t="s">
        <v>826</v>
      </c>
      <c r="E30" s="52"/>
      <c r="F30" s="410" t="s">
        <v>440</v>
      </c>
      <c r="G30" s="339">
        <f ca="1">G$10</f>
        <v>11</v>
      </c>
      <c r="H30" s="53">
        <f ca="1">VLOOKUP($E31,Calibration2!$A$211:$U$215,$G30+2,0)</f>
        <v>0</v>
      </c>
      <c r="I30" s="53">
        <f ca="1">VLOOKUP($E31,Calibrati22!$A$211:$U$215,$G30+2,0)</f>
        <v>0</v>
      </c>
      <c r="J30" s="55">
        <f ca="1">INDEX(Calibration2!$C$210:$U$210,G30)</f>
        <v>0.35</v>
      </c>
      <c r="K30" s="55">
        <v>1</v>
      </c>
      <c r="L30" s="544">
        <f>SUM(H30:H32)*J30</f>
        <v>0</v>
      </c>
      <c r="M30" s="544">
        <f>SUM(I30:I32)*K30*J30</f>
        <v>0</v>
      </c>
      <c r="N30" s="542">
        <f>IF(H30&gt;0,H30/L30,0)</f>
        <v>0</v>
      </c>
      <c r="O30" s="542">
        <f>IF(I30&gt;0,I30/M30,0)</f>
        <v>0</v>
      </c>
      <c r="P30" s="57"/>
      <c r="Q30" s="49">
        <v>0.7</v>
      </c>
      <c r="R30" s="12">
        <v>30</v>
      </c>
      <c r="S30" s="544">
        <f>L30</f>
        <v>0</v>
      </c>
      <c r="T30" s="544">
        <f>M30</f>
        <v>0</v>
      </c>
      <c r="U30" s="49">
        <v>0</v>
      </c>
      <c r="V30" s="49">
        <v>3</v>
      </c>
      <c r="W30" s="12"/>
      <c r="X30" s="12"/>
      <c r="Y30" s="12"/>
      <c r="Z30" s="12"/>
      <c r="AA30" s="12"/>
      <c r="AB30" s="127"/>
    </row>
    <row r="31" spans="1:28">
      <c r="A31" s="221"/>
      <c r="B31" s="52"/>
      <c r="C31" s="50"/>
      <c r="D31" s="52" t="s">
        <v>907</v>
      </c>
      <c r="E31" s="52" t="s">
        <v>981</v>
      </c>
      <c r="F31" s="410"/>
      <c r="G31" s="339">
        <f ca="1">G$11</f>
        <v>3</v>
      </c>
      <c r="H31" s="53">
        <f ca="1">VLOOKUP($E31,Calibration2!$A$211:$U$215,$G31+2,0)</f>
        <v>0</v>
      </c>
      <c r="I31" s="53">
        <f ca="1">VLOOKUP($E31,Calibrati22!$A$211:$U$215,$G31+2,0)</f>
        <v>0</v>
      </c>
      <c r="J31" s="55"/>
      <c r="K31" s="55"/>
      <c r="L31" s="544"/>
      <c r="M31" s="9"/>
      <c r="N31" s="542">
        <f>IF(H31&gt;0,H31/L30,0)</f>
        <v>0</v>
      </c>
      <c r="O31" s="542">
        <f>IF(I31&gt;0,I31/M30,0)</f>
        <v>0</v>
      </c>
      <c r="P31" s="57"/>
      <c r="Q31" s="49"/>
      <c r="R31" s="12"/>
      <c r="S31" s="544"/>
      <c r="T31" s="544"/>
      <c r="U31" s="49"/>
      <c r="V31" s="49"/>
      <c r="W31" s="12"/>
      <c r="X31" s="12"/>
      <c r="Y31" s="12"/>
      <c r="Z31" s="12"/>
      <c r="AA31" s="12"/>
      <c r="AB31" s="127"/>
    </row>
    <row r="32" spans="1:28">
      <c r="B32" s="52"/>
      <c r="C32" s="50"/>
      <c r="D32" s="52" t="s">
        <v>915</v>
      </c>
      <c r="E32" s="52"/>
      <c r="F32" s="410"/>
      <c r="G32" s="339">
        <f ca="1">G$12</f>
        <v>13</v>
      </c>
      <c r="H32" s="53">
        <f ca="1">VLOOKUP($E31,Calibration2!$A$211:$U$215,$G32+2,0)</f>
        <v>0</v>
      </c>
      <c r="I32" s="53">
        <f ca="1">VLOOKUP($E31,Calibrati22!$A$211:$U$215,$G32+2,0)</f>
        <v>0</v>
      </c>
      <c r="J32" s="55"/>
      <c r="K32" s="55"/>
      <c r="L32" s="544"/>
      <c r="M32" s="9"/>
      <c r="N32" s="542">
        <f>IF(H32&gt;0,H32/L30,0)</f>
        <v>0</v>
      </c>
      <c r="O32" s="542">
        <f>IF(I32&gt;0,I32/M30,0)</f>
        <v>0</v>
      </c>
      <c r="P32" s="57"/>
      <c r="Q32" s="49"/>
      <c r="R32" s="12"/>
      <c r="S32" s="544"/>
      <c r="T32" s="544"/>
      <c r="U32" s="49"/>
      <c r="V32" s="49"/>
      <c r="W32" s="12"/>
      <c r="X32" s="12"/>
      <c r="Y32" s="12"/>
      <c r="Z32" s="12"/>
      <c r="AA32" s="12"/>
      <c r="AB32" s="127"/>
    </row>
    <row r="33" spans="2:28">
      <c r="B33" s="192" t="s">
        <v>902</v>
      </c>
      <c r="C33" s="198"/>
      <c r="D33" s="198"/>
      <c r="E33" s="198"/>
      <c r="F33" s="198"/>
      <c r="G33" s="200"/>
      <c r="H33" s="199">
        <f>SUM(H8:H32)</f>
        <v>0.50296126101302663</v>
      </c>
      <c r="I33" s="199">
        <f>SUM(I8:I32)</f>
        <v>0.41138206780167874</v>
      </c>
      <c r="J33" s="199"/>
      <c r="K33" s="198"/>
      <c r="L33" s="199">
        <f>SUM(L8:L32)</f>
        <v>0.41063453137893152</v>
      </c>
      <c r="M33" s="199">
        <f>SUM(M8:M32)</f>
        <v>0.26109069515507294</v>
      </c>
      <c r="N33" s="200"/>
      <c r="O33" s="200"/>
      <c r="P33" s="200" t="s">
        <v>784</v>
      </c>
      <c r="Q33" s="201"/>
      <c r="R33" s="198"/>
      <c r="S33" s="199">
        <f>SUM(S8:S32)</f>
        <v>0.40400261754324474</v>
      </c>
      <c r="T33" s="199">
        <f>SUM(T8:T32)</f>
        <v>0.25848307229822604</v>
      </c>
      <c r="U33" s="198"/>
      <c r="V33" s="198"/>
      <c r="W33" s="198"/>
      <c r="X33" s="198"/>
      <c r="Y33" s="198"/>
      <c r="Z33" s="198"/>
      <c r="AA33" s="198"/>
      <c r="AB33" s="199">
        <f>SUM(AB8:AB32)</f>
        <v>0.91457591390489945</v>
      </c>
    </row>
    <row r="34" spans="2:28">
      <c r="H34" s="2"/>
      <c r="J34" s="2"/>
      <c r="L34" s="2"/>
      <c r="Q34" s="4"/>
    </row>
  </sheetData>
  <phoneticPr fontId="25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591111"/>
  <dimension ref="A1:AI106"/>
  <sheetViews>
    <sheetView topLeftCell="A21" zoomScale="75" workbookViewId="0">
      <selection activeCell="S37" sqref="S37"/>
    </sheetView>
  </sheetViews>
  <sheetFormatPr defaultColWidth="8.85546875" defaultRowHeight="12.75"/>
  <cols>
    <col min="1" max="1" width="8.85546875" customWidth="1"/>
    <col min="2" max="2" width="15.42578125" customWidth="1"/>
    <col min="3" max="3" width="26.42578125" customWidth="1"/>
    <col min="4" max="4" width="11.28515625" customWidth="1"/>
    <col min="5" max="5" width="10.42578125" customWidth="1"/>
    <col min="6" max="6" width="8.85546875" customWidth="1"/>
    <col min="7" max="12" width="10.7109375" bestFit="1" customWidth="1"/>
    <col min="13" max="14" width="11.42578125" customWidth="1"/>
  </cols>
  <sheetData>
    <row r="1" spans="1:16" ht="18">
      <c r="A1" s="5" t="s">
        <v>790</v>
      </c>
    </row>
    <row r="2" spans="1:16" ht="18">
      <c r="A2" s="8"/>
      <c r="D2" s="216"/>
    </row>
    <row r="3" spans="1:16" ht="18">
      <c r="A3" s="8"/>
      <c r="B3" s="86" t="s">
        <v>1127</v>
      </c>
      <c r="C3" s="88"/>
      <c r="D3" s="216"/>
    </row>
    <row r="5" spans="1:16" ht="20.25" customHeight="1" thickBot="1">
      <c r="B5" s="505">
        <f ca="1">BaseYear</f>
        <v>2010</v>
      </c>
      <c r="C5" s="366" t="s">
        <v>1446</v>
      </c>
      <c r="D5" s="45" t="s">
        <v>888</v>
      </c>
      <c r="E5" s="45" t="s">
        <v>797</v>
      </c>
      <c r="F5" s="64" t="s">
        <v>1110</v>
      </c>
      <c r="G5" s="64" t="s">
        <v>1108</v>
      </c>
      <c r="H5" s="45" t="s">
        <v>1106</v>
      </c>
      <c r="I5" s="64" t="s">
        <v>1107</v>
      </c>
      <c r="J5" s="45" t="s">
        <v>1111</v>
      </c>
      <c r="K5" s="45" t="s">
        <v>1108</v>
      </c>
      <c r="L5" s="64" t="s">
        <v>1106</v>
      </c>
      <c r="M5" s="64" t="s">
        <v>1109</v>
      </c>
      <c r="N5" s="64" t="s">
        <v>797</v>
      </c>
    </row>
    <row r="6" spans="1:16">
      <c r="B6" s="12"/>
      <c r="C6" s="9" t="s">
        <v>904</v>
      </c>
      <c r="D6" s="345">
        <f ca="1">SUM(ISOI2!G24,IPOI2!G22,IPOI2!G31,IPOI2!G42,IOOI2!G30,IOOI2!G31)</f>
        <v>9.5369046270894593</v>
      </c>
      <c r="E6" s="345">
        <f ca="1">SUM(I6,IPOI2!G42,IOOI2!G31)</f>
        <v>2.704379149059184</v>
      </c>
      <c r="F6" s="345">
        <f ca="1">D6-E6</f>
        <v>6.8325254780302753</v>
      </c>
      <c r="G6" s="345">
        <f ca="1">SUM(ISOI2!G24)</f>
        <v>2.2437049320608247</v>
      </c>
      <c r="H6" s="345">
        <f ca="1">SUM(IPOI2!G22,IOOI2!G30+IPOI2!G31)</f>
        <v>5.6705722055931229</v>
      </c>
      <c r="I6" s="345">
        <f ca="1">SUM(IPOI2!G18,IPOI2!G27,IOOI2!G20)</f>
        <v>1.0817516596236738</v>
      </c>
      <c r="J6" s="345">
        <f>SUM(J7:J13)</f>
        <v>1.976371551111884</v>
      </c>
      <c r="K6" s="9"/>
      <c r="L6" s="345"/>
      <c r="M6" s="345"/>
      <c r="N6" s="62"/>
    </row>
    <row r="7" spans="1:16">
      <c r="B7" s="12"/>
      <c r="C7" s="9" t="s">
        <v>1100</v>
      </c>
      <c r="D7" s="345">
        <f ca="1">IEAData2!AN18</f>
        <v>0.26109543220236098</v>
      </c>
      <c r="E7" s="345">
        <f ca="1">IEAData2!AO18</f>
        <v>7.5959180963919015E-2</v>
      </c>
      <c r="F7" s="345">
        <f t="shared" ref="F7:F12" si="0">D7-E7</f>
        <v>0.18513625123844196</v>
      </c>
      <c r="G7" s="345">
        <f ca="1">(F7/(F$6-F$12))^$P7*(G$6-G$9)/F$14</f>
        <v>7.4794331815770637E-2</v>
      </c>
      <c r="H7" s="345">
        <f ca="1">(F7-G7)/(H$6-I$6)*H$6</f>
        <v>0.13635351723212968</v>
      </c>
      <c r="I7" s="345">
        <f ca="1">I$6/H$6*H7</f>
        <v>2.6011597809458352E-2</v>
      </c>
      <c r="J7" s="345">
        <f t="shared" ref="J7:J13" si="1">MAX(0,E7-I7)</f>
        <v>4.9947583154460663E-2</v>
      </c>
      <c r="K7" s="62">
        <f ca="1">G7/G$6</f>
        <v>3.3335190713813093E-2</v>
      </c>
      <c r="L7" s="62">
        <f ca="1">H7/($H$6-$D$32)</f>
        <v>3.003665105269572E-2</v>
      </c>
      <c r="M7" s="62">
        <f>(H7-L7*$D$28)/$D$31</f>
        <v>3.003665105269572E-2</v>
      </c>
      <c r="N7" s="345">
        <f t="shared" ref="N7:N13" si="2">J7/J$6</f>
        <v>2.5272364969208712E-2</v>
      </c>
      <c r="P7" s="428">
        <v>1.1000000000000001</v>
      </c>
    </row>
    <row r="8" spans="1:16">
      <c r="B8" s="12"/>
      <c r="C8" s="9" t="s">
        <v>1101</v>
      </c>
      <c r="D8" s="345">
        <f ca="1">IEAData2!AN19</f>
        <v>1.3568157804695389</v>
      </c>
      <c r="E8" s="345">
        <f ca="1">IEAData2!AO19</f>
        <v>0.95114584884325915</v>
      </c>
      <c r="F8" s="345">
        <f t="shared" si="0"/>
        <v>0.40566993162627973</v>
      </c>
      <c r="G8" s="345">
        <f ca="1">(F8/(F$6-F$12))^$P8*(G$6-G$9)/F$14</f>
        <v>0.17726303276192176</v>
      </c>
      <c r="H8" s="345">
        <f t="shared" ref="H8:H13" si="3">(F8-G8)/(H$6-I$6)*H$6</f>
        <v>0.28225070021610965</v>
      </c>
      <c r="I8" s="345">
        <f t="shared" ref="I8:I13" si="4">I$6/H$6*H8</f>
        <v>5.3843801351751708E-2</v>
      </c>
      <c r="J8" s="345">
        <f t="shared" si="1"/>
        <v>0.89730204749150744</v>
      </c>
      <c r="K8" s="62">
        <f t="shared" ref="K8:K13" si="5">G8/G$6</f>
        <v>7.9004609843731602E-2</v>
      </c>
      <c r="L8" s="62">
        <f ca="1">H8/($H$6-$D$32)</f>
        <v>6.2175629671052078E-2</v>
      </c>
      <c r="M8" s="62">
        <f>(H8-L8*$D$28)/$D$31</f>
        <v>6.2175629671052085E-2</v>
      </c>
      <c r="N8" s="345">
        <f t="shared" si="2"/>
        <v>0.45401485716928863</v>
      </c>
      <c r="P8" s="428">
        <v>1.1000000000000001</v>
      </c>
    </row>
    <row r="9" spans="1:16">
      <c r="A9" s="6"/>
      <c r="B9" s="12"/>
      <c r="C9" s="9" t="s">
        <v>1102</v>
      </c>
      <c r="D9" s="345">
        <f ca="1">IEAData2!AN20*IF(Region="FIN",1.1,1)</f>
        <v>4.0154342714906845E-2</v>
      </c>
      <c r="E9" s="345">
        <f ca="1">IEAData2!AO20</f>
        <v>2.7242986226111088E-2</v>
      </c>
      <c r="F9" s="345">
        <f t="shared" si="0"/>
        <v>1.2911356488795756E-2</v>
      </c>
      <c r="G9" s="345">
        <f ca="1">(F9-IEAData2!$U$71+IEAData2!$D$71)*0.45</f>
        <v>5.8101104199580927E-4</v>
      </c>
      <c r="H9" s="345">
        <f t="shared" si="3"/>
        <v>1.5237055682510667E-2</v>
      </c>
      <c r="I9" s="345">
        <f ca="1">I$6/H$6*H9+IEAData2!$D$71*0</f>
        <v>2.9067102357107203E-3</v>
      </c>
      <c r="J9" s="345">
        <f t="shared" si="1"/>
        <v>2.4336275990400367E-2</v>
      </c>
      <c r="K9" s="62">
        <f t="shared" si="5"/>
        <v>2.5895162670171401E-4</v>
      </c>
      <c r="L9" s="62">
        <f ca="1">IEAData2!$U$71/$D$32</f>
        <v>1.2683030240595588E-2</v>
      </c>
      <c r="M9" s="62">
        <f>MAX(0,(H9-L9*$D$32)/$D$31)</f>
        <v>2.1382220619628754E-4</v>
      </c>
      <c r="N9" s="345">
        <f t="shared" si="2"/>
        <v>1.2313613792259384E-2</v>
      </c>
      <c r="P9" s="442">
        <v>0</v>
      </c>
    </row>
    <row r="10" spans="1:16">
      <c r="B10" s="12"/>
      <c r="C10" s="9" t="s">
        <v>1103</v>
      </c>
      <c r="D10" s="345">
        <f ca="1">IEAData2!AN21</f>
        <v>1.3089867305850269</v>
      </c>
      <c r="E10" s="345">
        <f ca="1">IEAData2!AO21</f>
        <v>0.57583610131495855</v>
      </c>
      <c r="F10" s="345">
        <f t="shared" si="0"/>
        <v>0.73315062927006835</v>
      </c>
      <c r="G10" s="345">
        <f ca="1">(F10/(F$6-F$12))^$P10*(G$6-G$9)/F$14</f>
        <v>0.51812335825823219</v>
      </c>
      <c r="H10" s="345">
        <f t="shared" si="3"/>
        <v>0.26571700815697485</v>
      </c>
      <c r="I10" s="345">
        <f t="shared" si="4"/>
        <v>5.0689737145138705E-2</v>
      </c>
      <c r="J10" s="345">
        <f t="shared" si="1"/>
        <v>0.52514636416981986</v>
      </c>
      <c r="K10" s="62">
        <f t="shared" si="5"/>
        <v>0.23092312667973686</v>
      </c>
      <c r="L10" s="62">
        <f ca="1">H10/($H$6-$D$32)</f>
        <v>5.8533503313962863E-2</v>
      </c>
      <c r="M10" s="62">
        <f>(H10-L10*$D$28)/$D$31</f>
        <v>5.853350331396287E-2</v>
      </c>
      <c r="N10" s="345">
        <f t="shared" si="2"/>
        <v>0.26571236763369649</v>
      </c>
      <c r="P10" s="428">
        <v>0.85</v>
      </c>
    </row>
    <row r="11" spans="1:16">
      <c r="B11" s="12"/>
      <c r="C11" s="9" t="s">
        <v>1104</v>
      </c>
      <c r="D11" s="345">
        <f ca="1">IEAData2!AN22</f>
        <v>0.72224757140118789</v>
      </c>
      <c r="E11" s="345">
        <f ca="1">IEAData2!AO22</f>
        <v>0.18568245875165196</v>
      </c>
      <c r="F11" s="345">
        <f t="shared" si="0"/>
        <v>0.53656511264953588</v>
      </c>
      <c r="G11" s="345">
        <f ca="1">(F11/(F$6-F$12))^$P11*(G$6-G$9)/F$14</f>
        <v>0.46626551011377254</v>
      </c>
      <c r="H11" s="345">
        <f ca="1">MAX(0,(F11-G11)/(H$6-I$6)*H$6)</f>
        <v>8.687177199676821E-2</v>
      </c>
      <c r="I11" s="345">
        <f t="shared" si="4"/>
        <v>1.6572169461004874E-2</v>
      </c>
      <c r="J11" s="345">
        <f t="shared" si="1"/>
        <v>0.16911028929064709</v>
      </c>
      <c r="K11" s="62">
        <f t="shared" si="5"/>
        <v>0.20781052956259782</v>
      </c>
      <c r="L11" s="62">
        <f ca="1">H11/($H$6-$D$32)</f>
        <v>1.9136558812444176E-2</v>
      </c>
      <c r="M11" s="62">
        <f>(H11-L11*$D$28)/$D$31</f>
        <v>1.9136558812444179E-2</v>
      </c>
      <c r="N11" s="345">
        <f t="shared" si="2"/>
        <v>8.5566041059186249E-2</v>
      </c>
      <c r="P11" s="428">
        <v>0.77</v>
      </c>
    </row>
    <row r="12" spans="1:16">
      <c r="B12" s="12"/>
      <c r="C12" s="9" t="s">
        <v>1105</v>
      </c>
      <c r="D12" s="345">
        <f ca="1">IEAData2!AN23</f>
        <v>3.1974239198446948</v>
      </c>
      <c r="E12" s="345">
        <f ca="1">IEAData2!AO23</f>
        <v>0.32369760000000003</v>
      </c>
      <c r="F12" s="345">
        <f t="shared" si="0"/>
        <v>2.8737263198446947</v>
      </c>
      <c r="G12" s="345">
        <f ca="1">SIGN($P12)*(F12/(F$6-F$12))^$P12*G$6/F$14</f>
        <v>0</v>
      </c>
      <c r="H12" s="345">
        <f t="shared" si="3"/>
        <v>3.5511679815210688</v>
      </c>
      <c r="I12" s="345">
        <f ca="1">I$6/H$6*H12+IEAData2!$D$72*0</f>
        <v>0.67744166167637432</v>
      </c>
      <c r="J12" s="345">
        <f t="shared" si="1"/>
        <v>0</v>
      </c>
      <c r="K12" s="285">
        <v>0</v>
      </c>
      <c r="L12" s="62">
        <f ca="1">IEAData2!$U$72/$D$32</f>
        <v>0.98731696975940431</v>
      </c>
      <c r="M12" s="62">
        <f>MAX(0,(H12-L12*$D$32)/$D$31)</f>
        <v>0.58322857450547116</v>
      </c>
      <c r="N12" s="345">
        <f t="shared" si="2"/>
        <v>0</v>
      </c>
      <c r="P12" s="429">
        <v>0</v>
      </c>
    </row>
    <row r="13" spans="1:16">
      <c r="B13" s="12"/>
      <c r="C13" s="9" t="s">
        <v>1109</v>
      </c>
      <c r="D13" s="345">
        <f>D6-SUM(D7:D12)</f>
        <v>2.6501808498717434</v>
      </c>
      <c r="E13" s="345">
        <f>E6-SUM(E7:E12)</f>
        <v>0.56481497295928396</v>
      </c>
      <c r="F13" s="345">
        <f>F6-SUM(F7:F12)</f>
        <v>2.0853658769124586</v>
      </c>
      <c r="G13" s="345">
        <f>(F13/(F$6-F$12))^$P13*(G$6-G$9)/F$14</f>
        <v>1.0066776880691319</v>
      </c>
      <c r="H13" s="345">
        <f t="shared" si="3"/>
        <v>1.332974170787562</v>
      </c>
      <c r="I13" s="345">
        <f t="shared" si="4"/>
        <v>0.25428598194423535</v>
      </c>
      <c r="J13" s="345">
        <f t="shared" si="1"/>
        <v>0.31052899101504861</v>
      </c>
      <c r="K13" s="62">
        <f t="shared" si="5"/>
        <v>0.44866759157341901</v>
      </c>
      <c r="L13" s="62">
        <f>1-SUM(L7:L8,L10:L11)</f>
        <v>0.8301176571498452</v>
      </c>
      <c r="M13" s="62">
        <f>(H13-L13*$D$28)/$D$31</f>
        <v>0.24667526043817789</v>
      </c>
      <c r="N13" s="345">
        <f t="shared" si="2"/>
        <v>0.15712075537636055</v>
      </c>
      <c r="O13" s="2"/>
      <c r="P13" s="429">
        <v>1.2</v>
      </c>
    </row>
    <row r="14" spans="1:16">
      <c r="B14" s="12"/>
      <c r="C14" s="12"/>
      <c r="D14" s="12"/>
      <c r="E14" s="12"/>
      <c r="F14" s="178">
        <f t="array" ref="F14">SUM(SIGN(P7:P13)*(F7:F13/(F$6-F$12))^$P7:$P13)</f>
        <v>1.0325364125488268</v>
      </c>
      <c r="G14" s="12"/>
      <c r="H14" s="178">
        <f>SUM(H7:H13)</f>
        <v>5.6705722055931238</v>
      </c>
      <c r="I14" s="12"/>
      <c r="J14" s="12"/>
      <c r="K14" s="603">
        <f>SUM(K7:K13)</f>
        <v>1.0000000000000002</v>
      </c>
      <c r="L14" s="603">
        <f>SUM(L7:L13)</f>
        <v>2</v>
      </c>
      <c r="M14" s="603">
        <f>SUM(M7:M13)</f>
        <v>1.0000000000000002</v>
      </c>
      <c r="N14" s="603">
        <f>SUM(N7:N13)</f>
        <v>1</v>
      </c>
      <c r="O14" s="47"/>
    </row>
    <row r="15" spans="1:16" ht="13.5" thickBot="1">
      <c r="B15" s="505">
        <f ca="1">AuxYear</f>
        <v>2017</v>
      </c>
      <c r="C15" s="366" t="s">
        <v>1446</v>
      </c>
      <c r="D15" s="45" t="s">
        <v>888</v>
      </c>
      <c r="E15" s="45" t="s">
        <v>797</v>
      </c>
      <c r="F15" s="64" t="s">
        <v>1110</v>
      </c>
      <c r="G15" s="64" t="s">
        <v>1108</v>
      </c>
      <c r="H15" s="45" t="s">
        <v>1106</v>
      </c>
      <c r="I15" s="64" t="s">
        <v>1107</v>
      </c>
      <c r="J15" s="45" t="s">
        <v>1111</v>
      </c>
      <c r="K15" s="45" t="s">
        <v>1108</v>
      </c>
      <c r="L15" s="64" t="s">
        <v>1106</v>
      </c>
      <c r="M15" s="64" t="s">
        <v>1109</v>
      </c>
      <c r="N15" s="64" t="s">
        <v>797</v>
      </c>
    </row>
    <row r="16" spans="1:16">
      <c r="B16" s="12"/>
      <c r="C16" s="9" t="s">
        <v>904</v>
      </c>
      <c r="D16" s="345">
        <f ca="1">SUM(ISOI2!H24,IPOI2!H22,IPOI2!H31,IPOI2!H42,IOOI2!H30,IOOI2!H31)</f>
        <v>8.3917271176564761</v>
      </c>
      <c r="E16" s="345">
        <f ca="1">SUM(I16,IPOI2!H42,IOOI2!H31)</f>
        <v>2.432038229788124</v>
      </c>
      <c r="F16" s="345">
        <f ca="1">D16-E16</f>
        <v>5.959688887868352</v>
      </c>
      <c r="G16" s="345">
        <f ca="1">SUM(ISOI2!H24)</f>
        <v>1.951026953790876</v>
      </c>
      <c r="H16" s="345">
        <f ca="1">SUM(IPOI2!H22,IOOI2!H30+IPOI2!H31)</f>
        <v>4.9814772259927267</v>
      </c>
      <c r="I16" s="345">
        <f ca="1">SUM(IPOI2!H18,IPOI2!H27,IOOI2!H20)</f>
        <v>0.97281529191524974</v>
      </c>
      <c r="J16" s="345">
        <f>SUM(J17:J23)</f>
        <v>1.8362128109223348</v>
      </c>
      <c r="K16" s="9"/>
      <c r="L16" s="345"/>
      <c r="M16" s="345"/>
      <c r="N16" s="62"/>
    </row>
    <row r="17" spans="2:16">
      <c r="B17" s="12"/>
      <c r="C17" s="9" t="s">
        <v>1100</v>
      </c>
      <c r="D17" s="345">
        <f ca="1">AuxData2!AN18</f>
        <v>0.1448112283291913</v>
      </c>
      <c r="E17" s="345">
        <f ca="1">AuxData2!AO18</f>
        <v>6.46109803553329E-2</v>
      </c>
      <c r="F17" s="345">
        <f t="shared" ref="F17:F22" si="6">D17-E17</f>
        <v>8.0200247973858399E-2</v>
      </c>
      <c r="G17" s="345">
        <f ca="1">(F17/(F$16-F$22))^$P17*(G$16-G$19)/F$24</f>
        <v>4.0783565351591063E-2</v>
      </c>
      <c r="H17" s="345">
        <f ca="1">(F17-G17)/(H$16-I$16)*H$16</f>
        <v>4.8982256432705464E-2</v>
      </c>
      <c r="I17" s="345">
        <f ca="1">I$16/H$16*H17</f>
        <v>9.5655738104381254E-3</v>
      </c>
      <c r="J17" s="345">
        <f t="shared" ref="J17:J23" si="7">MAX(0,E17-I17)</f>
        <v>5.5045406544894773E-2</v>
      </c>
      <c r="K17" s="62">
        <f ca="1">G17/G$16</f>
        <v>2.0903640143129728E-2</v>
      </c>
      <c r="L17" s="504">
        <f ca="1">H17/($H$16-$E$32)</f>
        <v>1.3734627439962708E-2</v>
      </c>
      <c r="M17" s="504">
        <f>(H17-L17*$E$28)/$E$31</f>
        <v>1.373462743996271E-2</v>
      </c>
      <c r="N17" s="345">
        <f t="shared" ref="N17:N23" si="8">J17/J$16</f>
        <v>2.9977683532904507E-2</v>
      </c>
      <c r="P17" s="428">
        <v>1.1000000000000001</v>
      </c>
    </row>
    <row r="18" spans="2:16">
      <c r="B18" s="12"/>
      <c r="C18" s="9" t="s">
        <v>1101</v>
      </c>
      <c r="D18" s="345">
        <f ca="1">AuxData2!AN19</f>
        <v>1.2607480824512634</v>
      </c>
      <c r="E18" s="345">
        <f ca="1">AuxData2!AO19</f>
        <v>0.80097632863183321</v>
      </c>
      <c r="F18" s="345">
        <f t="shared" si="6"/>
        <v>0.45977175381943014</v>
      </c>
      <c r="G18" s="345">
        <f ca="1">(F18/(F$16-F$22))^$P18*(G$16-G$19)/F$24</f>
        <v>0.27841230309901421</v>
      </c>
      <c r="H18" s="345">
        <f ca="1">(F18-G18)/(H$16-I$16)*H$16</f>
        <v>0.22537145519860668</v>
      </c>
      <c r="I18" s="345">
        <f ca="1">I$16/H$16*H18</f>
        <v>4.4012004478190765E-2</v>
      </c>
      <c r="J18" s="345">
        <f t="shared" si="7"/>
        <v>0.75696432415364245</v>
      </c>
      <c r="K18" s="62">
        <f ca="1">G18/G$16</f>
        <v>0.14270038789472117</v>
      </c>
      <c r="L18" s="504">
        <f ca="1">H18/($H$16-$E$32)</f>
        <v>6.3194168627321842E-2</v>
      </c>
      <c r="M18" s="504">
        <f>(H18-L18*$E$28)/$E$31</f>
        <v>6.3194168627321856E-2</v>
      </c>
      <c r="N18" s="345">
        <f t="shared" si="8"/>
        <v>0.41224215387834984</v>
      </c>
      <c r="P18" s="428">
        <v>1.1000000000000001</v>
      </c>
    </row>
    <row r="19" spans="2:16">
      <c r="B19" s="12"/>
      <c r="C19" s="9" t="s">
        <v>1102</v>
      </c>
      <c r="D19" s="345">
        <f ca="1">AuxData2!AN20*IF(Region="FIN",1.1,1)</f>
        <v>1.3496377091207948E-2</v>
      </c>
      <c r="E19" s="345">
        <f ca="1">AuxData2!AO20</f>
        <v>9.4363115639231887E-3</v>
      </c>
      <c r="F19" s="345">
        <f t="shared" si="6"/>
        <v>4.0600655272847591E-3</v>
      </c>
      <c r="G19" s="345">
        <f ca="1">(F19-AuxData2!$U$71+AuxData2!$D$71)*0.45</f>
        <v>1.8270294872781403E-4</v>
      </c>
      <c r="H19" s="345">
        <f ca="1">(F19-G19)/(H$16-I$16)*H$16</f>
        <v>4.8183143651505909E-3</v>
      </c>
      <c r="I19" s="345">
        <f ca="1">I$16/H$16*H19+AuxData2!$D$71*0</f>
        <v>9.4095178659364556E-4</v>
      </c>
      <c r="J19" s="345">
        <f t="shared" si="7"/>
        <v>8.4953597773295437E-3</v>
      </c>
      <c r="K19" s="62">
        <f ca="1">G19/G$16</f>
        <v>9.3644502641452155E-5</v>
      </c>
      <c r="L19" s="504">
        <f ca="1">AuxData2!$U$71/$E$32</f>
        <v>3.2489200507240679E-3</v>
      </c>
      <c r="M19" s="504">
        <f>MAX(0,(H19-L19*$E$32)/$E$31)</f>
        <v>6.879458612537872E-5</v>
      </c>
      <c r="N19" s="345">
        <f t="shared" si="8"/>
        <v>4.6265660095587179E-3</v>
      </c>
      <c r="P19" s="442">
        <v>0</v>
      </c>
    </row>
    <row r="20" spans="2:16">
      <c r="B20" s="12"/>
      <c r="C20" s="9" t="s">
        <v>1103</v>
      </c>
      <c r="D20" s="345">
        <f ca="1">AuxData2!AN21</f>
        <v>2.1656869090142186</v>
      </c>
      <c r="E20" s="345">
        <f ca="1">AuxData2!AO21</f>
        <v>0.86592035527765743</v>
      </c>
      <c r="F20" s="345">
        <f t="shared" si="6"/>
        <v>1.299766553736561</v>
      </c>
      <c r="G20" s="345">
        <f ca="1">(F20/(F$16-F$22))^$P20*(G$16-G$19)/F$24</f>
        <v>1.0511581812321096</v>
      </c>
      <c r="H20" s="345">
        <f ca="1">(F20-G20)/(H$16-I$16)*H$16</f>
        <v>0.30894023147577943</v>
      </c>
      <c r="I20" s="345">
        <f ca="1">I$16/H$16*H20</f>
        <v>6.0331858971327958E-2</v>
      </c>
      <c r="J20" s="345">
        <f t="shared" si="7"/>
        <v>0.80558849630632945</v>
      </c>
      <c r="K20" s="62">
        <f ca="1">G20/G$16</f>
        <v>0.53877173720726546</v>
      </c>
      <c r="L20" s="504">
        <f ca="1">H20/($H$16-$E$32)</f>
        <v>8.6626858163734957E-2</v>
      </c>
      <c r="M20" s="504">
        <f>(H20-L20*$E$28)/$E$31</f>
        <v>8.6626858163734971E-2</v>
      </c>
      <c r="N20" s="345">
        <f t="shared" si="8"/>
        <v>0.43872283839566512</v>
      </c>
      <c r="P20" s="428">
        <v>0.85</v>
      </c>
    </row>
    <row r="21" spans="2:16">
      <c r="B21" s="12"/>
      <c r="C21" s="9" t="s">
        <v>1104</v>
      </c>
      <c r="D21" s="345">
        <f ca="1">AuxData2!AN22</f>
        <v>0.37628021253939903</v>
      </c>
      <c r="E21" s="345">
        <f ca="1">AuxData2!AO22</f>
        <v>8.3539111198261198E-2</v>
      </c>
      <c r="F21" s="345">
        <f t="shared" si="6"/>
        <v>0.29274110134113784</v>
      </c>
      <c r="G21" s="345">
        <f ca="1">(F21/(F$16-F$22))^$P21*(G$16-G$19)/F$24</f>
        <v>0.26480106687444438</v>
      </c>
      <c r="H21" s="345">
        <f ca="1">MAX(0,(F21-G21)/(H$16-I$16)*H$16)</f>
        <v>3.4720474731505586E-2</v>
      </c>
      <c r="I21" s="345">
        <f ca="1">I$16/H$16*H21</f>
        <v>6.780440264812118E-3</v>
      </c>
      <c r="J21" s="345">
        <f t="shared" si="7"/>
        <v>7.6758670933449083E-2</v>
      </c>
      <c r="K21" s="62">
        <f ca="1">G21/G$16</f>
        <v>0.13572394085070519</v>
      </c>
      <c r="L21" s="504">
        <f ca="1">H21/($H$16-$E$32)</f>
        <v>9.7356230542588965E-3</v>
      </c>
      <c r="M21" s="504">
        <f>(H21-L21*$E$28)/$E$31</f>
        <v>9.7356230542588983E-3</v>
      </c>
      <c r="N21" s="345">
        <f t="shared" si="8"/>
        <v>4.180270961887745E-2</v>
      </c>
      <c r="P21" s="428">
        <v>0.9</v>
      </c>
    </row>
    <row r="22" spans="2:16">
      <c r="B22" s="12"/>
      <c r="C22" s="9" t="s">
        <v>1105</v>
      </c>
      <c r="D22" s="345">
        <f ca="1">AuxData2!AN23</f>
        <v>3.6380378995561027</v>
      </c>
      <c r="E22" s="345">
        <f ca="1">AuxData2!AO23</f>
        <v>0.40709087999999999</v>
      </c>
      <c r="F22" s="345">
        <f t="shared" si="6"/>
        <v>3.2309470195561025</v>
      </c>
      <c r="G22" s="345">
        <f ca="1">SIGN($P22)*(F22/(F$16-F$22))^$P22*G$16/F$24</f>
        <v>0</v>
      </c>
      <c r="H22" s="345">
        <f ca="1">(F22-G22)/(H$16-I$16)*H$16</f>
        <v>4.0150277726055634</v>
      </c>
      <c r="I22" s="345">
        <f ca="1">I$16/H$16*H22+AuxData2!$D$72*0</f>
        <v>0.78408075304946079</v>
      </c>
      <c r="J22" s="345">
        <f t="shared" si="7"/>
        <v>0</v>
      </c>
      <c r="K22" s="285">
        <v>0</v>
      </c>
      <c r="L22" s="504">
        <f ca="1">AuxData2!$U$72/$E$32</f>
        <v>0.99675107994927592</v>
      </c>
      <c r="M22" s="504">
        <f>MAX(0,(H22-L22*$E$32)/$E$31)</f>
        <v>0.81212390908658427</v>
      </c>
      <c r="N22" s="345">
        <f t="shared" si="8"/>
        <v>0</v>
      </c>
      <c r="P22" s="429">
        <v>0</v>
      </c>
    </row>
    <row r="23" spans="2:16">
      <c r="B23" s="12"/>
      <c r="C23" s="9" t="s">
        <v>1109</v>
      </c>
      <c r="D23" s="345">
        <f>D16-SUM(D17:D22)</f>
        <v>0.79266640867509253</v>
      </c>
      <c r="E23" s="345">
        <f>E16-SUM(E17:E22)</f>
        <v>0.20046426276111573</v>
      </c>
      <c r="F23" s="345">
        <f>F16-SUM(F17:F22)</f>
        <v>0.59220214591397724</v>
      </c>
      <c r="G23" s="345">
        <f>(F23/(F$16-F$22))^$P23*(G$16-G$19)/F$24</f>
        <v>0.31568913428498885</v>
      </c>
      <c r="H23" s="345">
        <f>(F23-G23)/(H$16-I$16)*H$16</f>
        <v>0.34361672118341458</v>
      </c>
      <c r="I23" s="345">
        <f>I$16/H$16*H23</f>
        <v>6.7103709554426155E-2</v>
      </c>
      <c r="J23" s="345">
        <f t="shared" si="7"/>
        <v>0.13336055320668957</v>
      </c>
      <c r="K23" s="62">
        <f>G23/G$16</f>
        <v>0.16180664940153691</v>
      </c>
      <c r="L23" s="62">
        <f>1-SUM(L17:L18,L20:L21)</f>
        <v>0.82670872271472162</v>
      </c>
      <c r="M23" s="62">
        <f>(H23-L23*E$28)/E$31</f>
        <v>1.4516019042011892E-2</v>
      </c>
      <c r="N23" s="345">
        <f t="shared" si="8"/>
        <v>7.2628048564644415E-2</v>
      </c>
      <c r="O23" s="2"/>
      <c r="P23" s="429">
        <v>1.2</v>
      </c>
    </row>
    <row r="24" spans="2:16">
      <c r="B24" s="12"/>
      <c r="C24" s="12"/>
      <c r="D24" s="12"/>
      <c r="E24" s="12"/>
      <c r="F24" s="343">
        <f t="array" ref="F24">SUM(SIGN(P17:P23)*(F17:F23/(F$16-F$22))^$P17:$P23)</f>
        <v>0.98803422970247912</v>
      </c>
      <c r="G24" s="12"/>
      <c r="H24" s="178">
        <f>SUM(H17:H23)</f>
        <v>4.9814772259927258</v>
      </c>
      <c r="I24" s="12"/>
      <c r="J24" s="12"/>
      <c r="K24" s="603">
        <f>SUM(K17:K23)</f>
        <v>0.99999999999999989</v>
      </c>
      <c r="L24" s="603">
        <f>SUM(L17:L23)</f>
        <v>2</v>
      </c>
      <c r="M24" s="603">
        <f>SUM(M17:M23)</f>
        <v>1</v>
      </c>
      <c r="N24" s="603">
        <f>SUM(N17:N23)</f>
        <v>1</v>
      </c>
      <c r="O24" s="47"/>
    </row>
    <row r="26" spans="2:16" ht="13.5" thickBot="1">
      <c r="B26" s="45"/>
      <c r="C26" s="366" t="s">
        <v>1124</v>
      </c>
      <c r="D26" s="481" t="s">
        <v>1329</v>
      </c>
      <c r="E26" s="481" t="s">
        <v>1329</v>
      </c>
      <c r="F26" s="355" t="s">
        <v>89</v>
      </c>
      <c r="G26" s="45" t="s">
        <v>89</v>
      </c>
      <c r="H26" s="355" t="s">
        <v>1125</v>
      </c>
      <c r="I26" s="45" t="s">
        <v>1340</v>
      </c>
      <c r="N26" s="2"/>
      <c r="O26" s="48"/>
    </row>
    <row r="27" spans="2:16">
      <c r="B27" s="12"/>
      <c r="C27" s="9" t="s">
        <v>48</v>
      </c>
      <c r="D27" s="387">
        <f ca="1">ISOI2!G24</f>
        <v>2.2437049320608247</v>
      </c>
      <c r="E27" s="387">
        <f ca="1">ISOI2!H24</f>
        <v>1.951026953790876</v>
      </c>
      <c r="F27" s="502">
        <f ca="1">ISOI2!L24</f>
        <v>2.1466378551015959</v>
      </c>
      <c r="G27" s="387">
        <f ca="1">ISOI2!M24</f>
        <v>1.7937258317315039</v>
      </c>
      <c r="H27" s="503">
        <v>1</v>
      </c>
      <c r="I27" s="304">
        <v>1</v>
      </c>
      <c r="N27" s="2"/>
      <c r="O27" s="48"/>
    </row>
    <row r="28" spans="2:16">
      <c r="B28" s="12"/>
      <c r="C28" s="9" t="s">
        <v>57</v>
      </c>
      <c r="D28" s="387">
        <f ca="1">IPOI2!G22</f>
        <v>0.36537326452812541</v>
      </c>
      <c r="E28" s="387">
        <f ca="1">IPOI2!H22</f>
        <v>0.35933314926102955</v>
      </c>
      <c r="F28" s="502">
        <f ca="1">IPOI2!L22</f>
        <v>0.33824034226153099</v>
      </c>
      <c r="G28" s="387">
        <f ca="1">IPOI2!M22</f>
        <v>0.32680619818795198</v>
      </c>
      <c r="H28" s="503">
        <v>2</v>
      </c>
      <c r="I28" s="304">
        <v>1</v>
      </c>
      <c r="N28" s="2"/>
      <c r="O28" s="48"/>
    </row>
    <row r="29" spans="2:16">
      <c r="B29" s="12"/>
      <c r="C29" s="9" t="s">
        <v>60</v>
      </c>
      <c r="D29" s="387">
        <f ca="1">IPOI2!G42</f>
        <v>1.0006202851518982</v>
      </c>
      <c r="E29" s="387">
        <f ca="1">IPOI2!H42</f>
        <v>0.89985414502160588</v>
      </c>
      <c r="F29" s="502">
        <f ca="1">IPOI2!L42</f>
        <v>0.85052724237911337</v>
      </c>
      <c r="G29" s="387">
        <f ca="1">IPOI2!M42</f>
        <v>0.76487602326836501</v>
      </c>
      <c r="H29" s="503">
        <v>4</v>
      </c>
      <c r="I29" s="304">
        <v>1</v>
      </c>
      <c r="K29" s="444">
        <v>5.3031213213044275</v>
      </c>
      <c r="N29" s="2"/>
      <c r="O29" s="48"/>
    </row>
    <row r="30" spans="2:16">
      <c r="B30" s="12"/>
      <c r="C30" s="9" t="s">
        <v>61</v>
      </c>
      <c r="D30" s="387">
        <f ca="1">IOOI2!G31</f>
        <v>0.62200720428361245</v>
      </c>
      <c r="E30" s="387">
        <f ca="1">IOOI2!H31</f>
        <v>0.5593687928512685</v>
      </c>
      <c r="F30" s="502">
        <f ca="1">IOOI2!Q31</f>
        <v>0.62200720428361245</v>
      </c>
      <c r="G30" s="387">
        <f ca="1">IOOI2!R31</f>
        <v>0.5593687928512685</v>
      </c>
      <c r="H30" s="503">
        <v>4</v>
      </c>
      <c r="I30" s="304">
        <v>1</v>
      </c>
    </row>
    <row r="31" spans="2:16">
      <c r="B31" s="12"/>
      <c r="C31" s="52" t="s">
        <v>75</v>
      </c>
      <c r="D31" s="388">
        <f ca="1">IOOI2!G30</f>
        <v>4.1741979743864164</v>
      </c>
      <c r="E31" s="388">
        <f ca="1">IOOI2!H30</f>
        <v>3.2069999490933627</v>
      </c>
      <c r="F31" s="502">
        <f ca="1">IOOI2!Q30</f>
        <v>3.9233588717830572</v>
      </c>
      <c r="G31" s="388">
        <f ca="1">IOOI2!R30</f>
        <v>2.9893595010257714</v>
      </c>
      <c r="H31" s="503">
        <v>3</v>
      </c>
      <c r="I31" s="443">
        <f>$M$14</f>
        <v>1.0000000000000002</v>
      </c>
    </row>
    <row r="32" spans="2:16">
      <c r="B32" s="12"/>
      <c r="C32" s="9" t="s">
        <v>1332</v>
      </c>
      <c r="D32" s="387">
        <f ca="1">IPOI2!G$31</f>
        <v>1.1310009666785812</v>
      </c>
      <c r="E32" s="387">
        <f ca="1">IPOI2!H$31</f>
        <v>1.4151441276383339</v>
      </c>
      <c r="F32" s="502">
        <f ca="1">IPOI2!L$31</f>
        <v>0.97244148727018553</v>
      </c>
      <c r="G32" s="387">
        <f ca="1">IPOI2!M$31</f>
        <v>1.2164480522060426</v>
      </c>
      <c r="H32" s="503">
        <v>2</v>
      </c>
      <c r="I32" s="304">
        <v>1</v>
      </c>
    </row>
    <row r="33" spans="2:21">
      <c r="B33" s="12"/>
      <c r="C33" s="604" t="s">
        <v>782</v>
      </c>
      <c r="D33" s="604">
        <f>SUM(D27:D32)</f>
        <v>9.5369046270894593</v>
      </c>
      <c r="E33" s="604">
        <f>SUM(E27:E32)</f>
        <v>8.3917271176564761</v>
      </c>
      <c r="F33" s="605">
        <f>SUM(F27:F32)</f>
        <v>8.8532130030790945</v>
      </c>
      <c r="G33" s="604">
        <f>SUM(G27:G32)</f>
        <v>7.6505843992709037</v>
      </c>
      <c r="H33" s="12"/>
      <c r="I33" s="12"/>
    </row>
    <row r="34" spans="2:21">
      <c r="D34" s="403"/>
      <c r="E34" s="403"/>
      <c r="F34" s="342"/>
      <c r="G34" s="403"/>
    </row>
    <row r="36" spans="2:21" ht="18">
      <c r="B36" s="86" t="s">
        <v>90</v>
      </c>
      <c r="C36" s="88"/>
      <c r="E36" s="34" t="s">
        <v>784</v>
      </c>
      <c r="F36" s="225" t="str">
        <f>"~FI_T: "&amp;Region</f>
        <v>~FI_T: FIM</v>
      </c>
    </row>
    <row r="37" spans="2:21" ht="51.75" thickBot="1">
      <c r="B37" s="45" t="s">
        <v>649</v>
      </c>
      <c r="C37" s="45" t="s">
        <v>650</v>
      </c>
      <c r="D37" s="45" t="s">
        <v>648</v>
      </c>
      <c r="E37" s="45" t="s">
        <v>651</v>
      </c>
      <c r="F37" s="45" t="s">
        <v>139</v>
      </c>
      <c r="G37" s="64" t="str">
        <f ca="1">CONCATENATE("\I:",IEAData2!$D$2," service demand")</f>
        <v>\I:2010 service demand</v>
      </c>
      <c r="H37" s="64" t="str">
        <f ca="1">CONCATENATE("\I:",AuxData2!$D$2," service demand")</f>
        <v>\I:2017 service demand</v>
      </c>
      <c r="I37" s="64" t="str">
        <f ca="1">CONCATENATE("\I:",IEAData2!$D$2," service demand")</f>
        <v>\I:2010 service demand</v>
      </c>
      <c r="J37" s="64" t="str">
        <f ca="1">CONCATENATE("\I:",AuxData2!$D$2," service demand")</f>
        <v>\I:2017 service demand</v>
      </c>
      <c r="K37" s="45" t="s">
        <v>581</v>
      </c>
      <c r="L37" s="45" t="str">
        <f ca="1">"Input~"&amp;AuxYear</f>
        <v>Input~2017</v>
      </c>
      <c r="M37" s="64" t="s">
        <v>1508</v>
      </c>
      <c r="N37" s="45" t="s">
        <v>564</v>
      </c>
      <c r="O37" s="45" t="s">
        <v>389</v>
      </c>
      <c r="P37" s="45" t="s">
        <v>1278</v>
      </c>
      <c r="Q37" s="45" t="s">
        <v>1267</v>
      </c>
      <c r="R37" s="45" t="str">
        <f ca="1">"FLO_EMIS~"&amp;AuxYear</f>
        <v>FLO_EMIS~2017</v>
      </c>
      <c r="S37" s="64" t="s">
        <v>1509</v>
      </c>
    </row>
    <row r="38" spans="2:21">
      <c r="B38" s="390" t="str">
        <f>INDEX(B$86:B$92,U38)&amp;"000"</f>
        <v>IOT000</v>
      </c>
      <c r="C38" s="390" t="str">
        <f>INDEX(C$86:C$92,$U38)</f>
        <v>Transport equipment</v>
      </c>
      <c r="D38" s="9" t="s">
        <v>48</v>
      </c>
      <c r="E38" s="9" t="str">
        <f>LEFT(B38,3)</f>
        <v>IOT</v>
      </c>
      <c r="F38" s="9"/>
      <c r="G38" s="391">
        <f t="array" ref="G38:G42">F$27:F$31/$I$27:$I$31*INDEX($K$7:$N$13,$U38,$H$27:$H$31)</f>
        <v>7.1558582293302378E-2</v>
      </c>
      <c r="H38" s="391">
        <f t="array" ref="H38:H42">G$27:G$31/$I$27:$I$31*INDEX($K$17:$N$23,$U38,$H$27:$H$31)</f>
        <v>3.7495399301951428E-2</v>
      </c>
      <c r="I38" s="389"/>
      <c r="J38" s="389"/>
      <c r="K38" s="392">
        <f>IF(G38=0,0,G38/I42)/M$76</f>
        <v>0.3022190848910199</v>
      </c>
      <c r="L38" s="392">
        <f>IF(H38=0,0,H38/J42)/M$76</f>
        <v>0.30548765335592865</v>
      </c>
      <c r="M38" s="389"/>
      <c r="N38" s="12">
        <v>2019</v>
      </c>
      <c r="O38" s="303"/>
      <c r="P38" s="303"/>
      <c r="Q38" s="389"/>
      <c r="R38" s="389"/>
      <c r="S38" s="389"/>
      <c r="U38">
        <v>1</v>
      </c>
    </row>
    <row r="39" spans="2:21">
      <c r="B39" s="390"/>
      <c r="C39" s="390"/>
      <c r="D39" s="9" t="s">
        <v>57</v>
      </c>
      <c r="E39" s="9" t="s">
        <v>395</v>
      </c>
      <c r="F39" s="9"/>
      <c r="G39" s="391">
        <v>1.0159607132453976E-2</v>
      </c>
      <c r="H39" s="391">
        <v>4.4885613771821365E-3</v>
      </c>
      <c r="I39" s="389"/>
      <c r="J39" s="389"/>
      <c r="K39" s="392">
        <f>IF(G39=0,0,G39/I42)/M$76</f>
        <v>4.2907881515001731E-2</v>
      </c>
      <c r="L39" s="392">
        <f>IF(H39=0,0,H39/J42)/M$76</f>
        <v>3.6569822100496016E-2</v>
      </c>
      <c r="M39" s="389"/>
      <c r="N39" s="12">
        <v>2019</v>
      </c>
      <c r="O39" s="303">
        <v>0.1</v>
      </c>
      <c r="P39" s="303"/>
      <c r="Q39" s="389"/>
      <c r="R39" s="389"/>
      <c r="S39" s="389"/>
    </row>
    <row r="40" spans="2:21">
      <c r="B40" s="390"/>
      <c r="C40" s="390"/>
      <c r="D40" s="9" t="s">
        <v>60</v>
      </c>
      <c r="E40" s="9"/>
      <c r="F40" s="9"/>
      <c r="G40" s="391">
        <v>2.1494834885659592E-2</v>
      </c>
      <c r="H40" s="391">
        <v>2.2929211367445551E-2</v>
      </c>
      <c r="I40" s="389"/>
      <c r="J40" s="389"/>
      <c r="K40" s="392">
        <f>IF(G40=0,0,G40/I42)/M$76</f>
        <v>9.0780855640786334E-2</v>
      </c>
      <c r="L40" s="392">
        <f>IF(H40=0,0,H40/J42)/M$76</f>
        <v>0.18681201172268819</v>
      </c>
      <c r="M40" s="389"/>
      <c r="N40" s="12">
        <v>2019</v>
      </c>
      <c r="O40" s="303"/>
      <c r="P40" s="303"/>
      <c r="Q40" s="389"/>
      <c r="R40" s="389"/>
      <c r="S40" s="389"/>
    </row>
    <row r="41" spans="2:21">
      <c r="B41" s="390"/>
      <c r="C41" s="390"/>
      <c r="D41" s="9" t="s">
        <v>61</v>
      </c>
      <c r="E41" s="9"/>
      <c r="F41" s="9"/>
      <c r="G41" s="391">
        <v>1.5719593080132613E-2</v>
      </c>
      <c r="H41" s="391">
        <v>1.6768580650278146E-2</v>
      </c>
      <c r="I41" s="389"/>
      <c r="J41" s="389"/>
      <c r="K41" s="392">
        <f>IF(G41=0,0,G41/I42)/M$76</f>
        <v>6.6389814936028163E-2</v>
      </c>
      <c r="L41" s="392">
        <f>IF(H41=0,0,H41/J42)/M$76</f>
        <v>0.13661927725347625</v>
      </c>
      <c r="M41" s="389"/>
      <c r="N41" s="12">
        <v>2019</v>
      </c>
      <c r="O41" s="303"/>
      <c r="P41" s="303"/>
      <c r="Q41" s="389"/>
      <c r="R41" s="389"/>
      <c r="S41" s="389"/>
    </row>
    <row r="42" spans="2:21">
      <c r="B42" s="390"/>
      <c r="C42" s="390"/>
      <c r="D42" s="52" t="s">
        <v>75</v>
      </c>
      <c r="E42" s="52"/>
      <c r="F42" s="52"/>
      <c r="G42" s="391">
        <v>0.11784456138624563</v>
      </c>
      <c r="H42" s="391">
        <v>4.1057739030701791E-2</v>
      </c>
      <c r="I42" s="391">
        <f>SUM(G38:G42)</f>
        <v>0.23677717877779419</v>
      </c>
      <c r="J42" s="391">
        <f>SUM(H38:H42)</f>
        <v>0.12273949172755905</v>
      </c>
      <c r="K42" s="392">
        <f>IF(G42=0,0,G42/I42)/M$76</f>
        <v>0.49770236301716386</v>
      </c>
      <c r="L42" s="392">
        <f>IF(H42=0,0,H42/J42)/M$76</f>
        <v>0.33451123556741097</v>
      </c>
      <c r="M42" s="389"/>
      <c r="N42" s="12">
        <v>2019</v>
      </c>
      <c r="O42" s="303"/>
      <c r="P42" s="303"/>
      <c r="Q42" s="389"/>
      <c r="R42" s="389"/>
      <c r="S42" s="389"/>
    </row>
    <row r="43" spans="2:21">
      <c r="B43" s="390" t="str">
        <f>INDEX($B$86:$B$92,U43)&amp;"000"</f>
        <v>IOM000</v>
      </c>
      <c r="C43" s="390" t="str">
        <f>INDEX(C$86:C$92,$U43)</f>
        <v>Machinery and equipment</v>
      </c>
      <c r="D43" s="9" t="s">
        <v>48</v>
      </c>
      <c r="E43" s="9" t="str">
        <f>LEFT(B43,3)</f>
        <v>IOM</v>
      </c>
      <c r="F43" s="9"/>
      <c r="G43" s="391">
        <f t="array" ref="G43:G47">F$27:F$31/$I$27:$I$31*INDEX($K$7:$N$13,$U43,$H$27:$H$31)</f>
        <v>0.16959428621808642</v>
      </c>
      <c r="H43" s="391">
        <f t="array" ref="H43:H47">G$27:G$31/$I$27:$I$31*INDEX($K$17:$N$23,$U43,$H$27:$H$31)</f>
        <v>0.25596537196486696</v>
      </c>
      <c r="I43" s="389"/>
      <c r="J43" s="389"/>
      <c r="K43" s="392">
        <f>IF(G43=0,0,G43/I47)/M$76</f>
        <v>0.15374133776904039</v>
      </c>
      <c r="L43" s="392">
        <f>IF(H43=0,0,H43/J47)/M$76</f>
        <v>0.25307093849517898</v>
      </c>
      <c r="M43" s="389"/>
      <c r="N43" s="12">
        <v>2019</v>
      </c>
      <c r="O43" s="303"/>
      <c r="P43" s="303"/>
      <c r="Q43" s="389"/>
      <c r="R43" s="389"/>
      <c r="S43" s="389"/>
      <c r="U43">
        <v>2</v>
      </c>
    </row>
    <row r="44" spans="2:21">
      <c r="B44" s="390"/>
      <c r="C44" s="390"/>
      <c r="D44" s="9" t="s">
        <v>57</v>
      </c>
      <c r="E44" s="9" t="s">
        <v>395</v>
      </c>
      <c r="F44" s="9"/>
      <c r="G44" s="391">
        <v>2.1030306260262855E-2</v>
      </c>
      <c r="H44" s="391">
        <v>2.0652245996743399E-2</v>
      </c>
      <c r="I44" s="389"/>
      <c r="J44" s="389"/>
      <c r="K44" s="392">
        <f>IF(G44=0,0,G44/I47)/M$76</f>
        <v>1.9064483186584078E-2</v>
      </c>
      <c r="L44" s="392">
        <f>IF(H44=0,0,H44/J47)/M$76</f>
        <v>2.0418712251227975E-2</v>
      </c>
      <c r="M44" s="389"/>
      <c r="N44" s="12">
        <v>2019</v>
      </c>
      <c r="O44" s="303">
        <v>0.1</v>
      </c>
      <c r="P44" s="303"/>
      <c r="Q44" s="389"/>
      <c r="R44" s="389"/>
      <c r="S44" s="389"/>
    </row>
    <row r="45" spans="2:21">
      <c r="B45" s="390"/>
      <c r="C45" s="390"/>
      <c r="D45" s="9" t="s">
        <v>60</v>
      </c>
      <c r="E45" s="9"/>
      <c r="F45" s="9"/>
      <c r="G45" s="391">
        <v>0.3861520044673421</v>
      </c>
      <c r="H45" s="391">
        <v>0.31531413928205759</v>
      </c>
      <c r="I45" s="389"/>
      <c r="J45" s="389"/>
      <c r="K45" s="392">
        <f>IF(G45=0,0,G45/I47)/M$76</f>
        <v>0.35005616682547391</v>
      </c>
      <c r="L45" s="392">
        <f>IF(H45=0,0,H45/J47)/M$76</f>
        <v>0.31174859527429577</v>
      </c>
      <c r="M45" s="389"/>
      <c r="N45" s="12">
        <v>2019</v>
      </c>
      <c r="O45" s="303"/>
      <c r="P45" s="303"/>
      <c r="Q45" s="389"/>
      <c r="R45" s="389"/>
      <c r="S45" s="389"/>
    </row>
    <row r="46" spans="2:21">
      <c r="B46" s="390"/>
      <c r="C46" s="390"/>
      <c r="D46" s="9" t="s">
        <v>61</v>
      </c>
      <c r="E46" s="9"/>
      <c r="F46" s="9"/>
      <c r="G46" s="391">
        <v>0.28240051201109284</v>
      </c>
      <c r="H46" s="391">
        <v>0.23059539597733941</v>
      </c>
      <c r="I46" s="389"/>
      <c r="J46" s="389"/>
      <c r="K46" s="392">
        <f>IF(G46=0,0,G46/I47)/M$76</f>
        <v>0.25600292009494124</v>
      </c>
      <c r="L46" s="392">
        <f>IF(H46=0,0,H46/J47)/M$76</f>
        <v>0.22798784392078866</v>
      </c>
      <c r="M46" s="389"/>
      <c r="N46" s="12">
        <v>2019</v>
      </c>
      <c r="O46" s="303"/>
      <c r="P46" s="303"/>
      <c r="Q46" s="389"/>
      <c r="R46" s="389"/>
      <c r="S46" s="389"/>
    </row>
    <row r="47" spans="2:21">
      <c r="B47" s="390"/>
      <c r="C47" s="390"/>
      <c r="D47" s="52" t="s">
        <v>75</v>
      </c>
      <c r="E47" s="52"/>
      <c r="F47" s="52"/>
      <c r="G47" s="391">
        <v>0.24393730827862004</v>
      </c>
      <c r="H47" s="391">
        <v>0.1889100883955093</v>
      </c>
      <c r="I47" s="391">
        <f>SUM(G43:G47)</f>
        <v>1.1031144172354042</v>
      </c>
      <c r="J47" s="391">
        <f>SUM(H43:H47)</f>
        <v>1.0114372416165167</v>
      </c>
      <c r="K47" s="392">
        <f>IF(G47=0,0,G47/I47)/M$76</f>
        <v>0.22113509212396043</v>
      </c>
      <c r="L47" s="392">
        <f>IF(H47=0,0,H47/J47)/M$76</f>
        <v>0.18677391005850857</v>
      </c>
      <c r="M47" s="389"/>
      <c r="N47" s="12">
        <v>2019</v>
      </c>
      <c r="O47" s="303"/>
      <c r="P47" s="303"/>
      <c r="Q47" s="389"/>
      <c r="R47" s="389"/>
      <c r="S47" s="389"/>
    </row>
    <row r="48" spans="2:21">
      <c r="B48" s="390" t="str">
        <f>INDEX($B$86:$B$92,U48)&amp;"000"</f>
        <v>IOQ000</v>
      </c>
      <c r="C48" s="390" t="str">
        <f>INDEX(C$86:C$92,$U48)</f>
        <v>Mining and quarrying</v>
      </c>
      <c r="D48" s="9" t="s">
        <v>48</v>
      </c>
      <c r="E48" s="9" t="str">
        <f>LEFT(B48,3)</f>
        <v>IOQ</v>
      </c>
      <c r="F48" s="9"/>
      <c r="G48" s="391">
        <f t="array" ref="G48:G53">F$27:F$32/$I$27:$I$32*INDEX($K$7:$N$13,$U48,$H$27:$H$32)</f>
        <v>5.5587536451803647E-4</v>
      </c>
      <c r="H48" s="391">
        <f t="array" ref="H48:H53">G$27:G$32/$I$27:$I$32*INDEX($K$17:$N$23,$U48,$H$27:$H$32)</f>
        <v>1.6797256338762178E-4</v>
      </c>
      <c r="I48" s="389"/>
      <c r="J48" s="389"/>
      <c r="K48" s="392">
        <f>IF(G48=0,0,G48/I53)/M$76</f>
        <v>1.7447162843628541E-2</v>
      </c>
      <c r="L48" s="392">
        <f>IF(H48=0,0,H48/J53)/M$76</f>
        <v>1.6070126757315357E-2</v>
      </c>
      <c r="M48" s="389"/>
      <c r="N48" s="12">
        <v>2019</v>
      </c>
      <c r="O48" s="303"/>
      <c r="P48" s="303"/>
      <c r="Q48" s="389"/>
      <c r="R48" s="389"/>
      <c r="S48" s="389"/>
      <c r="U48">
        <v>3</v>
      </c>
    </row>
    <row r="49" spans="2:21">
      <c r="B49" s="390"/>
      <c r="C49" s="390"/>
      <c r="D49" s="9" t="s">
        <v>57</v>
      </c>
      <c r="E49" s="9" t="s">
        <v>395</v>
      </c>
      <c r="F49" s="9"/>
      <c r="G49" s="391">
        <v>4.2899124894923996E-3</v>
      </c>
      <c r="H49" s="391">
        <v>1.0617672099937408E-3</v>
      </c>
      <c r="I49" s="389"/>
      <c r="J49" s="389"/>
      <c r="K49" s="392">
        <v>0</v>
      </c>
      <c r="L49" s="392">
        <v>0</v>
      </c>
      <c r="M49" s="389"/>
      <c r="N49" s="12">
        <v>2019</v>
      </c>
      <c r="O49" s="303">
        <v>0.1</v>
      </c>
      <c r="P49" s="303"/>
      <c r="Q49" s="389"/>
      <c r="R49" s="389"/>
      <c r="S49" s="389"/>
    </row>
    <row r="50" spans="2:21">
      <c r="B50" s="390"/>
      <c r="C50" s="390"/>
      <c r="D50" s="9" t="s">
        <v>60</v>
      </c>
      <c r="E50" s="9"/>
      <c r="F50" s="9"/>
      <c r="G50" s="391">
        <v>1.0473063982451791E-2</v>
      </c>
      <c r="H50" s="391">
        <v>3.5387494107798605E-3</v>
      </c>
      <c r="I50" s="389"/>
      <c r="J50" s="389"/>
      <c r="K50" s="392">
        <f>IF(G50=0,0,G50/I53)/M$76</f>
        <v>0.32871622748024903</v>
      </c>
      <c r="L50" s="392">
        <f>IF(H50=0,0,H50/J53)/M$76</f>
        <v>0.33855619302764128</v>
      </c>
      <c r="M50" s="389"/>
      <c r="N50" s="12">
        <v>2019</v>
      </c>
      <c r="O50" s="303"/>
      <c r="P50" s="303"/>
      <c r="Q50" s="389"/>
      <c r="R50" s="389"/>
      <c r="S50" s="389"/>
    </row>
    <row r="51" spans="2:21">
      <c r="B51" s="390"/>
      <c r="C51" s="390"/>
      <c r="D51" s="9" t="s">
        <v>61</v>
      </c>
      <c r="E51" s="9"/>
      <c r="F51" s="9"/>
      <c r="G51" s="391">
        <v>7.6591564895513902E-3</v>
      </c>
      <c r="H51" s="391">
        <v>2.5879566438135704E-3</v>
      </c>
      <c r="I51" s="389"/>
      <c r="J51" s="389"/>
      <c r="K51" s="392">
        <f>IF(G51=0,0,G51/I53)/M$76</f>
        <v>0.2403966051524874</v>
      </c>
      <c r="L51" s="392">
        <f>IF(H51=0,0,H51/J53)/M$76</f>
        <v>0.24759276437633543</v>
      </c>
      <c r="M51" s="389"/>
      <c r="N51" s="12">
        <v>2019</v>
      </c>
      <c r="O51" s="303"/>
      <c r="P51" s="303"/>
      <c r="Q51" s="389"/>
      <c r="R51" s="389"/>
      <c r="S51" s="389"/>
    </row>
    <row r="52" spans="2:21">
      <c r="B52" s="390"/>
      <c r="C52" s="390"/>
      <c r="D52" s="52" t="s">
        <v>75</v>
      </c>
      <c r="E52" s="52"/>
      <c r="F52" s="52"/>
      <c r="G52" s="391">
        <v>8.389012496644307E-4</v>
      </c>
      <c r="H52" s="391">
        <v>2.0565174965303656E-4</v>
      </c>
      <c r="I52" s="389"/>
      <c r="J52" s="389"/>
      <c r="K52" s="392">
        <f>IF(G52=0,0,G52/I53)/M$76</f>
        <v>2.633044679954313E-2</v>
      </c>
      <c r="L52" s="392">
        <f>IF(H52=0,0,H52/J53)/M$76</f>
        <v>1.9674937490604033E-2</v>
      </c>
      <c r="M52" s="389"/>
      <c r="N52" s="12">
        <v>2019</v>
      </c>
      <c r="O52" s="303"/>
      <c r="P52" s="303"/>
      <c r="Q52" s="389"/>
      <c r="R52" s="389"/>
      <c r="S52" s="389"/>
    </row>
    <row r="53" spans="2:21">
      <c r="B53" s="390"/>
      <c r="C53" s="390"/>
      <c r="D53" s="52" t="s">
        <v>1332</v>
      </c>
      <c r="E53" s="52"/>
      <c r="F53" s="52"/>
      <c r="G53" s="391">
        <v>1.2333504790257513E-2</v>
      </c>
      <c r="H53" s="391">
        <v>3.9521424674764495E-3</v>
      </c>
      <c r="I53" s="391">
        <f>IF(Region="FIN",$K$29,SUM(G48:G53)-G49)</f>
        <v>3.1860501876443161E-2</v>
      </c>
      <c r="J53" s="391">
        <f>IF(Region="FIN",$K$29,SUM(H48:H53)-H49)</f>
        <v>1.0452472835110539E-2</v>
      </c>
      <c r="K53" s="392">
        <f>IF(G53=0,0,G53/I53)/M$76</f>
        <v>0.38710955772409195</v>
      </c>
      <c r="L53" s="392">
        <f>IF(H53=0,0,H53/J53)/M$76</f>
        <v>0.37810597834810389</v>
      </c>
      <c r="M53" s="389"/>
      <c r="N53" s="12">
        <v>2019</v>
      </c>
      <c r="O53" s="303"/>
      <c r="P53" s="303"/>
      <c r="Q53" s="389"/>
      <c r="R53" s="389"/>
      <c r="S53" s="389"/>
    </row>
    <row r="54" spans="2:21">
      <c r="B54" s="390" t="str">
        <f>INDEX($B$86:$B$92,U54)&amp;"000"</f>
        <v>IOF000</v>
      </c>
      <c r="C54" s="390" t="str">
        <f>INDEX(C$86:C$92,$U54)</f>
        <v>Foodstuff</v>
      </c>
      <c r="D54" s="9" t="s">
        <v>48</v>
      </c>
      <c r="E54" s="9" t="str">
        <f>LEFT(B54,3)</f>
        <v>IOF</v>
      </c>
      <c r="F54" s="9"/>
      <c r="G54" s="391">
        <f t="array" ref="G54:G58">F$27:F$31/$I$27:$I$31*INDEX($K$7:$N$13,$U54,$H$27:$H$31)</f>
        <v>0.49570832534914444</v>
      </c>
      <c r="H54" s="391">
        <f t="array" ref="H54:H58">G$27:G$31/$I$27:$I$31*INDEX($K$17:$N$23,$U54,$H$27:$H$31)</f>
        <v>0.96640878243552952</v>
      </c>
      <c r="I54" s="389"/>
      <c r="J54" s="389"/>
      <c r="K54" s="392">
        <f>IF(G54=0,0,G54/I58)/M$76</f>
        <v>0.43619966738049792</v>
      </c>
      <c r="L54" s="392">
        <f>IF(H54=0,0,H54/J58)/M$76</f>
        <v>0.52675254007702654</v>
      </c>
      <c r="M54" s="389"/>
      <c r="N54" s="12">
        <v>2019</v>
      </c>
      <c r="O54" s="303"/>
      <c r="P54" s="303"/>
      <c r="Q54" s="389"/>
      <c r="R54" s="389"/>
      <c r="S54" s="389"/>
      <c r="U54">
        <v>4</v>
      </c>
    </row>
    <row r="55" spans="2:21">
      <c r="B55" s="390"/>
      <c r="C55" s="390"/>
      <c r="D55" s="9" t="s">
        <v>57</v>
      </c>
      <c r="E55" s="9" t="s">
        <v>395</v>
      </c>
      <c r="F55" s="9"/>
      <c r="G55" s="391">
        <v>1.9798392194681259E-2</v>
      </c>
      <c r="H55" s="391">
        <v>2.8310194177457171E-2</v>
      </c>
      <c r="I55" s="389"/>
      <c r="J55" s="389"/>
      <c r="K55" s="392">
        <f>IF(G55=0,0,G55/I58)/M$76</f>
        <v>1.7421640203250457E-2</v>
      </c>
      <c r="L55" s="392">
        <f>IF(H55=0,0,H55/J58)/M$76</f>
        <v>1.5430806263439812E-2</v>
      </c>
      <c r="M55" s="389"/>
      <c r="N55" s="12">
        <v>2019</v>
      </c>
      <c r="O55" s="303">
        <v>0.1</v>
      </c>
      <c r="P55" s="303"/>
      <c r="Q55" s="389"/>
      <c r="R55" s="389"/>
      <c r="S55" s="389"/>
    </row>
    <row r="56" spans="2:21">
      <c r="B56" s="390"/>
      <c r="C56" s="390"/>
      <c r="D56" s="9" t="s">
        <v>60</v>
      </c>
      <c r="E56" s="9"/>
      <c r="F56" s="9"/>
      <c r="G56" s="391">
        <v>0.22599560730951304</v>
      </c>
      <c r="H56" s="391">
        <v>0.3355685799490859</v>
      </c>
      <c r="I56" s="389"/>
      <c r="J56" s="389"/>
      <c r="K56" s="392">
        <f>IF(G56=0,0,G56/I58)/M$76</f>
        <v>0.19886534822353547</v>
      </c>
      <c r="L56" s="392">
        <f>IF(H56=0,0,H56/J58)/M$76</f>
        <v>0.18290562448403014</v>
      </c>
      <c r="M56" s="389"/>
      <c r="N56" s="12">
        <v>2019</v>
      </c>
      <c r="O56" s="303"/>
      <c r="P56" s="303"/>
      <c r="Q56" s="389"/>
      <c r="R56" s="389"/>
      <c r="S56" s="389"/>
    </row>
    <row r="57" spans="2:21">
      <c r="B57" s="390"/>
      <c r="C57" s="390"/>
      <c r="D57" s="9" t="s">
        <v>61</v>
      </c>
      <c r="E57" s="9"/>
      <c r="F57" s="9"/>
      <c r="G57" s="391">
        <v>0.165275006935415</v>
      </c>
      <c r="H57" s="391">
        <v>0.24540786450966534</v>
      </c>
      <c r="I57" s="389"/>
      <c r="J57" s="389"/>
      <c r="K57" s="392">
        <f>IF(G57=0,0,G57/I58)/M$76</f>
        <v>0.14543411793772074</v>
      </c>
      <c r="L57" s="392">
        <f>IF(H57=0,0,H57/J58)/M$76</f>
        <v>0.13376245987703317</v>
      </c>
      <c r="M57" s="389"/>
      <c r="N57" s="12">
        <v>2019</v>
      </c>
      <c r="O57" s="303"/>
      <c r="P57" s="303"/>
      <c r="Q57" s="389"/>
      <c r="R57" s="389"/>
      <c r="S57" s="389"/>
    </row>
    <row r="58" spans="2:21">
      <c r="B58" s="390"/>
      <c r="C58" s="390"/>
      <c r="D58" s="52" t="s">
        <v>75</v>
      </c>
      <c r="E58" s="52"/>
      <c r="F58" s="52"/>
      <c r="G58" s="391">
        <v>0.22964793952337914</v>
      </c>
      <c r="H58" s="391">
        <v>0.25895882149577298</v>
      </c>
      <c r="I58" s="391">
        <f>SUM(G54:G58)</f>
        <v>1.1364252713121328</v>
      </c>
      <c r="J58" s="391">
        <f>SUM(H54:H58)</f>
        <v>1.834654242567511</v>
      </c>
      <c r="K58" s="392">
        <f>IF(G58=0,0,G58/I58)/M$76</f>
        <v>0.20207922625499553</v>
      </c>
      <c r="L58" s="392">
        <f>IF(H58=0,0,H58/J58)/M$76</f>
        <v>0.14114856929847036</v>
      </c>
      <c r="M58" s="389"/>
      <c r="N58" s="12">
        <v>2019</v>
      </c>
      <c r="O58" s="303"/>
      <c r="P58" s="303"/>
      <c r="Q58" s="389"/>
      <c r="R58" s="389"/>
      <c r="S58" s="389"/>
    </row>
    <row r="59" spans="2:21">
      <c r="B59" s="390" t="str">
        <f>INDEX($B$86:$B$92,U59)&amp;"000"</f>
        <v>IOW000</v>
      </c>
      <c r="C59" s="390" t="str">
        <f>INDEX(C$86:C$92,$U59)</f>
        <v>Wood processing</v>
      </c>
      <c r="D59" s="9" t="s">
        <v>48</v>
      </c>
      <c r="E59" s="52"/>
      <c r="F59" s="52" t="s">
        <v>1327</v>
      </c>
      <c r="G59" s="391">
        <f t="array" ref="G59:G63">F$27:F$31/$I$27:$I$31*INDEX($K$7:$N$13,$U59,$H$27:$H$31)</f>
        <v>0.4460939494477818</v>
      </c>
      <c r="H59" s="391">
        <f t="array" ref="H59:H63">G$27:G$31/$I$27:$I$31*INDEX($K$17:$N$23,$U59,$H$27:$H$31)</f>
        <v>0.2434515386883086</v>
      </c>
      <c r="I59" s="389"/>
      <c r="J59" s="389"/>
      <c r="K59" s="392"/>
      <c r="L59" s="392"/>
      <c r="M59" s="389"/>
      <c r="N59" s="12"/>
      <c r="O59" s="303"/>
      <c r="P59" s="303"/>
      <c r="Q59" s="391">
        <f>IF(G59=0,0,G59/I64)/$M$76</f>
        <v>4.4609394944778176</v>
      </c>
      <c r="R59" s="391">
        <f>IF(H59=0,0,H59/J64)/$M$76</f>
        <v>2.4345153868830858</v>
      </c>
      <c r="S59" s="389"/>
      <c r="U59">
        <v>5</v>
      </c>
    </row>
    <row r="60" spans="2:21">
      <c r="B60" s="390"/>
      <c r="C60" s="390"/>
      <c r="D60" s="9" t="s">
        <v>57</v>
      </c>
      <c r="E60" s="52"/>
      <c r="F60" s="52" t="s">
        <v>1327</v>
      </c>
      <c r="G60" s="391">
        <v>6.472756202429035E-3</v>
      </c>
      <c r="H60" s="391">
        <v>3.1816619573533274E-3</v>
      </c>
      <c r="I60" s="389"/>
      <c r="J60" s="389"/>
      <c r="K60" s="392"/>
      <c r="L60" s="392"/>
      <c r="M60" s="389"/>
      <c r="N60" s="12"/>
      <c r="O60" s="303"/>
      <c r="P60" s="303"/>
      <c r="Q60" s="391">
        <f>IF(G60=0,0,G60/I64)/M$76</f>
        <v>6.472756202429035E-2</v>
      </c>
      <c r="R60" s="391">
        <f>IF(H60=0,0,H60/J64)/$M$76</f>
        <v>3.1816619573533274E-2</v>
      </c>
      <c r="S60" s="389"/>
    </row>
    <row r="61" spans="2:21">
      <c r="B61" s="390"/>
      <c r="C61" s="390"/>
      <c r="D61" s="9" t="s">
        <v>60</v>
      </c>
      <c r="E61" s="52"/>
      <c r="F61" s="52" t="s">
        <v>1328</v>
      </c>
      <c r="G61" s="391">
        <v>7.2776248943367663E-2</v>
      </c>
      <c r="H61" s="391">
        <v>3.1973890295129218E-2</v>
      </c>
      <c r="I61" s="389"/>
      <c r="J61" s="389"/>
      <c r="K61" s="392"/>
      <c r="L61" s="392"/>
      <c r="M61" s="389"/>
      <c r="N61" s="12"/>
      <c r="O61" s="303"/>
      <c r="P61" s="303"/>
      <c r="Q61" s="391">
        <f>IF(G61=0,0,G61/I64)/M$76</f>
        <v>0.72776248943367661</v>
      </c>
      <c r="R61" s="391">
        <f>IF(H61=0,0,H61/J64)/$M$76</f>
        <v>0.31973890295129215</v>
      </c>
      <c r="S61" s="389"/>
    </row>
    <row r="62" spans="2:21">
      <c r="B62" s="390"/>
      <c r="C62" s="390"/>
      <c r="D62" s="9" t="s">
        <v>61</v>
      </c>
      <c r="E62" s="52"/>
      <c r="F62" s="52" t="s">
        <v>1328</v>
      </c>
      <c r="G62" s="391">
        <v>5.3222693980841229E-2</v>
      </c>
      <c r="H62" s="391">
        <v>2.3383131217423591E-2</v>
      </c>
      <c r="I62" s="389"/>
      <c r="J62" s="389"/>
      <c r="K62" s="392"/>
      <c r="L62" s="392"/>
      <c r="M62" s="389"/>
      <c r="N62" s="12"/>
      <c r="O62" s="303"/>
      <c r="P62" s="303"/>
      <c r="Q62" s="391">
        <f>IF(G62=0,0,G62/I64)/M$76</f>
        <v>0.53222693980841229</v>
      </c>
      <c r="R62" s="391">
        <f>IF(H62=0,0,H62/J64)/$M$76</f>
        <v>0.23383131217423589</v>
      </c>
      <c r="S62" s="389"/>
    </row>
    <row r="63" spans="2:21">
      <c r="B63" s="390"/>
      <c r="C63" s="390"/>
      <c r="D63" s="52" t="s">
        <v>75</v>
      </c>
      <c r="E63" s="52"/>
      <c r="F63" s="52" t="s">
        <v>1327</v>
      </c>
      <c r="G63" s="391">
        <v>7.50795877922011E-2</v>
      </c>
      <c r="H63" s="391">
        <v>2.9103277275654371E-2</v>
      </c>
      <c r="I63" s="391">
        <f>SUM(G59:G63)</f>
        <v>0.65364523636662086</v>
      </c>
      <c r="J63" s="391">
        <f>SUM(H59:H63)</f>
        <v>0.33109349943386912</v>
      </c>
      <c r="K63" s="392"/>
      <c r="L63" s="392"/>
      <c r="M63" s="389"/>
      <c r="N63" s="12"/>
      <c r="O63" s="303"/>
      <c r="P63" s="303"/>
      <c r="Q63" s="391">
        <f>IF(G63=0,0,G63/I64)/M$76</f>
        <v>0.75079587792201097</v>
      </c>
      <c r="R63" s="391">
        <f>IF(H63=0,0,H63/J64)/$M$76</f>
        <v>0.29103277275654371</v>
      </c>
      <c r="S63" s="389"/>
    </row>
    <row r="64" spans="2:21">
      <c r="B64" s="390"/>
      <c r="C64" s="390"/>
      <c r="D64" s="52" t="s">
        <v>459</v>
      </c>
      <c r="E64" s="9"/>
      <c r="F64" s="9" t="s">
        <v>1116</v>
      </c>
      <c r="G64" s="506">
        <f>I64*$Q64</f>
        <v>0.22999999999999998</v>
      </c>
      <c r="H64" s="506">
        <f>J64*$Q64</f>
        <v>0.22999999999999998</v>
      </c>
      <c r="I64" s="391">
        <f ca="1">Drivers2!$L$105</f>
        <v>0.1</v>
      </c>
      <c r="J64" s="391">
        <f ca="1">Driver22!$L$105</f>
        <v>0.1</v>
      </c>
      <c r="K64" s="392"/>
      <c r="L64" s="392"/>
      <c r="M64" s="389"/>
      <c r="N64" s="12"/>
      <c r="O64" s="303"/>
      <c r="P64" s="415"/>
      <c r="Q64" s="391">
        <f ca="1">Drivers2!$P$108</f>
        <v>2.2999999999999998</v>
      </c>
      <c r="R64" s="389">
        <f ca="1">Driver22!$P$108</f>
        <v>2.2999999999999998</v>
      </c>
      <c r="S64" s="389"/>
    </row>
    <row r="65" spans="2:35">
      <c r="B65" s="390"/>
      <c r="C65" s="390"/>
      <c r="D65" s="52" t="s">
        <v>459</v>
      </c>
      <c r="E65" s="9"/>
      <c r="F65" s="9" t="s">
        <v>395</v>
      </c>
      <c r="G65" s="391"/>
      <c r="H65" s="391"/>
      <c r="I65" s="391"/>
      <c r="J65" s="391"/>
      <c r="K65" s="392"/>
      <c r="L65" s="392"/>
      <c r="M65" s="389"/>
      <c r="N65" s="12"/>
      <c r="O65" s="303"/>
      <c r="P65" s="415"/>
      <c r="Q65" s="389">
        <v>-1</v>
      </c>
      <c r="R65" s="389">
        <v>-1</v>
      </c>
      <c r="S65" s="389"/>
    </row>
    <row r="66" spans="2:35">
      <c r="B66" s="390"/>
      <c r="C66" s="390"/>
      <c r="D66" s="52" t="s">
        <v>1328</v>
      </c>
      <c r="E66" s="9" t="s">
        <v>1281</v>
      </c>
      <c r="F66" s="9" t="s">
        <v>1126</v>
      </c>
      <c r="G66" s="391"/>
      <c r="H66" s="391"/>
      <c r="I66" s="391"/>
      <c r="J66" s="391"/>
      <c r="K66" s="392">
        <v>1</v>
      </c>
      <c r="L66" s="392">
        <v>1</v>
      </c>
      <c r="M66" s="389"/>
      <c r="N66" s="12"/>
      <c r="O66" s="303"/>
      <c r="P66" s="303"/>
      <c r="Q66" s="391">
        <f ca="1">Drivers2!$P$118*Drivers2!$P$115+Drivers2!$P$112</f>
        <v>6.7900000000000009</v>
      </c>
      <c r="R66" s="391">
        <f ca="1">Driver22!$P$118*Driver22!$P$115+Driver22!$P$112</f>
        <v>6.7900000000000009</v>
      </c>
      <c r="S66" s="391">
        <v>1.5</v>
      </c>
    </row>
    <row r="67" spans="2:35">
      <c r="B67" s="390"/>
      <c r="C67" s="390"/>
      <c r="D67" s="52" t="s">
        <v>1327</v>
      </c>
      <c r="E67" s="9" t="s">
        <v>1281</v>
      </c>
      <c r="F67" s="9" t="s">
        <v>395</v>
      </c>
      <c r="G67" s="391"/>
      <c r="H67" s="391"/>
      <c r="I67" s="391"/>
      <c r="J67" s="391"/>
      <c r="K67" s="392">
        <v>1</v>
      </c>
      <c r="L67" s="392">
        <v>1</v>
      </c>
      <c r="M67" s="389"/>
      <c r="N67" s="12"/>
      <c r="O67" s="303"/>
      <c r="P67" s="303"/>
      <c r="Q67" s="391">
        <f ca="1">-Drivers2!$P$115</f>
        <v>-7</v>
      </c>
      <c r="R67" s="391">
        <f ca="1">-Driver22!$P$115</f>
        <v>-7</v>
      </c>
      <c r="S67" s="391"/>
    </row>
    <row r="68" spans="2:35">
      <c r="B68" s="390"/>
      <c r="C68" s="390"/>
      <c r="D68" s="9" t="s">
        <v>48</v>
      </c>
      <c r="E68" s="9" t="s">
        <v>1280</v>
      </c>
      <c r="F68" s="9" t="s">
        <v>48</v>
      </c>
      <c r="G68" s="391"/>
      <c r="H68" s="391"/>
      <c r="I68" s="391"/>
      <c r="J68" s="391"/>
      <c r="K68" s="392"/>
      <c r="L68" s="392"/>
      <c r="M68" s="389"/>
      <c r="N68" s="12"/>
      <c r="O68" s="415"/>
      <c r="P68" s="415"/>
      <c r="Q68" s="389">
        <v>1</v>
      </c>
      <c r="R68" s="389">
        <v>1</v>
      </c>
      <c r="S68" s="389"/>
    </row>
    <row r="69" spans="2:35">
      <c r="B69" s="390"/>
      <c r="C69" s="390"/>
      <c r="D69" s="9" t="s">
        <v>395</v>
      </c>
      <c r="E69" s="9" t="s">
        <v>1116</v>
      </c>
      <c r="F69" s="9" t="s">
        <v>1116</v>
      </c>
      <c r="G69" s="391"/>
      <c r="H69" s="391"/>
      <c r="I69" s="391"/>
      <c r="J69" s="391"/>
      <c r="K69" s="392"/>
      <c r="L69" s="392"/>
      <c r="M69" s="389"/>
      <c r="N69" s="12"/>
      <c r="O69" s="415"/>
      <c r="P69" s="415">
        <f ca="1">Drivers2!$P$118</f>
        <v>0.77</v>
      </c>
      <c r="Q69" s="389"/>
      <c r="R69" s="389"/>
      <c r="S69" s="389"/>
    </row>
    <row r="70" spans="2:35">
      <c r="B70" s="390" t="str">
        <f>INDEX($B$86:$B$92,U70)&amp;"000"</f>
        <v>IOC000</v>
      </c>
      <c r="C70" s="390" t="str">
        <f>INDEX(C$86:C$92,$U70)</f>
        <v>Construction</v>
      </c>
      <c r="D70" s="9" t="s">
        <v>48</v>
      </c>
      <c r="E70" s="9" t="str">
        <f>LEFT(B70,3)</f>
        <v>IOC</v>
      </c>
      <c r="F70" s="9"/>
      <c r="G70" s="391">
        <f t="array" ref="G70:G75">F$27:F$32/$I$27:$I$32*INDEX($K$7:$N$13,$U70,$H$27:$H$32)</f>
        <v>0</v>
      </c>
      <c r="H70" s="391">
        <f t="array" ref="H70:H75">G$27:G$32/$I$27:$I$32*INDEX($K$17:$N$23,$U70,$H$27:$H$32)</f>
        <v>0</v>
      </c>
      <c r="I70" s="389"/>
      <c r="J70" s="389"/>
      <c r="K70" s="392">
        <f>IF(G70=0,0,G70/I75)/M$76</f>
        <v>0</v>
      </c>
      <c r="L70" s="392">
        <f>IF(H70=0,0,H70/J75)/M$76</f>
        <v>0</v>
      </c>
      <c r="M70" s="389"/>
      <c r="N70" s="12">
        <v>2019</v>
      </c>
      <c r="O70" s="303"/>
      <c r="P70" s="303"/>
      <c r="Q70" s="389"/>
      <c r="R70" s="389"/>
      <c r="S70" s="389"/>
      <c r="U70">
        <v>6</v>
      </c>
    </row>
    <row r="71" spans="2:35">
      <c r="B71" s="390"/>
      <c r="C71" s="390"/>
      <c r="D71" s="9" t="s">
        <v>57</v>
      </c>
      <c r="E71" s="9" t="s">
        <v>395</v>
      </c>
      <c r="F71" s="9"/>
      <c r="G71" s="391">
        <v>0.33395042977203854</v>
      </c>
      <c r="H71" s="391">
        <v>0.32574443097795824</v>
      </c>
      <c r="I71" s="389"/>
      <c r="J71" s="389"/>
      <c r="K71" s="392">
        <v>0</v>
      </c>
      <c r="L71" s="392">
        <v>0</v>
      </c>
      <c r="M71" s="389"/>
      <c r="N71" s="12">
        <v>2019</v>
      </c>
      <c r="O71" s="303">
        <v>0.1</v>
      </c>
      <c r="P71" s="303"/>
      <c r="Q71" s="389"/>
      <c r="R71" s="389"/>
      <c r="S71" s="389"/>
    </row>
    <row r="72" spans="2:35">
      <c r="B72" s="390"/>
      <c r="C72" s="390"/>
      <c r="D72" s="9" t="s">
        <v>60</v>
      </c>
      <c r="E72" s="9"/>
      <c r="F72" s="9"/>
      <c r="G72" s="391">
        <v>0</v>
      </c>
      <c r="H72" s="391">
        <v>0</v>
      </c>
      <c r="I72" s="389"/>
      <c r="J72" s="389"/>
      <c r="K72" s="392">
        <f>IF(G72=0,0,G72/I75)/M$76</f>
        <v>0</v>
      </c>
      <c r="L72" s="392">
        <f>IF(H72=0,0,H72/J75)/M$76</f>
        <v>0</v>
      </c>
      <c r="M72" s="389"/>
      <c r="N72" s="12">
        <v>2019</v>
      </c>
      <c r="O72" s="303"/>
      <c r="P72" s="303"/>
      <c r="Q72" s="389"/>
      <c r="R72" s="389"/>
      <c r="S72" s="389"/>
    </row>
    <row r="73" spans="2:35">
      <c r="B73" s="390"/>
      <c r="C73" s="390"/>
      <c r="D73" s="9" t="s">
        <v>61</v>
      </c>
      <c r="E73" s="9"/>
      <c r="F73" s="9"/>
      <c r="G73" s="391">
        <v>0</v>
      </c>
      <c r="H73" s="391">
        <v>0</v>
      </c>
      <c r="I73" s="389"/>
      <c r="J73" s="389"/>
      <c r="K73" s="392">
        <f>IF(G73=0,0,G73/I75)/M$76</f>
        <v>0</v>
      </c>
      <c r="L73" s="392">
        <f>IF(H73=0,0,H73/J75)/M$76</f>
        <v>0</v>
      </c>
      <c r="M73" s="389"/>
      <c r="N73" s="12">
        <v>2019</v>
      </c>
      <c r="O73" s="303"/>
      <c r="P73" s="303"/>
      <c r="Q73" s="389"/>
      <c r="R73" s="389"/>
      <c r="S73" s="389"/>
    </row>
    <row r="74" spans="2:35">
      <c r="B74" s="390"/>
      <c r="C74" s="390"/>
      <c r="D74" s="52" t="s">
        <v>75</v>
      </c>
      <c r="E74" s="52"/>
      <c r="F74" s="52"/>
      <c r="G74" s="391">
        <v>2.2882150020634255</v>
      </c>
      <c r="H74" s="391">
        <v>2.42773032363817</v>
      </c>
      <c r="I74" s="389"/>
      <c r="J74" s="389"/>
      <c r="K74" s="392">
        <f>IF(G74=0,0,G74/I75)/M$76</f>
        <v>0.70442964352730486</v>
      </c>
      <c r="L74" s="392">
        <f>IF(H74=0,0,H74/J75)/M$76</f>
        <v>0.66691742985055247</v>
      </c>
      <c r="M74" s="389"/>
      <c r="N74" s="12">
        <v>2019</v>
      </c>
      <c r="O74" s="303"/>
      <c r="P74" s="303"/>
      <c r="Q74" s="389"/>
      <c r="R74" s="389"/>
      <c r="S74" s="389"/>
    </row>
    <row r="75" spans="2:35">
      <c r="B75" s="390"/>
      <c r="C75" s="390"/>
      <c r="D75" s="52" t="s">
        <v>1332</v>
      </c>
      <c r="E75" s="52"/>
      <c r="F75" s="52"/>
      <c r="G75" s="391">
        <v>0.9601079824799279</v>
      </c>
      <c r="H75" s="391">
        <v>1.2124959097385661</v>
      </c>
      <c r="I75" s="391">
        <f>SUM(G70:G75)-G71</f>
        <v>3.2483229845433534</v>
      </c>
      <c r="J75" s="391">
        <f>SUM(H70:H75)-H71</f>
        <v>3.6402262333767359</v>
      </c>
      <c r="K75" s="392">
        <f>IF(G75=0,0,G75/I75)/M$76</f>
        <v>0.29557035647269514</v>
      </c>
      <c r="L75" s="392">
        <f>IF(H75=0,0,H75/J75)/M$76</f>
        <v>0.33308257014944764</v>
      </c>
      <c r="M75" s="389"/>
      <c r="N75" s="12">
        <v>2019</v>
      </c>
      <c r="O75" s="303"/>
      <c r="P75" s="303"/>
      <c r="Q75" s="389"/>
      <c r="R75" s="389"/>
      <c r="S75" s="389"/>
    </row>
    <row r="76" spans="2:35" ht="16.5" customHeight="1">
      <c r="B76" s="35" t="s">
        <v>78</v>
      </c>
      <c r="C76" s="300" t="s">
        <v>1222</v>
      </c>
      <c r="D76" s="9" t="s">
        <v>48</v>
      </c>
      <c r="E76" s="9" t="str">
        <f>LEFT(B76,3)</f>
        <v>IOI</v>
      </c>
      <c r="F76" s="9"/>
      <c r="G76" s="21">
        <f t="array" ref="G76:G80">F$27:F$31/$I$27:$I$31*INDEX($K$7:$N$13,$U76,$H$27:$H$31)</f>
        <v>0.96312683642876307</v>
      </c>
      <c r="H76" s="21">
        <f t="array" ref="H76:H80">G$27:G$31/$I$27:$I$31*INDEX($K$17:$N$23,$U76,$H$27:$H$31)</f>
        <v>0.29023676677745963</v>
      </c>
      <c r="I76" s="31">
        <v>1</v>
      </c>
      <c r="J76" s="31">
        <v>1</v>
      </c>
      <c r="K76" s="62">
        <f>IF(G76=0,0,G76/I80)/M$76</f>
        <v>0.3942285142508411</v>
      </c>
      <c r="L76" s="62">
        <f>IF(H76=0,0,H76/J80)/M$76</f>
        <v>0.41463507796035037</v>
      </c>
      <c r="M76" s="31">
        <v>1</v>
      </c>
      <c r="N76" s="12">
        <v>2019</v>
      </c>
      <c r="O76" s="17"/>
      <c r="P76" s="17"/>
      <c r="Q76" s="12"/>
      <c r="R76" s="12"/>
      <c r="S76" s="12"/>
      <c r="U76">
        <v>7</v>
      </c>
    </row>
    <row r="77" spans="2:35">
      <c r="B77" s="9"/>
      <c r="C77" s="23"/>
      <c r="D77" s="9" t="s">
        <v>57</v>
      </c>
      <c r="E77" s="9" t="s">
        <v>395</v>
      </c>
      <c r="F77" s="9"/>
      <c r="G77" s="21">
        <v>0.28077928047170386</v>
      </c>
      <c r="H77" s="21">
        <v>0.27017353467921595</v>
      </c>
      <c r="I77" s="62"/>
      <c r="J77" s="62"/>
      <c r="K77" s="62">
        <f>IF(G77=0,0,G77/I80)/M$76</f>
        <v>0.11492899417403701</v>
      </c>
      <c r="L77" s="62">
        <f>IF(H77=0,0,H77/J80)/M$76</f>
        <v>0.38597254875167009</v>
      </c>
      <c r="M77" s="62"/>
      <c r="N77" s="12">
        <v>2019</v>
      </c>
      <c r="O77" s="303">
        <v>0.1</v>
      </c>
      <c r="P77" s="542"/>
      <c r="Q77" s="9"/>
      <c r="R77" s="9"/>
      <c r="S77" s="9"/>
    </row>
    <row r="78" spans="2:35">
      <c r="B78" s="9"/>
      <c r="C78" s="23"/>
      <c r="D78" s="9" t="s">
        <v>60</v>
      </c>
      <c r="E78" s="9"/>
      <c r="F78" s="9"/>
      <c r="G78" s="21">
        <v>0.13363548279077919</v>
      </c>
      <c r="H78" s="21">
        <v>5.5551452963866904E-2</v>
      </c>
      <c r="I78" s="62"/>
      <c r="J78" s="62"/>
      <c r="K78" s="62">
        <f>IF(G78=0,0,G78/I80)/M$76</f>
        <v>5.4699875280340995E-2</v>
      </c>
      <c r="L78" s="62">
        <f>IF(H78=0,0,H78/J80)/M$76</f>
        <v>7.9361347930618303E-2</v>
      </c>
      <c r="M78" s="62"/>
      <c r="N78" s="12">
        <v>2019</v>
      </c>
      <c r="O78" s="542"/>
      <c r="P78" s="542"/>
      <c r="Q78" s="9"/>
      <c r="R78" s="9"/>
      <c r="S78" s="9"/>
    </row>
    <row r="79" spans="2:35">
      <c r="B79" s="9"/>
      <c r="C79" s="23"/>
      <c r="D79" s="9" t="s">
        <v>61</v>
      </c>
      <c r="E79" s="9"/>
      <c r="F79" s="9"/>
      <c r="G79" s="21">
        <v>9.7730241786579394E-2</v>
      </c>
      <c r="H79" s="21">
        <v>4.0625863852748453E-2</v>
      </c>
      <c r="I79" s="62"/>
      <c r="J79" s="62"/>
      <c r="K79" s="62">
        <f>IF(G79=0,0,G79/I80)/M$76</f>
        <v>4.000308844031298E-2</v>
      </c>
      <c r="L79" s="62">
        <f>IF(H79=0,0,H79/J80)/M$76</f>
        <v>5.8038505640833737E-2</v>
      </c>
      <c r="M79" s="62"/>
      <c r="N79" s="12">
        <v>2019</v>
      </c>
      <c r="O79" s="542"/>
      <c r="P79" s="542"/>
      <c r="Q79" s="9"/>
      <c r="R79" s="9"/>
      <c r="S79" s="9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80"/>
    </row>
    <row r="80" spans="2:35">
      <c r="B80" s="52"/>
      <c r="C80" s="50"/>
      <c r="D80" s="52" t="s">
        <v>75</v>
      </c>
      <c r="E80" s="52"/>
      <c r="F80" s="52"/>
      <c r="G80" s="53">
        <v>0.96779557148952122</v>
      </c>
      <c r="H80" s="53">
        <v>4.3393599440309259E-2</v>
      </c>
      <c r="I80" s="391">
        <f>SUM(G76:G80)</f>
        <v>2.4430674129673466</v>
      </c>
      <c r="J80" s="391">
        <f>SUM(H76:H80)</f>
        <v>0.69998121771360022</v>
      </c>
      <c r="K80" s="62">
        <f>IF(G80=0,0,G80/I80)/M$76</f>
        <v>0.39613952785446799</v>
      </c>
      <c r="L80" s="62">
        <f>IF(H80=0,0,H80/J80)/M$76</f>
        <v>6.1992519716527458E-2</v>
      </c>
      <c r="M80" s="544"/>
      <c r="N80" s="12">
        <v>2019</v>
      </c>
      <c r="O80" s="543"/>
      <c r="P80" s="543"/>
      <c r="Q80" s="52"/>
      <c r="R80" s="52"/>
      <c r="S80" s="52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</row>
    <row r="81" spans="2:34">
      <c r="B81" s="192" t="s">
        <v>902</v>
      </c>
      <c r="C81" s="198"/>
      <c r="D81" s="198"/>
      <c r="E81" s="198"/>
      <c r="F81" s="198"/>
      <c r="G81" s="199">
        <f>SUM(G38:G80)-G64</f>
        <v>9.1914533453406264</v>
      </c>
      <c r="H81" s="199">
        <f>SUM(H38:H80)-H64</f>
        <v>7.9773905974588537</v>
      </c>
      <c r="I81" s="199"/>
      <c r="J81" s="199"/>
      <c r="K81" s="393">
        <f>SUM(K38:K80)</f>
        <v>8</v>
      </c>
      <c r="L81" s="393">
        <f>SUM(L38:L80)</f>
        <v>8</v>
      </c>
      <c r="M81" s="199"/>
      <c r="N81" s="198"/>
      <c r="O81" s="200"/>
      <c r="P81" s="200"/>
      <c r="Q81" s="200"/>
      <c r="R81" s="200"/>
      <c r="S81" s="200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</row>
    <row r="82" spans="2:34">
      <c r="G82" s="2"/>
      <c r="O82" s="77"/>
      <c r="P82" s="77"/>
      <c r="S82" s="77"/>
      <c r="T82" s="77"/>
      <c r="U82" s="81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</row>
    <row r="83" spans="2:34">
      <c r="D83" s="216"/>
      <c r="N83" s="77"/>
      <c r="O83" s="77"/>
      <c r="P83" s="77"/>
      <c r="R83" s="77"/>
      <c r="S83" s="77"/>
      <c r="T83" s="81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</row>
    <row r="84" spans="2:34" ht="18">
      <c r="B84" s="124" t="s">
        <v>89</v>
      </c>
      <c r="C84" s="125"/>
      <c r="D84" s="225"/>
      <c r="M84" s="2"/>
      <c r="N84" s="77"/>
      <c r="O84" s="77"/>
      <c r="P84" s="77"/>
      <c r="R84" s="77"/>
      <c r="S84" s="77"/>
      <c r="T84" s="81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</row>
    <row r="85" spans="2:34" ht="26.25" thickBot="1">
      <c r="B85" s="25" t="s">
        <v>772</v>
      </c>
      <c r="C85" s="25" t="s">
        <v>773</v>
      </c>
      <c r="D85" s="25" t="s">
        <v>778</v>
      </c>
      <c r="E85" s="25" t="s">
        <v>1083</v>
      </c>
      <c r="F85" s="25" t="str">
        <f ca="1">"DEMAND~"&amp;AuxYear</f>
        <v>DEMAND~2017</v>
      </c>
      <c r="G85" s="25"/>
      <c r="M85" s="2"/>
      <c r="N85" s="77"/>
      <c r="O85" s="77"/>
      <c r="P85" s="77"/>
      <c r="R85" s="77"/>
      <c r="S85" s="77"/>
      <c r="T85" s="81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</row>
    <row r="86" spans="2:34">
      <c r="B86" s="27" t="s">
        <v>1112</v>
      </c>
      <c r="C86" s="27" t="s">
        <v>1123</v>
      </c>
      <c r="D86" s="483" t="s">
        <v>783</v>
      </c>
      <c r="E86" s="338">
        <f>I42</f>
        <v>0.23677717877779419</v>
      </c>
      <c r="F86" s="338">
        <f>J42</f>
        <v>0.12273949172755905</v>
      </c>
      <c r="G86" s="12"/>
      <c r="M86" s="2"/>
      <c r="N86" s="77"/>
      <c r="O86" s="77"/>
      <c r="P86" s="77"/>
      <c r="R86" s="77"/>
      <c r="S86" s="77"/>
      <c r="T86" s="81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</row>
    <row r="87" spans="2:34" ht="13.5" customHeight="1">
      <c r="B87" s="27" t="s">
        <v>1113</v>
      </c>
      <c r="C87" s="27" t="s">
        <v>1122</v>
      </c>
      <c r="D87" s="483" t="s">
        <v>783</v>
      </c>
      <c r="E87" s="338">
        <f>I47</f>
        <v>1.1031144172354042</v>
      </c>
      <c r="F87" s="338">
        <f>J47</f>
        <v>1.0114372416165167</v>
      </c>
      <c r="G87" s="12"/>
      <c r="N87" s="77"/>
      <c r="O87" s="77"/>
      <c r="P87" s="77"/>
      <c r="R87" s="77"/>
      <c r="S87" s="77"/>
      <c r="T87" s="81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</row>
    <row r="88" spans="2:34">
      <c r="B88" s="27" t="s">
        <v>1114</v>
      </c>
      <c r="C88" s="27" t="s">
        <v>1121</v>
      </c>
      <c r="D88" s="483" t="s">
        <v>783</v>
      </c>
      <c r="E88" s="338">
        <f>I53</f>
        <v>3.1860501876443161E-2</v>
      </c>
      <c r="F88" s="338">
        <f>J53</f>
        <v>1.0452472835110539E-2</v>
      </c>
      <c r="G88" s="12"/>
      <c r="M88" s="77"/>
      <c r="N88" s="77"/>
      <c r="O88" s="77"/>
      <c r="P88" s="77"/>
      <c r="R88" s="77"/>
      <c r="S88" s="77"/>
      <c r="T88" s="81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</row>
    <row r="89" spans="2:34">
      <c r="B89" s="27" t="s">
        <v>1115</v>
      </c>
      <c r="C89" s="27" t="s">
        <v>1120</v>
      </c>
      <c r="D89" s="483" t="s">
        <v>783</v>
      </c>
      <c r="E89" s="338">
        <f>I58</f>
        <v>1.1364252713121328</v>
      </c>
      <c r="F89" s="338">
        <f>J58</f>
        <v>1.834654242567511</v>
      </c>
      <c r="G89" s="12"/>
      <c r="M89" s="77"/>
      <c r="N89" s="77"/>
      <c r="O89" s="77"/>
      <c r="P89" s="77"/>
      <c r="R89" s="77"/>
      <c r="S89" s="77"/>
      <c r="T89" s="81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</row>
    <row r="90" spans="2:34">
      <c r="B90" s="27" t="s">
        <v>1116</v>
      </c>
      <c r="C90" s="27" t="s">
        <v>1119</v>
      </c>
      <c r="D90" s="483" t="s">
        <v>783</v>
      </c>
      <c r="E90" s="338">
        <f>I64</f>
        <v>0.1</v>
      </c>
      <c r="F90" s="338">
        <f>J64</f>
        <v>0.1</v>
      </c>
      <c r="G90" s="12"/>
      <c r="M90" s="77"/>
      <c r="N90" s="77"/>
      <c r="O90" s="77"/>
      <c r="P90" s="77"/>
      <c r="R90" s="77"/>
      <c r="S90" s="77"/>
      <c r="T90" s="81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</row>
    <row r="91" spans="2:34">
      <c r="B91" s="27" t="s">
        <v>1117</v>
      </c>
      <c r="C91" s="27" t="s">
        <v>1118</v>
      </c>
      <c r="D91" s="483" t="s">
        <v>783</v>
      </c>
      <c r="E91" s="338">
        <f>I75</f>
        <v>3.2483229845433534</v>
      </c>
      <c r="F91" s="338">
        <f>J75</f>
        <v>3.6402262333767359</v>
      </c>
      <c r="G91" s="12"/>
      <c r="M91" s="77"/>
      <c r="N91" s="77"/>
      <c r="O91" s="77"/>
      <c r="P91" s="77"/>
      <c r="R91" s="77"/>
      <c r="S91" s="77"/>
      <c r="T91" s="81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</row>
    <row r="92" spans="2:34">
      <c r="B92" s="27" t="s">
        <v>722</v>
      </c>
      <c r="C92" s="27" t="s">
        <v>790</v>
      </c>
      <c r="D92" s="483" t="s">
        <v>783</v>
      </c>
      <c r="E92" s="338">
        <f>I80</f>
        <v>2.4430674129673466</v>
      </c>
      <c r="F92" s="338">
        <f>J80</f>
        <v>0.69998121771360022</v>
      </c>
      <c r="G92" s="12"/>
      <c r="M92" s="77"/>
      <c r="N92" s="77"/>
      <c r="O92" s="77"/>
      <c r="P92" s="77"/>
      <c r="R92" s="77"/>
      <c r="S92" s="77"/>
      <c r="T92" s="81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</row>
    <row r="93" spans="2:34">
      <c r="B93" s="27" t="s">
        <v>151</v>
      </c>
      <c r="C93" s="148" t="s">
        <v>150</v>
      </c>
      <c r="D93" s="483" t="s">
        <v>783</v>
      </c>
      <c r="E93" s="338">
        <f ca="1">'ONO2'!E39</f>
        <v>0</v>
      </c>
      <c r="F93" s="338">
        <f ca="1">'ONO2'!F39</f>
        <v>0</v>
      </c>
      <c r="G93" s="12"/>
      <c r="M93" s="77"/>
      <c r="N93" s="77"/>
      <c r="O93" s="77"/>
      <c r="P93" s="77"/>
      <c r="R93" s="77"/>
      <c r="S93" s="77"/>
      <c r="T93" s="81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</row>
    <row r="94" spans="2:34">
      <c r="B94" s="27" t="s">
        <v>21</v>
      </c>
      <c r="C94" s="148" t="s">
        <v>24</v>
      </c>
      <c r="D94" s="483" t="s">
        <v>783</v>
      </c>
      <c r="E94" s="338">
        <f ca="1">'ONO2'!E40</f>
        <v>0</v>
      </c>
      <c r="F94" s="338">
        <f ca="1">'ONO2'!F40</f>
        <v>0</v>
      </c>
      <c r="G94" s="12"/>
      <c r="M94" s="77"/>
      <c r="N94" s="77"/>
      <c r="O94" s="77"/>
      <c r="P94" s="77"/>
      <c r="R94" s="77"/>
      <c r="S94" s="77"/>
      <c r="T94" s="81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</row>
    <row r="95" spans="2:34" ht="13.5" thickBot="1">
      <c r="B95" s="25" t="s">
        <v>177</v>
      </c>
      <c r="C95" s="510" t="s">
        <v>176</v>
      </c>
      <c r="D95" s="507" t="s">
        <v>783</v>
      </c>
      <c r="E95" s="508">
        <v>1</v>
      </c>
      <c r="F95" s="508">
        <v>1</v>
      </c>
      <c r="G95" s="509"/>
      <c r="L95" s="77"/>
      <c r="M95" s="77"/>
      <c r="N95" s="77"/>
      <c r="O95" s="77"/>
      <c r="P95" s="77"/>
      <c r="R95" s="77"/>
      <c r="S95" s="77"/>
      <c r="T95" s="81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</row>
    <row r="96" spans="2:34">
      <c r="B96" s="77"/>
      <c r="C96" s="77"/>
      <c r="D96" s="77"/>
      <c r="E96" s="77"/>
      <c r="F96" s="77"/>
      <c r="K96" s="77"/>
      <c r="L96" s="77"/>
      <c r="M96" s="77"/>
      <c r="N96" s="77"/>
      <c r="O96" s="77"/>
      <c r="P96" s="77"/>
      <c r="R96" s="77"/>
      <c r="S96" s="77"/>
      <c r="T96" s="81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</row>
    <row r="97" spans="2:34"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R97" s="77"/>
      <c r="S97" s="77"/>
      <c r="T97" s="81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</row>
    <row r="98" spans="2:34"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R98" s="77"/>
      <c r="S98" s="77"/>
      <c r="T98" s="81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</row>
    <row r="99" spans="2:34"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R99" s="77"/>
      <c r="S99" s="77"/>
      <c r="T99" s="81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</row>
    <row r="100" spans="2:34"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R100" s="77"/>
      <c r="S100" s="77"/>
      <c r="T100" s="81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</row>
    <row r="101" spans="2:34"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R101" s="77"/>
      <c r="S101" s="77"/>
      <c r="T101" s="81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</row>
    <row r="102" spans="2:34"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R102" s="77"/>
      <c r="S102" s="77"/>
      <c r="T102" s="81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</row>
    <row r="103" spans="2:34"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R103" s="77"/>
      <c r="S103" s="77"/>
      <c r="T103" s="81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</row>
    <row r="104" spans="2:34"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R104" s="77"/>
      <c r="S104" s="77"/>
      <c r="T104" s="81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</row>
    <row r="105" spans="2:34"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R105" s="77"/>
      <c r="S105" s="77"/>
      <c r="T105" s="81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</row>
    <row r="106" spans="2:34"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R106" s="77"/>
      <c r="S106" s="77"/>
      <c r="T106" s="81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231"/>
  <dimension ref="A1:AA25"/>
  <sheetViews>
    <sheetView zoomScale="75" workbookViewId="0">
      <selection activeCell="O8" sqref="O8"/>
    </sheetView>
  </sheetViews>
  <sheetFormatPr defaultColWidth="8.85546875" defaultRowHeight="12.75"/>
  <cols>
    <col min="1" max="1" width="8.85546875" customWidth="1"/>
    <col min="2" max="2" width="23.28515625" customWidth="1"/>
    <col min="3" max="3" width="24.28515625" customWidth="1"/>
    <col min="4" max="5" width="10.7109375" customWidth="1"/>
    <col min="6" max="27" width="8.85546875" customWidth="1"/>
    <col min="28" max="28" width="9.7109375" bestFit="1" customWidth="1"/>
  </cols>
  <sheetData>
    <row r="1" spans="1:27">
      <c r="E1" s="216"/>
    </row>
    <row r="2" spans="1:27">
      <c r="E2" s="216"/>
    </row>
    <row r="3" spans="1:27">
      <c r="E3" s="216"/>
    </row>
    <row r="4" spans="1:27">
      <c r="E4" s="216"/>
      <c r="R4" s="12">
        <v>1</v>
      </c>
      <c r="S4" t="s">
        <v>146</v>
      </c>
    </row>
    <row r="5" spans="1:27" ht="18">
      <c r="A5" s="8"/>
      <c r="B5" s="10"/>
      <c r="C5" s="11"/>
      <c r="E5" s="216"/>
      <c r="I5" t="s">
        <v>784</v>
      </c>
    </row>
    <row r="6" spans="1:27" ht="18">
      <c r="B6" s="86" t="s">
        <v>11</v>
      </c>
      <c r="C6" s="88"/>
      <c r="D6" s="123"/>
      <c r="E6" s="225" t="str">
        <f>"~FI_T: "&amp;Region</f>
        <v>~FI_T: FIM</v>
      </c>
      <c r="F6" s="1"/>
      <c r="G6" s="1"/>
      <c r="I6" s="1" t="s">
        <v>784</v>
      </c>
      <c r="J6" s="1" t="s">
        <v>784</v>
      </c>
      <c r="K6" s="1" t="s">
        <v>784</v>
      </c>
      <c r="L6" s="1" t="s">
        <v>784</v>
      </c>
      <c r="Q6" s="1"/>
      <c r="R6" s="1"/>
    </row>
    <row r="7" spans="1:27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CONCATENATE("\I:",IEAData2!$D$2," final energy")</f>
        <v>\I:2010 final energy</v>
      </c>
      <c r="H7" s="64" t="str">
        <f ca="1">CONCATENATE("\I:",AuxYear," final energy")</f>
        <v>\I:2017 final energy</v>
      </c>
      <c r="I7" s="64" t="str">
        <f ca="1">CONCATENATE("\I:",IEAData2!$D$2," EFF")</f>
        <v>\I:2010 EFF</v>
      </c>
      <c r="J7" s="64" t="s">
        <v>721</v>
      </c>
      <c r="K7" s="45" t="s">
        <v>388</v>
      </c>
      <c r="L7" s="45" t="str">
        <f ca="1">"INPUT~"&amp;AuxYear</f>
        <v>INPUT~2017</v>
      </c>
      <c r="M7" s="64" t="str">
        <f ca="1">CONCATENATE("\I:",AuxData2!$D$2," Service Demand")</f>
        <v>\I:2017 Service Demand</v>
      </c>
      <c r="N7" s="45" t="s">
        <v>848</v>
      </c>
      <c r="O7" s="45" t="s">
        <v>79</v>
      </c>
      <c r="P7" s="45" t="s">
        <v>872</v>
      </c>
      <c r="Q7" s="45" t="s">
        <v>556</v>
      </c>
      <c r="R7" s="45" t="str">
        <f ca="1">"RESID~"&amp;BaseYear</f>
        <v>RESID~2010</v>
      </c>
      <c r="S7" s="45" t="str">
        <f ca="1">"RESID~"&amp;AuxYear</f>
        <v>RESID~2017</v>
      </c>
      <c r="T7" s="45" t="str">
        <f ca="1">"RESID~"&amp;CEILING(AuxYear+12,5)</f>
        <v>RESID~2030</v>
      </c>
      <c r="U7" s="45" t="str">
        <f ca="1">"RESID~"&amp;CEILING(AuxYear+27,5)</f>
        <v>RESID~2045</v>
      </c>
      <c r="V7" s="45" t="s">
        <v>1313</v>
      </c>
      <c r="W7" s="45" t="s">
        <v>52</v>
      </c>
      <c r="X7" s="45" t="s">
        <v>51</v>
      </c>
      <c r="Y7" s="45" t="s">
        <v>552</v>
      </c>
      <c r="Z7" s="45" t="s">
        <v>499</v>
      </c>
      <c r="AA7" s="126" t="s">
        <v>959</v>
      </c>
    </row>
    <row r="8" spans="1:27">
      <c r="B8" s="35" t="s">
        <v>152</v>
      </c>
      <c r="C8" s="300" t="s">
        <v>546</v>
      </c>
      <c r="D8" s="9" t="str">
        <f ca="1">IEAData2!K38</f>
        <v>INDHFO</v>
      </c>
      <c r="E8" s="52"/>
      <c r="F8" s="340">
        <f ca="1">MATCH(D8,Calibration2!$C$3:$T$3,0)</f>
        <v>10</v>
      </c>
      <c r="G8" s="53">
        <f ca="1">INDEX(IEAData2!D$64:T$64,$F8)*INDEX(Calibration2!$C$95:$T$95,$F8)</f>
        <v>3.0032570497861701E-2</v>
      </c>
      <c r="H8" s="53">
        <f ca="1">INDEX(AuxData2!$D$64:$T$64,$F8)*INDEX(Calibrati22!$C$95:$T$95,$F8)</f>
        <v>9.9129423162309781E-3</v>
      </c>
      <c r="I8" s="17">
        <v>0.81</v>
      </c>
      <c r="J8" s="31">
        <v>1</v>
      </c>
      <c r="K8" s="542">
        <f>1/I8</f>
        <v>1.2345679012345678</v>
      </c>
      <c r="L8" s="542">
        <f>1/J8/I8</f>
        <v>1.2345679012345678</v>
      </c>
      <c r="M8" s="62">
        <f>H8/L8</f>
        <v>8.0294832761470935E-3</v>
      </c>
      <c r="N8" s="17">
        <v>1</v>
      </c>
      <c r="O8" s="49">
        <v>0.72</v>
      </c>
      <c r="P8" s="12"/>
      <c r="Q8" s="12">
        <v>30</v>
      </c>
      <c r="R8" s="544">
        <f>G8/K8/O8</f>
        <v>3.3786641810094414E-2</v>
      </c>
      <c r="S8" s="544">
        <f>M8/O8</f>
        <v>1.1152060105759852E-2</v>
      </c>
      <c r="T8" s="49"/>
      <c r="U8" s="52">
        <v>0</v>
      </c>
      <c r="V8" s="12"/>
      <c r="W8" s="12"/>
      <c r="X8" s="12"/>
      <c r="Y8" s="54"/>
      <c r="Z8" s="54"/>
      <c r="AA8" s="128">
        <f>M8/$M$24</f>
        <v>4.476427296804965E-3</v>
      </c>
    </row>
    <row r="9" spans="1:27">
      <c r="B9" s="9"/>
      <c r="C9" s="300"/>
      <c r="D9" s="9"/>
      <c r="E9" s="52" t="s">
        <v>48</v>
      </c>
      <c r="F9" s="340"/>
      <c r="G9" s="21"/>
      <c r="H9" s="21"/>
      <c r="I9" s="17"/>
      <c r="J9" s="31"/>
      <c r="K9" s="542"/>
      <c r="L9" s="542"/>
      <c r="M9" s="62"/>
      <c r="N9" s="17"/>
      <c r="O9" s="12"/>
      <c r="P9" s="12"/>
      <c r="Q9" s="12"/>
      <c r="R9" s="544"/>
      <c r="S9" s="544"/>
      <c r="T9" s="49"/>
      <c r="U9" s="52"/>
      <c r="V9" s="12"/>
      <c r="W9" s="12"/>
      <c r="X9" s="12"/>
      <c r="Y9" s="55"/>
      <c r="Z9" s="55"/>
    </row>
    <row r="10" spans="1:27">
      <c r="B10" s="35" t="s">
        <v>153</v>
      </c>
      <c r="C10" s="300" t="s">
        <v>47</v>
      </c>
      <c r="D10" s="9" t="s">
        <v>1365</v>
      </c>
      <c r="E10" s="52"/>
      <c r="F10" s="340">
        <f ca="1">MATCH(IF(D10="INDDST","INDOIL",D10),Calibration2!$C$3:$T$3,0)</f>
        <v>11</v>
      </c>
      <c r="G10" s="53">
        <f ca="1">INDEX(IEAData2!D$64:T$64,$F10)*INDEX(Calibration2!$C$95:$T$95,$F10)</f>
        <v>6.7742909771050311E-2</v>
      </c>
      <c r="H10" s="53">
        <f ca="1">INDEX(AuxData2!$D$64:$T$64,$F10)*INDEX(Calibrati22!$C$95:$T$95,$F10)</f>
        <v>8.3037481623594048E-2</v>
      </c>
      <c r="I10" s="17">
        <v>0.81</v>
      </c>
      <c r="J10" s="31">
        <v>1</v>
      </c>
      <c r="K10" s="542">
        <f>1/I10</f>
        <v>1.2345679012345678</v>
      </c>
      <c r="L10" s="542">
        <f>1/J10/I10</f>
        <v>1.2345679012345678</v>
      </c>
      <c r="M10" s="62">
        <f>H10/L10</f>
        <v>6.7260360115111176E-2</v>
      </c>
      <c r="N10" s="17">
        <v>1</v>
      </c>
      <c r="O10" s="49">
        <v>0.72</v>
      </c>
      <c r="P10" s="12"/>
      <c r="Q10" s="12">
        <v>30</v>
      </c>
      <c r="R10" s="544">
        <f>G10/K10/O10</f>
        <v>7.6210773492431605E-2</v>
      </c>
      <c r="S10" s="544">
        <f>M10/O10</f>
        <v>9.3417166826543302E-2</v>
      </c>
      <c r="T10" s="49"/>
      <c r="U10" s="52">
        <v>0</v>
      </c>
      <c r="V10" s="12"/>
      <c r="W10" s="12"/>
      <c r="X10" s="12"/>
      <c r="Y10" s="55"/>
      <c r="Z10" s="55"/>
      <c r="AA10" s="128">
        <f>M10/$M$24</f>
        <v>3.7497570099764906E-2</v>
      </c>
    </row>
    <row r="11" spans="1:27">
      <c r="B11" s="9"/>
      <c r="C11" s="300"/>
      <c r="D11" s="9"/>
      <c r="E11" s="52" t="s">
        <v>48</v>
      </c>
      <c r="F11" s="340"/>
      <c r="G11" s="21"/>
      <c r="H11" s="21"/>
      <c r="I11" s="17"/>
      <c r="J11" s="31"/>
      <c r="K11" s="542"/>
      <c r="L11" s="542"/>
      <c r="M11" s="62"/>
      <c r="N11" s="17"/>
      <c r="O11" s="12"/>
      <c r="P11" s="12"/>
      <c r="Q11" s="12"/>
      <c r="R11" s="544"/>
      <c r="S11" s="544"/>
      <c r="T11" s="49"/>
      <c r="U11" s="52"/>
      <c r="V11" s="12"/>
      <c r="W11" s="12"/>
      <c r="X11" s="12"/>
      <c r="Y11" s="55"/>
      <c r="Z11" s="55"/>
    </row>
    <row r="12" spans="1:27">
      <c r="B12" s="35" t="s">
        <v>154</v>
      </c>
      <c r="C12" s="300" t="s">
        <v>547</v>
      </c>
      <c r="D12" s="9" t="str">
        <f ca="1">IEAData2!C38</f>
        <v>INDNGA</v>
      </c>
      <c r="E12" s="52"/>
      <c r="F12" s="340">
        <f ca="1">MATCH(D12,Calibration2!$C$3:$T$3,0)</f>
        <v>2</v>
      </c>
      <c r="G12" s="53">
        <f ca="1">INDEX(IEAData2!D$64:T$64,$F12)*INDEX(Calibration2!$C$95:$T$95,$F12)</f>
        <v>2.1761595849818943E-2</v>
      </c>
      <c r="H12" s="53">
        <f ca="1">INDEX(AuxData2!$D$64:$T$64,$F12)*INDEX(Calibrati22!$C$95:$T$95,$F12)</f>
        <v>1.1636668854450753E-2</v>
      </c>
      <c r="I12" s="17">
        <v>0.81</v>
      </c>
      <c r="J12" s="31">
        <v>1</v>
      </c>
      <c r="K12" s="542">
        <f>1/I12</f>
        <v>1.2345679012345678</v>
      </c>
      <c r="L12" s="542">
        <f>1/J12/I12</f>
        <v>1.2345679012345678</v>
      </c>
      <c r="M12" s="62">
        <f>H12/L12</f>
        <v>9.4257017721051106E-3</v>
      </c>
      <c r="N12" s="17">
        <v>1</v>
      </c>
      <c r="O12" s="49">
        <v>0.72</v>
      </c>
      <c r="P12" s="12"/>
      <c r="Q12" s="12">
        <v>30</v>
      </c>
      <c r="R12" s="544">
        <f>G12/K12/O12</f>
        <v>2.4481795331046313E-2</v>
      </c>
      <c r="S12" s="544">
        <f>M12/O12</f>
        <v>1.3091252461257098E-2</v>
      </c>
      <c r="T12" s="49"/>
      <c r="U12" s="52">
        <v>0</v>
      </c>
      <c r="V12" s="12"/>
      <c r="W12" s="12"/>
      <c r="X12" s="12"/>
      <c r="Y12" s="55"/>
      <c r="Z12" s="55"/>
      <c r="AA12" s="128">
        <f>M12/$M$24</f>
        <v>5.2548174338362371E-3</v>
      </c>
    </row>
    <row r="13" spans="1:27">
      <c r="B13" s="9"/>
      <c r="C13" s="300"/>
      <c r="D13" s="9"/>
      <c r="E13" s="52" t="s">
        <v>48</v>
      </c>
      <c r="F13" s="340"/>
      <c r="G13" s="21"/>
      <c r="H13" s="21"/>
      <c r="I13" s="17"/>
      <c r="J13" s="31"/>
      <c r="K13" s="542"/>
      <c r="L13" s="542"/>
      <c r="M13" s="62"/>
      <c r="N13" s="17"/>
      <c r="O13" s="12"/>
      <c r="P13" s="12"/>
      <c r="Q13" s="12"/>
      <c r="R13" s="544"/>
      <c r="S13" s="544"/>
      <c r="T13" s="49"/>
      <c r="U13" s="52"/>
      <c r="V13" s="12"/>
      <c r="W13" s="12"/>
      <c r="X13" s="12"/>
      <c r="Y13" s="55"/>
      <c r="Z13" s="55"/>
    </row>
    <row r="14" spans="1:27">
      <c r="A14" s="65"/>
      <c r="B14" s="264" t="s">
        <v>155</v>
      </c>
      <c r="C14" s="520" t="s">
        <v>548</v>
      </c>
      <c r="D14" s="52" t="str">
        <f ca="1">IEAData2!F38</f>
        <v>INDCOA</v>
      </c>
      <c r="E14" s="52"/>
      <c r="F14" s="340">
        <f ca="1">MATCH(D14,Calibration2!$C$3:$T$3,0)</f>
        <v>5</v>
      </c>
      <c r="G14" s="53">
        <f ca="1">INDEX(IEAData2!D$64:T$64,$F14)*INDEX(Calibration2!$C$95:$T$95,$F14)</f>
        <v>0</v>
      </c>
      <c r="H14" s="53">
        <f ca="1">INDEX(AuxData2!$D$64:$T$64,$F14)*INDEX(Calibrati22!$C$95:$T$95,$F14)</f>
        <v>1.261658297728052E-2</v>
      </c>
      <c r="I14" s="57">
        <v>0.81</v>
      </c>
      <c r="J14" s="55">
        <v>1</v>
      </c>
      <c r="K14" s="542">
        <f>1/I14</f>
        <v>1.2345679012345678</v>
      </c>
      <c r="L14" s="542">
        <f>1/J14/I14</f>
        <v>1.2345679012345678</v>
      </c>
      <c r="M14" s="62">
        <f>H14/L14</f>
        <v>1.0219432211597221E-2</v>
      </c>
      <c r="N14" s="57">
        <v>1</v>
      </c>
      <c r="O14" s="49">
        <v>0.72</v>
      </c>
      <c r="P14" s="49"/>
      <c r="Q14" s="49">
        <v>30</v>
      </c>
      <c r="R14" s="544">
        <f>G14/K14/O14</f>
        <v>0</v>
      </c>
      <c r="S14" s="544">
        <f>M14/O14</f>
        <v>1.4193655849440585E-2</v>
      </c>
      <c r="T14" s="49"/>
      <c r="U14" s="52">
        <v>0</v>
      </c>
      <c r="V14" s="49"/>
      <c r="W14" s="49"/>
      <c r="X14" s="49"/>
      <c r="Y14" s="55"/>
      <c r="Z14" s="55"/>
      <c r="AA14" s="128">
        <f>M14/$M$24</f>
        <v>5.6973212019432685E-3</v>
      </c>
    </row>
    <row r="15" spans="1:27">
      <c r="A15" s="6"/>
      <c r="B15" s="52"/>
      <c r="C15" s="520"/>
      <c r="D15" s="52"/>
      <c r="E15" s="52" t="s">
        <v>48</v>
      </c>
      <c r="F15" s="340"/>
      <c r="G15" s="53"/>
      <c r="H15" s="53"/>
      <c r="I15" s="55"/>
      <c r="J15" s="55"/>
      <c r="K15" s="543"/>
      <c r="L15" s="543"/>
      <c r="M15" s="544"/>
      <c r="N15" s="57"/>
      <c r="O15" s="49"/>
      <c r="P15" s="49"/>
      <c r="Q15" s="49"/>
      <c r="R15" s="544"/>
      <c r="S15" s="544"/>
      <c r="T15" s="49"/>
      <c r="U15" s="52"/>
      <c r="V15" s="49"/>
      <c r="W15" s="49"/>
      <c r="X15" s="49"/>
      <c r="Y15" s="55"/>
      <c r="Z15" s="55"/>
      <c r="AA15" s="6"/>
    </row>
    <row r="16" spans="1:27">
      <c r="B16" s="264" t="s">
        <v>741</v>
      </c>
      <c r="C16" s="520" t="s">
        <v>740</v>
      </c>
      <c r="D16" s="59" t="str">
        <f ca="1">IEAData2!H38</f>
        <v>INDCOG</v>
      </c>
      <c r="E16" s="52"/>
      <c r="F16" s="340">
        <f ca="1">MATCH(D16,Calibration2!$C$3:$T$3,0)</f>
        <v>7</v>
      </c>
      <c r="G16" s="53">
        <f ca="1">INDEX(IEAData2!D$64:T$64,$F16)*INDEX(Calibration2!$C$95:$T$95,$F16)</f>
        <v>0</v>
      </c>
      <c r="H16" s="53">
        <f ca="1">INDEX(AuxData2!$D$64:$T$64,$F16)*INDEX(Calibrati22!$C$95:$T$95,$F16)</f>
        <v>0</v>
      </c>
      <c r="I16" s="57">
        <v>0.81</v>
      </c>
      <c r="J16" s="55">
        <v>1</v>
      </c>
      <c r="K16" s="542">
        <f>1/I16</f>
        <v>1.2345679012345678</v>
      </c>
      <c r="L16" s="542">
        <f>1/J16/I16</f>
        <v>1.2345679012345678</v>
      </c>
      <c r="M16" s="62">
        <f>H16/L16</f>
        <v>0</v>
      </c>
      <c r="N16" s="57">
        <v>1</v>
      </c>
      <c r="O16" s="49">
        <v>0.72</v>
      </c>
      <c r="P16" s="49"/>
      <c r="Q16" s="49">
        <v>30</v>
      </c>
      <c r="R16" s="544">
        <f>G16/K16/O16</f>
        <v>0</v>
      </c>
      <c r="S16" s="544">
        <f>M16/O16</f>
        <v>0</v>
      </c>
      <c r="T16" s="49"/>
      <c r="U16" s="52">
        <v>0</v>
      </c>
      <c r="V16" s="49"/>
      <c r="W16" s="49"/>
      <c r="X16" s="49"/>
      <c r="Y16" s="55"/>
      <c r="Z16" s="55"/>
      <c r="AA16" s="128">
        <f>M16/$M$24</f>
        <v>0</v>
      </c>
    </row>
    <row r="17" spans="1:27">
      <c r="A17" s="6"/>
      <c r="B17" s="52"/>
      <c r="C17" s="520"/>
      <c r="D17" s="59"/>
      <c r="E17" s="52" t="s">
        <v>48</v>
      </c>
      <c r="F17" s="340"/>
      <c r="G17" s="53"/>
      <c r="H17" s="53"/>
      <c r="I17" s="57"/>
      <c r="J17" s="55"/>
      <c r="K17" s="542"/>
      <c r="L17" s="542"/>
      <c r="M17" s="544"/>
      <c r="N17" s="57"/>
      <c r="O17" s="49"/>
      <c r="P17" s="49"/>
      <c r="Q17" s="49"/>
      <c r="R17" s="544"/>
      <c r="S17" s="544"/>
      <c r="T17" s="49"/>
      <c r="U17" s="52"/>
      <c r="V17" s="49"/>
      <c r="W17" s="49"/>
      <c r="X17" s="49"/>
      <c r="Y17" s="55"/>
      <c r="Z17" s="55"/>
    </row>
    <row r="18" spans="1:27">
      <c r="B18" s="264" t="s">
        <v>156</v>
      </c>
      <c r="C18" s="520" t="s">
        <v>553</v>
      </c>
      <c r="D18" s="59" t="str">
        <f ca="1">IEAData2!D38</f>
        <v>INDLPG</v>
      </c>
      <c r="E18" s="52"/>
      <c r="F18" s="340">
        <f ca="1">MATCH(D18,Calibration2!$C$3:$T$3,0)</f>
        <v>3</v>
      </c>
      <c r="G18" s="53">
        <f ca="1">INDEX(IEAData2!D$64:T$64,$F18)*INDEX(Calibration2!$C$95:$T$95,$F18)</f>
        <v>1.358280740765821E-2</v>
      </c>
      <c r="H18" s="53">
        <f ca="1">INDEX(AuxData2!$D$64:$T$64,$F18)*INDEX(Calibrati22!$C$95:$T$95,$F18)</f>
        <v>3.3413585665964009E-2</v>
      </c>
      <c r="I18" s="57">
        <v>0.81</v>
      </c>
      <c r="J18" s="55">
        <v>1</v>
      </c>
      <c r="K18" s="542">
        <f>1/I18</f>
        <v>1.2345679012345678</v>
      </c>
      <c r="L18" s="542">
        <f>1/J18/I18</f>
        <v>1.2345679012345678</v>
      </c>
      <c r="M18" s="62">
        <f>H18/L18</f>
        <v>2.7065004389430849E-2</v>
      </c>
      <c r="N18" s="57">
        <v>1</v>
      </c>
      <c r="O18" s="49">
        <v>0.72</v>
      </c>
      <c r="P18" s="49"/>
      <c r="Q18" s="49">
        <v>30</v>
      </c>
      <c r="R18" s="544">
        <f>G18/K18/O18</f>
        <v>1.5280658333615487E-2</v>
      </c>
      <c r="S18" s="544">
        <f>M18/O18</f>
        <v>3.7590283874209512E-2</v>
      </c>
      <c r="T18" s="49"/>
      <c r="U18" s="52">
        <v>0</v>
      </c>
      <c r="V18" s="49"/>
      <c r="W18" s="49"/>
      <c r="X18" s="49"/>
      <c r="Y18" s="55"/>
      <c r="Z18" s="55"/>
      <c r="AA18" s="128">
        <f>M18/$M$24</f>
        <v>1.5088707488426306E-2</v>
      </c>
    </row>
    <row r="19" spans="1:27">
      <c r="A19" s="128"/>
      <c r="B19" s="52"/>
      <c r="C19" s="520"/>
      <c r="D19" s="59"/>
      <c r="E19" s="52" t="s">
        <v>48</v>
      </c>
      <c r="F19" s="340"/>
      <c r="G19" s="53"/>
      <c r="H19" s="53"/>
      <c r="I19" s="57"/>
      <c r="J19" s="55"/>
      <c r="K19" s="543"/>
      <c r="L19" s="543"/>
      <c r="M19" s="544"/>
      <c r="N19" s="57"/>
      <c r="O19" s="49"/>
      <c r="P19" s="49"/>
      <c r="Q19" s="49"/>
      <c r="R19" s="544"/>
      <c r="S19" s="544"/>
      <c r="T19" s="49"/>
      <c r="U19" s="52"/>
      <c r="V19" s="49"/>
      <c r="W19" s="49"/>
      <c r="X19" s="49"/>
      <c r="Y19" s="55"/>
      <c r="Z19" s="55"/>
    </row>
    <row r="20" spans="1:27">
      <c r="B20" s="264" t="s">
        <v>726</v>
      </c>
      <c r="C20" s="520" t="s">
        <v>727</v>
      </c>
      <c r="D20" s="59" t="str">
        <f ca="1">IEAData2!$P$38</f>
        <v>INDBIO</v>
      </c>
      <c r="E20" s="52"/>
      <c r="F20" s="340">
        <f ca="1">MATCH(D20,Calibration2!$C$3:$T$3,0)</f>
        <v>15</v>
      </c>
      <c r="G20" s="53">
        <f ca="1">INDEX(IEAData2!D$64:T$64,$F20)*INDEX(Calibration2!$C$95:$T$95,$F20)</f>
        <v>0.37775946889060574</v>
      </c>
      <c r="H20" s="53">
        <f ca="1">INDEX(AuxData2!$D$64:$T$64,$F20)*INDEX(Calibrati22!$C$95:$T$95,$F20)</f>
        <v>0.67728338098022767</v>
      </c>
      <c r="I20" s="57">
        <v>0.81</v>
      </c>
      <c r="J20" s="55">
        <v>1</v>
      </c>
      <c r="K20" s="542">
        <f>1/I20</f>
        <v>1.2345679012345678</v>
      </c>
      <c r="L20" s="542">
        <f>1/J20/I20</f>
        <v>1.2345679012345678</v>
      </c>
      <c r="M20" s="62">
        <f>H20/L20</f>
        <v>0.54859953859398447</v>
      </c>
      <c r="N20" s="57">
        <v>1</v>
      </c>
      <c r="O20" s="49">
        <v>0.72</v>
      </c>
      <c r="P20" s="49"/>
      <c r="Q20" s="49">
        <v>30</v>
      </c>
      <c r="R20" s="544">
        <f>G20/K20/O20</f>
        <v>0.4249794025019315</v>
      </c>
      <c r="S20" s="544">
        <f>M20/O20</f>
        <v>0.76194380360275626</v>
      </c>
      <c r="T20" s="49"/>
      <c r="U20" s="52">
        <v>0</v>
      </c>
      <c r="V20" s="49"/>
      <c r="W20" s="49"/>
      <c r="X20" s="49"/>
      <c r="Y20" s="55"/>
      <c r="Z20" s="55"/>
      <c r="AA20" s="128">
        <f>M20/$M$24</f>
        <v>0.30584358483838919</v>
      </c>
    </row>
    <row r="21" spans="1:27">
      <c r="A21" s="128"/>
      <c r="B21" s="52"/>
      <c r="C21" s="520"/>
      <c r="D21" s="59"/>
      <c r="E21" s="52" t="s">
        <v>48</v>
      </c>
      <c r="F21" s="340"/>
      <c r="G21" s="53"/>
      <c r="H21" s="53"/>
      <c r="I21" s="57"/>
      <c r="J21" s="55"/>
      <c r="K21" s="543"/>
      <c r="L21" s="543"/>
      <c r="M21" s="544"/>
      <c r="N21" s="57"/>
      <c r="O21" s="49"/>
      <c r="P21" s="49"/>
      <c r="Q21" s="49"/>
      <c r="R21" s="544"/>
      <c r="S21" s="544"/>
      <c r="T21" s="49"/>
      <c r="U21" s="52"/>
      <c r="V21" s="49"/>
      <c r="W21" s="49"/>
      <c r="X21" s="49"/>
      <c r="Y21" s="55"/>
      <c r="Z21" s="55"/>
    </row>
    <row r="22" spans="1:27">
      <c r="A22" s="221"/>
      <c r="B22" s="265" t="s">
        <v>760</v>
      </c>
      <c r="C22" s="520" t="s">
        <v>764</v>
      </c>
      <c r="D22" s="52" t="str">
        <f ca="1">IEAData2!R$38</f>
        <v>INDHET</v>
      </c>
      <c r="E22" s="191"/>
      <c r="F22" s="340">
        <f ca="1">MATCH(D22,Calibration2!$C$3:$T$3,0)</f>
        <v>17</v>
      </c>
      <c r="G22" s="53">
        <f ca="1">VLOOKUP(LEFT(B22,4),IEAData2!$BF$34:$BJ$39,5,0)*INDEX(Calibration2!$C$95:$T$95,$F22)</f>
        <v>1.7328255796438299</v>
      </c>
      <c r="H22" s="53">
        <f ca="1">VLOOKUP(LEFT(B22,4),AuxData2!$BF$34:$BJ$39,5,0)*INDEX(Calibrati22!$C$95:$T$95,$F22)</f>
        <v>1.123126311373128</v>
      </c>
      <c r="I22" s="57">
        <v>1</v>
      </c>
      <c r="J22" s="55">
        <v>1</v>
      </c>
      <c r="K22" s="542">
        <f>1/I22</f>
        <v>1</v>
      </c>
      <c r="L22" s="542">
        <f>1/J22/I22</f>
        <v>1</v>
      </c>
      <c r="M22" s="62">
        <f>H22/L22</f>
        <v>1.123126311373128</v>
      </c>
      <c r="N22" s="57">
        <v>1</v>
      </c>
      <c r="O22" s="49">
        <v>0.72</v>
      </c>
      <c r="P22" s="49"/>
      <c r="Q22" s="49">
        <v>30</v>
      </c>
      <c r="R22" s="288">
        <f ca="1">(G22/K22-'CHP2'!I114)/$O22</f>
        <v>2.1898509685237588</v>
      </c>
      <c r="S22" s="288">
        <f ca="1">(M22-'CHP2'!J114)/$O22</f>
        <v>1.4415531567114168</v>
      </c>
      <c r="T22" s="49"/>
      <c r="U22" s="544">
        <f ca="1">S22</f>
        <v>1.4415531567114168</v>
      </c>
      <c r="V22" s="55">
        <f ca="1">U22</f>
        <v>1.4415531567114168</v>
      </c>
      <c r="W22" s="49"/>
      <c r="X22" s="49"/>
      <c r="Y22" s="55"/>
      <c r="Z22" s="55"/>
      <c r="AA22" s="128">
        <f>M22/$M$24</f>
        <v>0.62614157164083517</v>
      </c>
    </row>
    <row r="23" spans="1:27" ht="13.5" thickBot="1">
      <c r="B23" s="187"/>
      <c r="C23" s="195"/>
      <c r="D23" s="195"/>
      <c r="E23" s="22" t="s">
        <v>48</v>
      </c>
      <c r="F23" s="340"/>
      <c r="G23" s="28"/>
      <c r="H23" s="28"/>
      <c r="I23" s="32"/>
      <c r="J23" s="29"/>
      <c r="K23" s="545"/>
      <c r="L23" s="545"/>
      <c r="M23" s="541"/>
      <c r="N23" s="32"/>
      <c r="O23" s="13"/>
      <c r="P23" s="13"/>
      <c r="Q23" s="13"/>
      <c r="R23" s="541"/>
      <c r="S23" s="541"/>
      <c r="T23" s="13"/>
      <c r="U23" s="22"/>
      <c r="V23" s="13"/>
      <c r="W23" s="13"/>
      <c r="X23" s="13"/>
      <c r="Y23" s="29"/>
      <c r="Z23" s="29"/>
    </row>
    <row r="24" spans="1:27">
      <c r="B24" s="192" t="s">
        <v>902</v>
      </c>
      <c r="C24" s="198"/>
      <c r="D24" s="198"/>
      <c r="E24" s="198"/>
      <c r="F24" s="200"/>
      <c r="G24" s="199">
        <f>SUM(G8:G23)</f>
        <v>2.2437049320608247</v>
      </c>
      <c r="H24" s="199">
        <f>SUM(H8:H23)</f>
        <v>1.951026953790876</v>
      </c>
      <c r="I24" s="199"/>
      <c r="J24" s="198"/>
      <c r="K24" s="200"/>
      <c r="L24" s="199">
        <f>SUMPRODUCT(G8:G23,I8:I23)</f>
        <v>2.1466378551015959</v>
      </c>
      <c r="M24" s="199">
        <f>SUM(M8:M23)</f>
        <v>1.7937258317315039</v>
      </c>
      <c r="N24" s="200" t="s">
        <v>784</v>
      </c>
      <c r="O24" s="201"/>
      <c r="P24" s="201"/>
      <c r="Q24" s="198"/>
      <c r="R24" s="199">
        <f ca="1">SUM(R8:R23)</f>
        <v>2.7645902399928781</v>
      </c>
      <c r="S24" s="199">
        <f ca="1">SUM(S8:S23)</f>
        <v>2.3729413794313832</v>
      </c>
      <c r="T24" s="198"/>
      <c r="U24" s="198"/>
      <c r="V24" s="198"/>
      <c r="W24" s="198"/>
      <c r="X24" s="198"/>
      <c r="Y24" s="198"/>
      <c r="Z24" s="198"/>
    </row>
    <row r="25" spans="1:27">
      <c r="I25" s="2"/>
      <c r="J25" s="2"/>
      <c r="O25" s="4"/>
      <c r="P25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471"/>
  <dimension ref="A1:AK47"/>
  <sheetViews>
    <sheetView zoomScale="75" workbookViewId="0">
      <selection activeCell="A2" sqref="A2"/>
    </sheetView>
  </sheetViews>
  <sheetFormatPr defaultColWidth="8.85546875" defaultRowHeight="12.75"/>
  <cols>
    <col min="1" max="1" width="8.85546875" customWidth="1"/>
    <col min="2" max="2" width="15.42578125" customWidth="1"/>
    <col min="3" max="3" width="29.28515625" customWidth="1"/>
    <col min="4" max="5" width="10.7109375" customWidth="1"/>
    <col min="11" max="11" width="9.28515625" bestFit="1" customWidth="1"/>
  </cols>
  <sheetData>
    <row r="1" spans="1:28">
      <c r="E1" s="216"/>
    </row>
    <row r="2" spans="1:28">
      <c r="E2" s="216"/>
    </row>
    <row r="3" spans="1:28">
      <c r="E3" s="216"/>
    </row>
    <row r="4" spans="1:28">
      <c r="E4" s="216"/>
      <c r="Q4" s="12">
        <v>1</v>
      </c>
      <c r="R4" t="s">
        <v>146</v>
      </c>
    </row>
    <row r="5" spans="1:28" ht="18">
      <c r="A5" s="8"/>
      <c r="B5" s="10"/>
      <c r="C5" s="11"/>
      <c r="E5" s="216"/>
      <c r="I5" t="s">
        <v>784</v>
      </c>
    </row>
    <row r="6" spans="1:28" ht="18">
      <c r="B6" s="86" t="s">
        <v>11</v>
      </c>
      <c r="C6" s="88"/>
      <c r="D6" s="123"/>
      <c r="E6" s="225" t="str">
        <f>"~FI_T: "&amp;Region&amp;"~EUR10"</f>
        <v>~FI_T: FIM~EUR10</v>
      </c>
      <c r="F6" s="1"/>
      <c r="G6" s="1"/>
      <c r="I6" s="1" t="s">
        <v>784</v>
      </c>
      <c r="J6" s="1" t="s">
        <v>784</v>
      </c>
      <c r="K6" s="1" t="s">
        <v>784</v>
      </c>
      <c r="M6" s="1" t="s">
        <v>784</v>
      </c>
      <c r="P6" s="1"/>
      <c r="Q6" s="1"/>
    </row>
    <row r="7" spans="1:28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CONCATENATE("\I:",IEAData2!$D$2," final energy")</f>
        <v>\I:2010 final energy</v>
      </c>
      <c r="H7" s="64" t="str">
        <f ca="1">CONCATENATE("\I:",AuxYear," final energy")</f>
        <v>\I:2017 final energy</v>
      </c>
      <c r="I7" s="64" t="str">
        <f ca="1">CONCATENATE("\I:",IEAData2!$D$2," EFF")</f>
        <v>\I:2010 EFF</v>
      </c>
      <c r="J7" s="64" t="s">
        <v>721</v>
      </c>
      <c r="K7" s="45" t="s">
        <v>388</v>
      </c>
      <c r="L7" s="45" t="str">
        <f ca="1">"INPUT~"&amp;AuxYear</f>
        <v>INPUT~2017</v>
      </c>
      <c r="M7" s="64" t="str">
        <f ca="1">CONCATENATE("\I:",AuxData2!$D$2," Service Demand")</f>
        <v>\I:2017 Service Demand</v>
      </c>
      <c r="N7" s="45" t="s">
        <v>848</v>
      </c>
      <c r="O7" s="45" t="s">
        <v>872</v>
      </c>
      <c r="P7" s="45" t="s">
        <v>556</v>
      </c>
      <c r="Q7" s="45" t="str">
        <f ca="1">"RESID~"&amp;BaseYear</f>
        <v>RESID~2010</v>
      </c>
      <c r="R7" s="45" t="str">
        <f ca="1">"RESID~"&amp;AuxYear</f>
        <v>RESID~2017</v>
      </c>
      <c r="S7" s="45" t="str">
        <f ca="1">"RESID~"&amp;CEILING(AuxYear+12,5)</f>
        <v>RESID~2030</v>
      </c>
      <c r="T7" s="45" t="str">
        <f ca="1">"RESID~"&amp;CEILING(AuxYear+27,5)</f>
        <v>RESID~2045</v>
      </c>
      <c r="U7" s="45" t="s">
        <v>1382</v>
      </c>
      <c r="V7" s="398" t="s">
        <v>849</v>
      </c>
      <c r="W7" s="45" t="s">
        <v>52</v>
      </c>
      <c r="X7" s="45" t="s">
        <v>51</v>
      </c>
      <c r="Y7" s="45" t="str">
        <f ca="1">"FLO_MARK~UP~"&amp;AuxYear</f>
        <v>FLO_MARK~UP~2017</v>
      </c>
      <c r="Z7" s="45" t="s">
        <v>1339</v>
      </c>
      <c r="AA7" s="45" t="s">
        <v>1338</v>
      </c>
      <c r="AB7" s="126" t="s">
        <v>959</v>
      </c>
    </row>
    <row r="8" spans="1:28" ht="21" customHeight="1">
      <c r="B8" s="35" t="s">
        <v>162</v>
      </c>
      <c r="C8" s="300" t="s">
        <v>49</v>
      </c>
      <c r="D8" s="52" t="str">
        <f ca="1">IEAData2!K$38</f>
        <v>INDHFO</v>
      </c>
      <c r="E8" s="52"/>
      <c r="F8" s="340">
        <f ca="1">MATCH(D8,Calibration2!$C$3:$T$3,0)</f>
        <v>10</v>
      </c>
      <c r="G8" s="53">
        <f ca="1">INDEX(IEAData2!$D$65:T$65,$F8)*INDEX(Calibration2!$C$95:$T$95,$F8)</f>
        <v>6.0065140995723403E-2</v>
      </c>
      <c r="H8" s="53">
        <f ca="1">INDEX(AuxData2!$D$65:U$65,$F8)*INDEX(Calibrati22!$C$95:$T$95,$F8)</f>
        <v>1.9825884632461956E-2</v>
      </c>
      <c r="I8" s="55">
        <v>0.82</v>
      </c>
      <c r="J8" s="55">
        <v>1</v>
      </c>
      <c r="K8" s="542">
        <f>1/I8</f>
        <v>1.2195121951219512</v>
      </c>
      <c r="L8" s="542">
        <f>1/J8/I8</f>
        <v>1.2195121951219512</v>
      </c>
      <c r="M8" s="544">
        <f>H8/L8</f>
        <v>1.6257225398618805E-2</v>
      </c>
      <c r="N8" s="57">
        <v>1</v>
      </c>
      <c r="O8" s="49">
        <v>1</v>
      </c>
      <c r="P8" s="410">
        <v>30</v>
      </c>
      <c r="Q8" s="544">
        <f>G8/K8/MAX($O8,$V8)</f>
        <v>4.9253415616493192E-2</v>
      </c>
      <c r="R8" s="544">
        <f>M8/MAX($O8,$V8)</f>
        <v>1.6257225398618805E-2</v>
      </c>
      <c r="S8" s="49"/>
      <c r="T8" s="386">
        <v>0</v>
      </c>
      <c r="U8" s="410"/>
      <c r="V8" s="436"/>
      <c r="W8" s="12"/>
      <c r="X8" s="12"/>
      <c r="Y8" s="54"/>
      <c r="Z8" s="54"/>
      <c r="AA8" s="54"/>
      <c r="AB8" s="128">
        <f>M8/$M$22</f>
        <v>4.9745768252745896E-2</v>
      </c>
    </row>
    <row r="9" spans="1:28">
      <c r="B9" s="9"/>
      <c r="C9" s="300"/>
      <c r="D9" s="52"/>
      <c r="E9" s="52" t="s">
        <v>57</v>
      </c>
      <c r="F9" s="340"/>
      <c r="G9" s="53"/>
      <c r="H9" s="53"/>
      <c r="I9" s="55"/>
      <c r="J9" s="55"/>
      <c r="K9" s="542"/>
      <c r="L9" s="9"/>
      <c r="M9" s="544"/>
      <c r="N9" s="57"/>
      <c r="O9" s="49"/>
      <c r="P9" s="410"/>
      <c r="Q9" s="544"/>
      <c r="R9" s="544"/>
      <c r="S9" s="49"/>
      <c r="T9" s="386"/>
      <c r="U9" s="410"/>
      <c r="V9" s="436"/>
      <c r="W9" s="12"/>
      <c r="X9" s="12"/>
      <c r="Y9" s="55"/>
      <c r="Z9" s="55"/>
      <c r="AA9" s="55"/>
    </row>
    <row r="10" spans="1:28" ht="16.5" customHeight="1">
      <c r="B10" s="35" t="s">
        <v>163</v>
      </c>
      <c r="C10" s="300" t="s">
        <v>56</v>
      </c>
      <c r="D10" s="52" t="s">
        <v>1365</v>
      </c>
      <c r="E10" s="52"/>
      <c r="F10" s="340">
        <f ca="1">MATCH(IF(D10="INDDST","INDOIL",D10),Calibration2!$C$3:$T$3,0)</f>
        <v>11</v>
      </c>
      <c r="G10" s="53">
        <f ca="1">INDEX(IEAData2!$D$65:T$65,$F10)*INDEX(Calibration2!$C$95:$T$95,$F10)-G23</f>
        <v>0</v>
      </c>
      <c r="H10" s="53">
        <f ca="1">INDEX(AuxData2!$D$65:U$65,$F10)*INDEX(Calibrati22!$C$95:$T$95,$F10)-H23</f>
        <v>0</v>
      </c>
      <c r="I10" s="55">
        <v>0.83</v>
      </c>
      <c r="J10" s="55">
        <v>1</v>
      </c>
      <c r="K10" s="542">
        <f>1/I10</f>
        <v>1.2048192771084338</v>
      </c>
      <c r="L10" s="542">
        <f>1/J10/I10</f>
        <v>1.2048192771084338</v>
      </c>
      <c r="M10" s="544">
        <f>H10/L10</f>
        <v>0</v>
      </c>
      <c r="N10" s="57">
        <v>1</v>
      </c>
      <c r="O10" s="49"/>
      <c r="P10" s="410">
        <v>30</v>
      </c>
      <c r="Q10" s="544">
        <f>G10/K10/MAX($O10,$V10)</f>
        <v>0</v>
      </c>
      <c r="R10" s="544">
        <f>M10/MAX($O10,$V10)</f>
        <v>0</v>
      </c>
      <c r="S10" s="49"/>
      <c r="T10" s="606">
        <f>MAX(G$22*0.05,0.3*Q10)</f>
        <v>1.826866322640627E-2</v>
      </c>
      <c r="U10" s="410"/>
      <c r="V10" s="436">
        <v>1</v>
      </c>
      <c r="W10" s="12"/>
      <c r="X10" s="12"/>
      <c r="Y10" s="55"/>
      <c r="Z10" s="55"/>
      <c r="AA10" s="55"/>
      <c r="AB10" s="128">
        <f>M10/$M$22</f>
        <v>0</v>
      </c>
    </row>
    <row r="11" spans="1:28">
      <c r="B11" s="9"/>
      <c r="C11" s="300"/>
      <c r="D11" s="52"/>
      <c r="E11" s="52" t="s">
        <v>57</v>
      </c>
      <c r="F11" s="340"/>
      <c r="G11" s="53"/>
      <c r="H11" s="53"/>
      <c r="I11" s="55"/>
      <c r="J11" s="55"/>
      <c r="K11" s="542"/>
      <c r="L11" s="9"/>
      <c r="M11" s="544"/>
      <c r="N11" s="57"/>
      <c r="O11" s="49"/>
      <c r="P11" s="410"/>
      <c r="Q11" s="544"/>
      <c r="R11" s="544"/>
      <c r="S11" s="49"/>
      <c r="T11" s="386"/>
      <c r="U11" s="410"/>
      <c r="V11" s="436"/>
      <c r="W11" s="12"/>
      <c r="X11" s="12"/>
      <c r="Y11" s="55"/>
      <c r="Z11" s="55"/>
      <c r="AA11" s="55"/>
    </row>
    <row r="12" spans="1:28" ht="18" customHeight="1">
      <c r="B12" s="35" t="s">
        <v>164</v>
      </c>
      <c r="C12" s="300" t="s">
        <v>889</v>
      </c>
      <c r="D12" s="52" t="str">
        <f ca="1">IEAData2!C$38</f>
        <v>INDNGA</v>
      </c>
      <c r="E12" s="52"/>
      <c r="F12" s="340">
        <f ca="1">MATCH(D12,Calibration2!$C$3:$T$3,0)</f>
        <v>2</v>
      </c>
      <c r="G12" s="53">
        <f ca="1">INDEX(IEAData2!$D$65:T$65,$F12)*INDEX(Calibration2!$C$95:$T$95,$F12)</f>
        <v>0.1088079792490947</v>
      </c>
      <c r="H12" s="53">
        <f ca="1">INDEX(AuxData2!$D$65:U$65,$F12)*INDEX(Calibrati22!$C$95:$T$95,$F12)</f>
        <v>5.8183344272253759E-2</v>
      </c>
      <c r="I12" s="55">
        <v>0.85</v>
      </c>
      <c r="J12" s="55">
        <v>1</v>
      </c>
      <c r="K12" s="542">
        <f>1/I12</f>
        <v>1.1764705882352942</v>
      </c>
      <c r="L12" s="542">
        <f>1/J12/I12</f>
        <v>1.1764705882352942</v>
      </c>
      <c r="M12" s="544">
        <f>H12/L12</f>
        <v>4.945584263141569E-2</v>
      </c>
      <c r="N12" s="57">
        <v>1</v>
      </c>
      <c r="O12" s="49">
        <v>1</v>
      </c>
      <c r="P12" s="410">
        <v>30</v>
      </c>
      <c r="Q12" s="544">
        <f>G12/K12/MAX($O12,$V12)</f>
        <v>9.2486782361730496E-2</v>
      </c>
      <c r="R12" s="544">
        <f>M12/MAX($O12,$V12)</f>
        <v>4.945584263141569E-2</v>
      </c>
      <c r="S12" s="49"/>
      <c r="T12" s="386">
        <v>0</v>
      </c>
      <c r="U12" s="410"/>
      <c r="V12" s="436"/>
      <c r="W12" s="12"/>
      <c r="X12" s="12"/>
      <c r="Y12" s="55"/>
      <c r="Z12" s="55"/>
      <c r="AA12" s="55"/>
      <c r="AB12" s="128">
        <f>M12/$M$22</f>
        <v>0.15133079759696835</v>
      </c>
    </row>
    <row r="13" spans="1:28">
      <c r="B13" s="9"/>
      <c r="C13" s="300"/>
      <c r="D13" s="52"/>
      <c r="E13" s="52" t="s">
        <v>57</v>
      </c>
      <c r="F13" s="340"/>
      <c r="G13" s="53"/>
      <c r="H13" s="53"/>
      <c r="I13" s="55"/>
      <c r="J13" s="55"/>
      <c r="K13" s="542"/>
      <c r="L13" s="9"/>
      <c r="M13" s="544"/>
      <c r="N13" s="57"/>
      <c r="O13" s="49"/>
      <c r="P13" s="410"/>
      <c r="Q13" s="544"/>
      <c r="R13" s="544"/>
      <c r="S13" s="49"/>
      <c r="T13" s="386"/>
      <c r="U13" s="410"/>
      <c r="V13" s="436"/>
      <c r="W13" s="12"/>
      <c r="X13" s="12"/>
      <c r="Y13" s="55"/>
      <c r="Z13" s="55"/>
      <c r="AA13" s="55"/>
    </row>
    <row r="14" spans="1:28">
      <c r="B14" s="35" t="s">
        <v>165</v>
      </c>
      <c r="C14" s="300" t="s">
        <v>758</v>
      </c>
      <c r="D14" s="52" t="str">
        <f ca="1">IEAData2!F$38</f>
        <v>INDCOA</v>
      </c>
      <c r="E14" s="52"/>
      <c r="F14" s="340">
        <f ca="1">MATCH(D14,Calibration2!$C$3:$T$3,0)</f>
        <v>5</v>
      </c>
      <c r="G14" s="53">
        <f ca="1">INDEX(IEAData2!$D$65:T$65,$F14)*INDEX(Calibration2!$C$95:$T$95,$F14)</f>
        <v>0</v>
      </c>
      <c r="H14" s="53">
        <f ca="1">INDEX(AuxData2!$D$65:U$65,$F14)*INDEX(Calibrati22!$C$95:$T$95,$F14)</f>
        <v>2.3430796957806681E-2</v>
      </c>
      <c r="I14" s="55">
        <v>0.81</v>
      </c>
      <c r="J14" s="55">
        <v>1</v>
      </c>
      <c r="K14" s="542">
        <f>1/I14</f>
        <v>1.2345679012345678</v>
      </c>
      <c r="L14" s="542">
        <f>1/J14/I14</f>
        <v>1.2345679012345678</v>
      </c>
      <c r="M14" s="544">
        <f>H14/L14</f>
        <v>1.8978945535823414E-2</v>
      </c>
      <c r="N14" s="57">
        <v>1</v>
      </c>
      <c r="O14" s="49">
        <v>1</v>
      </c>
      <c r="P14" s="410">
        <v>30</v>
      </c>
      <c r="Q14" s="544">
        <f>G14/K14/MAX($O14,$V14)</f>
        <v>0</v>
      </c>
      <c r="R14" s="544">
        <f>M14/MAX($O14,$V14)</f>
        <v>1.8978945535823414E-2</v>
      </c>
      <c r="S14" s="49"/>
      <c r="T14" s="386">
        <v>0</v>
      </c>
      <c r="U14" s="410"/>
      <c r="V14" s="436"/>
      <c r="W14" s="12"/>
      <c r="X14" s="12"/>
      <c r="Y14" s="55"/>
      <c r="Z14" s="55"/>
      <c r="AA14" s="55"/>
      <c r="AB14" s="128">
        <f>M14/$M$22</f>
        <v>5.8074007289507679E-2</v>
      </c>
    </row>
    <row r="15" spans="1:28">
      <c r="B15" s="9"/>
      <c r="C15" s="300"/>
      <c r="D15" s="52"/>
      <c r="E15" s="52" t="s">
        <v>57</v>
      </c>
      <c r="F15" s="340"/>
      <c r="G15" s="53"/>
      <c r="H15" s="53"/>
      <c r="I15" s="55"/>
      <c r="J15" s="55"/>
      <c r="K15" s="543"/>
      <c r="L15" s="9"/>
      <c r="M15" s="544"/>
      <c r="N15" s="57"/>
      <c r="O15" s="49"/>
      <c r="P15" s="410"/>
      <c r="Q15" s="544"/>
      <c r="R15" s="544"/>
      <c r="S15" s="49"/>
      <c r="T15" s="386"/>
      <c r="U15" s="410"/>
      <c r="V15" s="436"/>
      <c r="W15" s="12"/>
      <c r="X15" s="12"/>
      <c r="Y15" s="55"/>
      <c r="Z15" s="55"/>
      <c r="AA15" s="55"/>
    </row>
    <row r="16" spans="1:28">
      <c r="B16" s="35" t="s">
        <v>765</v>
      </c>
      <c r="C16" s="300" t="s">
        <v>766</v>
      </c>
      <c r="D16" s="52" t="str">
        <f ca="1">IEAData2!G$38</f>
        <v>INDCOK</v>
      </c>
      <c r="E16" s="52"/>
      <c r="F16" s="340">
        <f ca="1">MATCH(D16,Calibration2!$C$3:$T$3,0)</f>
        <v>6</v>
      </c>
      <c r="G16" s="53">
        <f ca="1">INDEX(IEAData2!$D$65:T$65,$F16)*INDEX(Calibration2!$C$95:$T$95,$F16)</f>
        <v>0</v>
      </c>
      <c r="H16" s="53">
        <f ca="1">INDEX(AuxData2!$D$65:U$65,$F16)*INDEX(Calibrati22!$C$95:$T$95,$F16)</f>
        <v>0</v>
      </c>
      <c r="I16" s="55">
        <v>0.81</v>
      </c>
      <c r="J16" s="55">
        <v>1</v>
      </c>
      <c r="K16" s="542">
        <f>1/I16</f>
        <v>1.2345679012345678</v>
      </c>
      <c r="L16" s="542">
        <f>1/J16/I16</f>
        <v>1.2345679012345678</v>
      </c>
      <c r="M16" s="544">
        <f>H16/L16</f>
        <v>0</v>
      </c>
      <c r="N16" s="57">
        <v>1</v>
      </c>
      <c r="O16" s="49">
        <v>1</v>
      </c>
      <c r="P16" s="410">
        <v>30</v>
      </c>
      <c r="Q16" s="544">
        <f>G16/K16/MAX($O16,$V16)</f>
        <v>0</v>
      </c>
      <c r="R16" s="544">
        <f>M16/MAX($O16,$V16)</f>
        <v>0</v>
      </c>
      <c r="S16" s="49"/>
      <c r="T16" s="386">
        <v>0</v>
      </c>
      <c r="U16" s="410"/>
      <c r="V16" s="436"/>
      <c r="W16" s="12"/>
      <c r="X16" s="12"/>
      <c r="Y16" s="55"/>
      <c r="Z16" s="55"/>
      <c r="AA16" s="55"/>
      <c r="AB16" s="128">
        <f>M16/$M$22</f>
        <v>0</v>
      </c>
    </row>
    <row r="17" spans="2:28">
      <c r="B17" s="9"/>
      <c r="C17" s="300"/>
      <c r="D17" s="52"/>
      <c r="E17" s="52" t="s">
        <v>57</v>
      </c>
      <c r="F17" s="340"/>
      <c r="G17" s="53"/>
      <c r="H17" s="53"/>
      <c r="I17" s="55"/>
      <c r="J17" s="55"/>
      <c r="K17" s="543"/>
      <c r="L17" s="9"/>
      <c r="M17" s="544"/>
      <c r="N17" s="57"/>
      <c r="O17" s="49"/>
      <c r="P17" s="410"/>
      <c r="Q17" s="544"/>
      <c r="R17" s="544"/>
      <c r="S17" s="49"/>
      <c r="T17" s="386"/>
      <c r="U17" s="410"/>
      <c r="V17" s="436"/>
      <c r="W17" s="12"/>
      <c r="X17" s="12"/>
      <c r="Y17" s="55"/>
      <c r="Z17" s="55"/>
      <c r="AA17" s="55"/>
    </row>
    <row r="18" spans="2:28">
      <c r="B18" s="35" t="s">
        <v>166</v>
      </c>
      <c r="C18" s="300" t="s">
        <v>759</v>
      </c>
      <c r="D18" s="52" t="s">
        <v>1349</v>
      </c>
      <c r="E18" s="52"/>
      <c r="F18" s="340">
        <f ca="1">MATCH("IND"&amp;RIGHT(D18,3),Calibration2!$C$3:$T$3,0)</f>
        <v>1</v>
      </c>
      <c r="G18" s="53">
        <f ca="1">INDEX(IEAData2!$D$65:T$65,$F18)*INDEX(Calibration2!$C$95:$T$95,$F18)-G27</f>
        <v>0.19650014428330731</v>
      </c>
      <c r="H18" s="53">
        <f ca="1">INDEX(AuxData2!$D$65:U$65,$F18)*INDEX(Calibrati22!$C$95:$T$95,$F18)-H27</f>
        <v>0.15270019822242009</v>
      </c>
      <c r="I18" s="55">
        <v>1</v>
      </c>
      <c r="J18" s="55">
        <v>1</v>
      </c>
      <c r="K18" s="542">
        <f>1/I18</f>
        <v>1</v>
      </c>
      <c r="L18" s="542">
        <f>1/J18/I18</f>
        <v>1</v>
      </c>
      <c r="M18" s="544">
        <f>H18/L18</f>
        <v>0.15270019822242009</v>
      </c>
      <c r="N18" s="57">
        <v>1</v>
      </c>
      <c r="O18" s="49"/>
      <c r="P18" s="410">
        <v>30</v>
      </c>
      <c r="Q18" s="544">
        <f>G18/K18/MAX($O18,$V18)</f>
        <v>0.19650014428330731</v>
      </c>
      <c r="R18" s="544">
        <f>M18/MAX($O18,$V18)</f>
        <v>0.15270019822242009</v>
      </c>
      <c r="S18" s="49"/>
      <c r="T18" s="386">
        <v>0</v>
      </c>
      <c r="U18" s="410"/>
      <c r="V18" s="436">
        <v>1</v>
      </c>
      <c r="W18" s="12"/>
      <c r="X18" s="12"/>
      <c r="Y18" s="55"/>
      <c r="Z18" s="55"/>
      <c r="AA18" s="55"/>
      <c r="AB18" s="128">
        <f>M18/$M$22</f>
        <v>0.46725000648426968</v>
      </c>
    </row>
    <row r="19" spans="2:28">
      <c r="B19" s="9"/>
      <c r="C19" s="300"/>
      <c r="D19" s="52"/>
      <c r="E19" s="52" t="s">
        <v>57</v>
      </c>
      <c r="F19" s="340"/>
      <c r="G19" s="53"/>
      <c r="H19" s="53"/>
      <c r="I19" s="55"/>
      <c r="J19" s="55"/>
      <c r="K19" s="542"/>
      <c r="L19" s="9"/>
      <c r="M19" s="544"/>
      <c r="N19" s="57"/>
      <c r="O19" s="49"/>
      <c r="P19" s="410"/>
      <c r="Q19" s="544"/>
      <c r="R19" s="544"/>
      <c r="S19" s="49"/>
      <c r="T19" s="386"/>
      <c r="U19" s="410"/>
      <c r="V19" s="436"/>
      <c r="W19" s="12"/>
      <c r="X19" s="12"/>
      <c r="Y19" s="55"/>
      <c r="Z19" s="55"/>
      <c r="AA19" s="55"/>
    </row>
    <row r="20" spans="2:28">
      <c r="B20" s="264" t="s">
        <v>167</v>
      </c>
      <c r="C20" s="520" t="s">
        <v>769</v>
      </c>
      <c r="D20" s="52" t="str">
        <f ca="1">IEAData2!D$38</f>
        <v>INDLPG</v>
      </c>
      <c r="E20" s="52"/>
      <c r="F20" s="340">
        <f ca="1">MATCH(D20,Calibration2!$C$3:$T$3,0)</f>
        <v>3</v>
      </c>
      <c r="G20" s="53">
        <f ca="1">INDEX(IEAData2!$D$65:T$65,$F20)*INDEX(Calibration2!$C$95:$T$95,$F20)-G29</f>
        <v>0</v>
      </c>
      <c r="H20" s="53">
        <f ca="1">INDEX(AuxData2!$D$65:U$65,$F20)*INDEX(Calibrati22!$C$95:$T$95,$F20)-H29</f>
        <v>0.10519292517608705</v>
      </c>
      <c r="I20" s="55">
        <v>0.85</v>
      </c>
      <c r="J20" s="55">
        <v>1</v>
      </c>
      <c r="K20" s="542">
        <f>1/I20</f>
        <v>1.1764705882352942</v>
      </c>
      <c r="L20" s="542">
        <f>1/J20/I20</f>
        <v>1.1764705882352942</v>
      </c>
      <c r="M20" s="544">
        <f>H20/L20</f>
        <v>8.9413986399673989E-2</v>
      </c>
      <c r="N20" s="57">
        <v>1</v>
      </c>
      <c r="O20" s="49">
        <v>1</v>
      </c>
      <c r="P20" s="434">
        <v>30</v>
      </c>
      <c r="Q20" s="544">
        <f>G20/K20/$O20</f>
        <v>0</v>
      </c>
      <c r="R20" s="544">
        <f>M20/$O20</f>
        <v>8.9413986399673989E-2</v>
      </c>
      <c r="S20" s="49"/>
      <c r="T20" s="386">
        <v>0</v>
      </c>
      <c r="U20" s="434"/>
      <c r="V20" s="436"/>
      <c r="W20" s="49"/>
      <c r="X20" s="49"/>
      <c r="Y20" s="55"/>
      <c r="Z20" s="55"/>
      <c r="AA20" s="55"/>
      <c r="AB20" s="128">
        <f>M20/$M$22</f>
        <v>0.27359942037650842</v>
      </c>
    </row>
    <row r="21" spans="2:28" ht="13.5" thickBot="1">
      <c r="B21" s="22"/>
      <c r="C21" s="609"/>
      <c r="D21" s="22"/>
      <c r="E21" s="22" t="s">
        <v>57</v>
      </c>
      <c r="F21" s="340"/>
      <c r="G21" s="28"/>
      <c r="H21" s="28"/>
      <c r="I21" s="29"/>
      <c r="J21" s="29"/>
      <c r="K21" s="545"/>
      <c r="L21" s="545"/>
      <c r="M21" s="541"/>
      <c r="N21" s="32"/>
      <c r="O21" s="13"/>
      <c r="P21" s="435"/>
      <c r="Q21" s="541"/>
      <c r="R21" s="541"/>
      <c r="S21" s="13"/>
      <c r="T21" s="607"/>
      <c r="U21" s="435"/>
      <c r="V21" s="437"/>
      <c r="W21" s="13"/>
      <c r="X21" s="13"/>
      <c r="Y21" s="29"/>
      <c r="Z21" s="29"/>
      <c r="AA21" s="29"/>
    </row>
    <row r="22" spans="2:28">
      <c r="B22" s="482" t="s">
        <v>1380</v>
      </c>
      <c r="C22" s="537" t="s">
        <v>57</v>
      </c>
      <c r="D22" s="198"/>
      <c r="E22" s="198"/>
      <c r="F22" s="200"/>
      <c r="G22" s="199">
        <f ca="1">SUM(G8:G21)</f>
        <v>0.36537326452812541</v>
      </c>
      <c r="H22" s="199">
        <f ca="1">SUM(H8:H21)</f>
        <v>0.35933314926102955</v>
      </c>
      <c r="I22" s="199"/>
      <c r="J22" s="198"/>
      <c r="K22" s="200"/>
      <c r="L22" s="200">
        <f>SUMPRODUCT(G8:G21,I8:I21)</f>
        <v>0.33824034226153099</v>
      </c>
      <c r="M22" s="199">
        <f>SUM(M8:M20)</f>
        <v>0.32680619818795198</v>
      </c>
      <c r="N22" s="200" t="s">
        <v>784</v>
      </c>
      <c r="O22" s="201"/>
      <c r="P22" s="439"/>
      <c r="Q22" s="199">
        <f>SUM(Q8:Q20)</f>
        <v>0.33824034226153099</v>
      </c>
      <c r="R22" s="199">
        <f>SUM(R8:R20)</f>
        <v>0.32680619818795198</v>
      </c>
      <c r="S22" s="198"/>
      <c r="T22" s="198"/>
      <c r="U22" s="198"/>
      <c r="V22" s="438"/>
      <c r="W22" s="198"/>
      <c r="X22" s="198"/>
      <c r="Y22" s="198"/>
      <c r="Z22" s="198"/>
      <c r="AA22" s="198"/>
      <c r="AB22" s="198"/>
    </row>
    <row r="23" spans="2:28" ht="22.5" customHeight="1">
      <c r="B23" s="35" t="s">
        <v>1334</v>
      </c>
      <c r="C23" s="300" t="s">
        <v>1354</v>
      </c>
      <c r="D23" s="52" t="s">
        <v>1365</v>
      </c>
      <c r="E23" s="52"/>
      <c r="F23" s="340">
        <f>$F$10</f>
        <v>11</v>
      </c>
      <c r="G23" s="53">
        <f ca="1">INDEX(IEAData2!$D$73:T$73,$F23)</f>
        <v>0.94840073679470427</v>
      </c>
      <c r="H23" s="53">
        <f ca="1">INDEX(AuxData2!$D$73:U$73,$F23)</f>
        <v>1.1625247427303165</v>
      </c>
      <c r="I23" s="55">
        <v>0.85</v>
      </c>
      <c r="J23" s="55">
        <v>1</v>
      </c>
      <c r="K23" s="542">
        <f>1/I23</f>
        <v>1.1764705882352942</v>
      </c>
      <c r="L23" s="542">
        <f>1/J23/I23</f>
        <v>1.1764705882352942</v>
      </c>
      <c r="M23" s="544">
        <f>H23/L23</f>
        <v>0.98814603132076895</v>
      </c>
      <c r="N23" s="57"/>
      <c r="O23" s="49"/>
      <c r="P23" s="410"/>
      <c r="Q23" s="55"/>
      <c r="R23" s="49"/>
      <c r="S23" s="49"/>
      <c r="T23" s="386"/>
      <c r="U23" s="410"/>
      <c r="V23" s="436"/>
      <c r="W23" s="12"/>
      <c r="X23" s="12"/>
      <c r="Y23" s="55"/>
      <c r="Z23" s="55"/>
      <c r="AA23" s="55"/>
    </row>
    <row r="24" spans="2:28">
      <c r="B24" s="9"/>
      <c r="C24" s="300"/>
      <c r="D24" s="52"/>
      <c r="E24" s="52" t="s">
        <v>1332</v>
      </c>
      <c r="F24" s="340"/>
      <c r="G24" s="53"/>
      <c r="H24" s="53"/>
      <c r="I24" s="55"/>
      <c r="J24" s="55"/>
      <c r="K24" s="542"/>
      <c r="L24" s="9"/>
      <c r="M24" s="544"/>
      <c r="N24" s="57"/>
      <c r="O24" s="49"/>
      <c r="P24" s="410"/>
      <c r="Q24" s="55"/>
      <c r="R24" s="49"/>
      <c r="S24" s="49"/>
      <c r="T24" s="386"/>
      <c r="U24" s="410"/>
      <c r="V24" s="436"/>
      <c r="W24" s="12"/>
      <c r="X24" s="12"/>
      <c r="Y24" s="55"/>
      <c r="Z24" s="55"/>
      <c r="AA24" s="55"/>
    </row>
    <row r="25" spans="2:28" ht="19.5" customHeight="1">
      <c r="B25" s="35" t="s">
        <v>1337</v>
      </c>
      <c r="C25" s="300" t="s">
        <v>1355</v>
      </c>
      <c r="D25" s="52" t="s">
        <v>1365</v>
      </c>
      <c r="E25" s="52"/>
      <c r="F25" s="340"/>
      <c r="G25" s="53">
        <v>0</v>
      </c>
      <c r="H25" s="53">
        <v>0</v>
      </c>
      <c r="I25" s="55">
        <v>0.85</v>
      </c>
      <c r="J25" s="55">
        <v>1</v>
      </c>
      <c r="K25" s="542">
        <f>1/I25</f>
        <v>1.1764705882352942</v>
      </c>
      <c r="L25" s="542">
        <f>1/J25/I25</f>
        <v>1.1764705882352942</v>
      </c>
      <c r="M25" s="544">
        <f>H25/L25</f>
        <v>0</v>
      </c>
      <c r="N25" s="57"/>
      <c r="O25" s="49"/>
      <c r="P25" s="410"/>
      <c r="Q25" s="55"/>
      <c r="R25" s="49"/>
      <c r="S25" s="49"/>
      <c r="T25" s="386"/>
      <c r="U25" s="410"/>
      <c r="V25" s="436"/>
      <c r="W25" s="12"/>
      <c r="X25" s="12"/>
      <c r="Y25" s="55"/>
      <c r="Z25" s="55"/>
      <c r="AA25" s="55"/>
    </row>
    <row r="26" spans="2:28">
      <c r="B26" s="9"/>
      <c r="C26" s="300"/>
      <c r="D26" s="52"/>
      <c r="E26" s="52" t="s">
        <v>1332</v>
      </c>
      <c r="F26" s="340"/>
      <c r="G26" s="53"/>
      <c r="H26" s="53"/>
      <c r="I26" s="55"/>
      <c r="J26" s="55"/>
      <c r="K26" s="542"/>
      <c r="L26" s="9"/>
      <c r="M26" s="544"/>
      <c r="N26" s="57"/>
      <c r="O26" s="49"/>
      <c r="P26" s="410"/>
      <c r="Q26" s="55"/>
      <c r="R26" s="49"/>
      <c r="S26" s="49"/>
      <c r="T26" s="386"/>
      <c r="U26" s="410"/>
      <c r="V26" s="436"/>
      <c r="W26" s="12"/>
      <c r="X26" s="178">
        <v>0.85</v>
      </c>
      <c r="Y26" s="55">
        <f ca="1">MAX(G25/K25/(L$31+Tiny),M25/(M$31+Tiny)+0.002)</f>
        <v>2E-3</v>
      </c>
      <c r="Z26" s="55">
        <f ca="1">(1-Y28)*0.8</f>
        <v>0.73888007260623223</v>
      </c>
      <c r="AA26" s="55"/>
    </row>
    <row r="27" spans="2:28">
      <c r="B27" s="35" t="s">
        <v>1335</v>
      </c>
      <c r="C27" s="300" t="s">
        <v>1356</v>
      </c>
      <c r="D27" s="52" t="s">
        <v>1349</v>
      </c>
      <c r="E27" s="52"/>
      <c r="F27" s="340">
        <f ca="1">MATCH("IND"&amp;RIGHT(D27,3),Calibration2!$C$3:$T$3,0)</f>
        <v>1</v>
      </c>
      <c r="G27" s="53">
        <f ca="1">INDEX(IEAData2!$D$73:T$73,$F27)</f>
        <v>7.3937770622611129E-2</v>
      </c>
      <c r="H27" s="53">
        <f ca="1">INDEX(AuxData2!$D$73:U$73,$F27)</f>
        <v>9.0503624756392315E-2</v>
      </c>
      <c r="I27" s="55">
        <v>1</v>
      </c>
      <c r="J27" s="55">
        <v>1</v>
      </c>
      <c r="K27" s="542">
        <f>1/I27</f>
        <v>1</v>
      </c>
      <c r="L27" s="542">
        <f>1/J27/I27</f>
        <v>1</v>
      </c>
      <c r="M27" s="544">
        <f>H27/L27</f>
        <v>9.0503624756392315E-2</v>
      </c>
      <c r="N27" s="57"/>
      <c r="O27" s="49"/>
      <c r="P27" s="410"/>
      <c r="Q27" s="55"/>
      <c r="R27" s="49"/>
      <c r="S27" s="49"/>
      <c r="T27" s="386"/>
      <c r="U27" s="410"/>
      <c r="V27" s="436"/>
      <c r="W27" s="12"/>
      <c r="X27" s="12"/>
      <c r="Y27" s="55"/>
      <c r="Z27" s="55"/>
      <c r="AA27" s="55"/>
    </row>
    <row r="28" spans="2:28">
      <c r="B28" s="9"/>
      <c r="C28" s="300"/>
      <c r="D28" s="52"/>
      <c r="E28" s="52" t="s">
        <v>1332</v>
      </c>
      <c r="F28" s="340"/>
      <c r="G28" s="53"/>
      <c r="H28" s="53"/>
      <c r="I28" s="55"/>
      <c r="J28" s="55"/>
      <c r="K28" s="542"/>
      <c r="L28" s="9"/>
      <c r="M28" s="544"/>
      <c r="N28" s="57"/>
      <c r="O28" s="49"/>
      <c r="P28" s="410"/>
      <c r="Q28" s="55"/>
      <c r="R28" s="49"/>
      <c r="S28" s="49"/>
      <c r="T28" s="386"/>
      <c r="U28" s="410"/>
      <c r="V28" s="436"/>
      <c r="W28" s="12"/>
      <c r="X28" s="12"/>
      <c r="Y28" s="57">
        <f ca="1">MAX(AA28,M27/(M$31+Tiny)+0.002)</f>
        <v>7.6399909242209754E-2</v>
      </c>
      <c r="Z28" s="55">
        <f ca="1">(Y28+(1-Y28)*0.05)^0.7</f>
        <v>0.23008776106026352</v>
      </c>
      <c r="AA28" s="55">
        <f ca="1">MIN(G27/K27/(L$31+Tiny),M27/(M$31+Tiny)-0.002)</f>
        <v>7.2399909242209751E-2</v>
      </c>
    </row>
    <row r="29" spans="2:28">
      <c r="B29" s="264" t="s">
        <v>1336</v>
      </c>
      <c r="C29" s="520" t="s">
        <v>1357</v>
      </c>
      <c r="D29" s="52" t="str">
        <f ca="1">IEAData2!D$38</f>
        <v>INDLPG</v>
      </c>
      <c r="E29" s="52"/>
      <c r="F29" s="340">
        <f ca="1">MATCH(D29,Calibration2!$C$3:$T$3,0)</f>
        <v>3</v>
      </c>
      <c r="G29" s="53">
        <f ca="1">INDEX(IEAData2!$D$73:T$73,$F29)</f>
        <v>0.10866245926126568</v>
      </c>
      <c r="H29" s="53">
        <f ca="1">INDEX(AuxData2!$D$73:U$73,$F29)</f>
        <v>0.16211576015162502</v>
      </c>
      <c r="I29" s="55">
        <v>0.85</v>
      </c>
      <c r="J29" s="55">
        <v>1</v>
      </c>
      <c r="K29" s="542">
        <f>1/I29</f>
        <v>1.1764705882352942</v>
      </c>
      <c r="L29" s="542">
        <f>1/J29/I29</f>
        <v>1.1764705882352942</v>
      </c>
      <c r="M29" s="544">
        <f>H29/L29</f>
        <v>0.13779839612888126</v>
      </c>
      <c r="N29" s="57"/>
      <c r="O29" s="49"/>
      <c r="P29" s="434"/>
      <c r="Q29" s="55"/>
      <c r="R29" s="49"/>
      <c r="S29" s="49"/>
      <c r="T29" s="386"/>
      <c r="U29" s="434"/>
      <c r="V29" s="436"/>
      <c r="W29" s="49"/>
      <c r="X29" s="49"/>
      <c r="Y29" s="55"/>
      <c r="Z29" s="55"/>
      <c r="AA29" s="55"/>
    </row>
    <row r="30" spans="2:28" ht="13.5" thickBot="1">
      <c r="B30" s="22"/>
      <c r="C30" s="609"/>
      <c r="D30" s="22"/>
      <c r="E30" s="22" t="s">
        <v>1332</v>
      </c>
      <c r="F30" s="340"/>
      <c r="G30" s="28"/>
      <c r="H30" s="28"/>
      <c r="I30" s="29"/>
      <c r="J30" s="29"/>
      <c r="K30" s="545"/>
      <c r="L30" s="545"/>
      <c r="M30" s="541"/>
      <c r="N30" s="32"/>
      <c r="O30" s="13"/>
      <c r="P30" s="435"/>
      <c r="Q30" s="29"/>
      <c r="R30" s="13"/>
      <c r="S30" s="13"/>
      <c r="T30" s="607"/>
      <c r="U30" s="435"/>
      <c r="V30" s="437"/>
      <c r="W30" s="13"/>
      <c r="X30" s="13"/>
      <c r="Y30" s="32">
        <f ca="1">MAX(G29/K29/(L$31+Tiny),M29/(M$31+Tiny)+0.002)</f>
        <v>0.11527931000892554</v>
      </c>
      <c r="Z30" s="29">
        <f ca="1">(Y30+(1-Y30)*0.05)^0.75</f>
        <v>0.25240726421133064</v>
      </c>
      <c r="AA30" s="29"/>
    </row>
    <row r="31" spans="2:28">
      <c r="B31" s="192" t="s">
        <v>1380</v>
      </c>
      <c r="C31" s="537" t="s">
        <v>1332</v>
      </c>
      <c r="D31" s="198"/>
      <c r="E31" s="198"/>
      <c r="F31" s="200"/>
      <c r="G31" s="199">
        <f ca="1">SUM(G23:G30)</f>
        <v>1.1310009666785812</v>
      </c>
      <c r="H31" s="199">
        <f ca="1">SUM(H23:H30)</f>
        <v>1.4151441276383339</v>
      </c>
      <c r="I31" s="199"/>
      <c r="J31" s="198"/>
      <c r="K31" s="200"/>
      <c r="L31" s="200">
        <f>SUMPRODUCT(G23:G30,I23:I30)</f>
        <v>0.97244148727018553</v>
      </c>
      <c r="M31" s="199">
        <f>SUM(M23:M30)</f>
        <v>1.2164480522060426</v>
      </c>
      <c r="N31" s="200" t="s">
        <v>784</v>
      </c>
      <c r="O31" s="201"/>
      <c r="P31" s="439"/>
      <c r="Q31" s="199">
        <f>SUM(Q23:Q30)</f>
        <v>0</v>
      </c>
      <c r="R31" s="198"/>
      <c r="S31" s="198"/>
      <c r="T31" s="198"/>
      <c r="U31" s="198"/>
      <c r="V31" s="438"/>
      <c r="W31" s="198"/>
      <c r="X31" s="198"/>
      <c r="Y31" s="198"/>
      <c r="Z31" s="198"/>
      <c r="AA31" s="198"/>
      <c r="AB31" s="198"/>
    </row>
    <row r="32" spans="2:28">
      <c r="B32" s="264" t="s">
        <v>157</v>
      </c>
      <c r="C32" s="520" t="s">
        <v>554</v>
      </c>
      <c r="D32" s="52" t="str">
        <f ca="1">IEAData2!K$38</f>
        <v>INDHFO</v>
      </c>
      <c r="E32" s="52"/>
      <c r="F32" s="340">
        <f ca="1">MATCH(D32,Calibration2!$C$3:$T$3,0)</f>
        <v>10</v>
      </c>
      <c r="G32" s="53">
        <f ca="1">INDEX(IEAData2!$D$66:T$66,$F32)*INDEX(Calibration2!$C$95:$T$95,$F32)</f>
        <v>0</v>
      </c>
      <c r="H32" s="53">
        <f ca="1">INDEX(AuxData2!$D$66:U$66,$F32)*INDEX(Calibrati22!$C$95:$T$95,$F32)</f>
        <v>0</v>
      </c>
      <c r="I32" s="55">
        <v>0.35</v>
      </c>
      <c r="J32" s="55">
        <v>1</v>
      </c>
      <c r="K32" s="542">
        <f>1/I32</f>
        <v>2.8571428571428572</v>
      </c>
      <c r="L32" s="542">
        <f>1/J32/I32</f>
        <v>2.8571428571428572</v>
      </c>
      <c r="M32" s="544">
        <f>H32/L32</f>
        <v>0</v>
      </c>
      <c r="N32" s="57">
        <v>1</v>
      </c>
      <c r="O32" s="49">
        <v>1</v>
      </c>
      <c r="P32" s="12">
        <v>30</v>
      </c>
      <c r="Q32" s="544">
        <f>G32/K32/$O32</f>
        <v>0</v>
      </c>
      <c r="R32" s="544">
        <f>H32/L32/$O32</f>
        <v>0</v>
      </c>
      <c r="S32" s="49"/>
      <c r="T32" s="52">
        <v>0</v>
      </c>
      <c r="U32" s="410"/>
      <c r="V32" s="436"/>
      <c r="W32" s="12"/>
      <c r="X32" s="12"/>
      <c r="Y32" s="12"/>
      <c r="Z32" s="12"/>
      <c r="AA32" s="55"/>
      <c r="AB32" s="128">
        <f ca="1">G32/($G$42+Tiny)</f>
        <v>0</v>
      </c>
    </row>
    <row r="33" spans="2:37">
      <c r="B33" s="52"/>
      <c r="C33" s="520"/>
      <c r="D33" s="52"/>
      <c r="E33" s="52" t="s">
        <v>60</v>
      </c>
      <c r="F33" s="340"/>
      <c r="G33" s="53"/>
      <c r="H33" s="53"/>
      <c r="I33" s="55"/>
      <c r="J33" s="55"/>
      <c r="K33" s="542"/>
      <c r="L33" s="9"/>
      <c r="M33" s="544"/>
      <c r="N33" s="57"/>
      <c r="O33" s="49"/>
      <c r="P33" s="12"/>
      <c r="Q33" s="544"/>
      <c r="R33" s="544"/>
      <c r="S33" s="49"/>
      <c r="T33" s="52"/>
      <c r="U33" s="410"/>
      <c r="V33" s="436"/>
      <c r="W33" s="12"/>
      <c r="X33" s="12"/>
      <c r="Y33" s="12"/>
      <c r="Z33" s="55"/>
      <c r="AA33" s="55"/>
    </row>
    <row r="34" spans="2:37">
      <c r="B34" s="264" t="s">
        <v>158</v>
      </c>
      <c r="C34" s="520" t="s">
        <v>58</v>
      </c>
      <c r="D34" s="52" t="s">
        <v>1365</v>
      </c>
      <c r="E34" s="52"/>
      <c r="F34" s="340">
        <f ca="1">MATCH(IF(D34="INDDST","INDOIL",D34),Calibration2!$C$3:$T$3,0)</f>
        <v>11</v>
      </c>
      <c r="G34" s="53">
        <f ca="1">INDEX(IEAData2!$D$66:T$66,$F34)*INDEX(Calibration2!$C$95:$T$95,$F34)</f>
        <v>0</v>
      </c>
      <c r="H34" s="53">
        <f ca="1">INDEX(AuxData2!$D$66:U$66,$F34)*INDEX(Calibrati22!$C$95:$T$95,$F34)</f>
        <v>0</v>
      </c>
      <c r="I34" s="55">
        <v>0.35</v>
      </c>
      <c r="J34" s="55">
        <v>1</v>
      </c>
      <c r="K34" s="542">
        <f>1/I34</f>
        <v>2.8571428571428572</v>
      </c>
      <c r="L34" s="542">
        <f>1/J34/I34</f>
        <v>2.8571428571428572</v>
      </c>
      <c r="M34" s="544">
        <f>H34/L34</f>
        <v>0</v>
      </c>
      <c r="N34" s="57">
        <v>1</v>
      </c>
      <c r="O34" s="49">
        <v>1</v>
      </c>
      <c r="P34" s="12">
        <v>30</v>
      </c>
      <c r="Q34" s="544">
        <f>G34/K34/$O34</f>
        <v>0</v>
      </c>
      <c r="R34" s="544">
        <f>H34/L34/$O34</f>
        <v>0</v>
      </c>
      <c r="S34" s="49"/>
      <c r="T34" s="52">
        <v>0</v>
      </c>
      <c r="U34" s="410"/>
      <c r="V34" s="436"/>
      <c r="W34" s="12"/>
      <c r="X34" s="12"/>
      <c r="Y34" s="12"/>
      <c r="Z34" s="55"/>
      <c r="AA34" s="55"/>
      <c r="AB34" s="128">
        <f ca="1">G34/($G$42+Tiny)</f>
        <v>0</v>
      </c>
    </row>
    <row r="35" spans="2:37">
      <c r="B35" s="52"/>
      <c r="C35" s="520"/>
      <c r="D35" s="52"/>
      <c r="E35" s="52" t="s">
        <v>60</v>
      </c>
      <c r="F35" s="340"/>
      <c r="G35" s="53"/>
      <c r="H35" s="53"/>
      <c r="I35" s="55"/>
      <c r="J35" s="55"/>
      <c r="K35" s="542"/>
      <c r="L35" s="9"/>
      <c r="M35" s="544"/>
      <c r="N35" s="57"/>
      <c r="O35" s="49"/>
      <c r="P35" s="12"/>
      <c r="Q35" s="544"/>
      <c r="R35" s="544"/>
      <c r="S35" s="49"/>
      <c r="T35" s="52"/>
      <c r="U35" s="410"/>
      <c r="V35" s="436"/>
      <c r="W35" s="12"/>
      <c r="X35" s="12"/>
      <c r="Y35" s="12"/>
      <c r="Z35" s="55"/>
      <c r="AA35" s="55"/>
      <c r="AC35" s="77"/>
      <c r="AD35" s="77"/>
      <c r="AE35" s="77"/>
      <c r="AF35" s="77"/>
      <c r="AG35" s="77"/>
      <c r="AH35" s="77"/>
      <c r="AI35" s="77"/>
      <c r="AJ35" s="77"/>
      <c r="AK35" s="77"/>
    </row>
    <row r="36" spans="2:37">
      <c r="B36" s="264" t="s">
        <v>159</v>
      </c>
      <c r="C36" s="520" t="s">
        <v>59</v>
      </c>
      <c r="D36" s="52" t="str">
        <f ca="1">IEAData2!C$38</f>
        <v>INDNGA</v>
      </c>
      <c r="E36" s="52"/>
      <c r="F36" s="340">
        <f ca="1">MATCH(D36,Calibration2!$C$3:$T$3,0)</f>
        <v>2</v>
      </c>
      <c r="G36" s="53">
        <f ca="1">INDEX(IEAData2!$D$66:T$66,$F36)*INDEX(Calibration2!$C$95:$T$95,$F36)</f>
        <v>0</v>
      </c>
      <c r="H36" s="53">
        <f ca="1">INDEX(AuxData2!$D$66:U$66,$F36)*INDEX(Calibrati22!$C$95:$T$95,$F36)</f>
        <v>0</v>
      </c>
      <c r="I36" s="55">
        <v>0.35</v>
      </c>
      <c r="J36" s="55">
        <v>1</v>
      </c>
      <c r="K36" s="542">
        <f>1/I36</f>
        <v>2.8571428571428572</v>
      </c>
      <c r="L36" s="542">
        <f>1/J36/I36</f>
        <v>2.8571428571428572</v>
      </c>
      <c r="M36" s="544">
        <f>H36/L36</f>
        <v>0</v>
      </c>
      <c r="N36" s="57">
        <v>1</v>
      </c>
      <c r="O36" s="49">
        <v>1</v>
      </c>
      <c r="P36" s="12">
        <v>30</v>
      </c>
      <c r="Q36" s="544">
        <f>G36/K36/$O36</f>
        <v>0</v>
      </c>
      <c r="R36" s="544">
        <f>H36/L36/$O36</f>
        <v>0</v>
      </c>
      <c r="S36" s="49"/>
      <c r="T36" s="52">
        <v>0</v>
      </c>
      <c r="U36" s="410"/>
      <c r="V36" s="436"/>
      <c r="W36" s="12"/>
      <c r="X36" s="12"/>
      <c r="Y36" s="12"/>
      <c r="Z36" s="55"/>
      <c r="AA36" s="55"/>
      <c r="AB36" s="128">
        <f ca="1">G36/($G$42+Tiny)</f>
        <v>0</v>
      </c>
      <c r="AC36" s="77"/>
      <c r="AD36" s="77"/>
      <c r="AE36" s="77"/>
      <c r="AF36" s="77"/>
      <c r="AG36" s="77"/>
      <c r="AH36" s="77"/>
      <c r="AI36" s="77"/>
      <c r="AJ36" s="77"/>
      <c r="AK36" s="77"/>
    </row>
    <row r="37" spans="2:37">
      <c r="B37" s="52"/>
      <c r="C37" s="520"/>
      <c r="D37" s="52"/>
      <c r="E37" s="52" t="s">
        <v>60</v>
      </c>
      <c r="F37" s="340"/>
      <c r="G37" s="53"/>
      <c r="H37" s="53"/>
      <c r="I37" s="55"/>
      <c r="J37" s="55"/>
      <c r="K37" s="542"/>
      <c r="L37" s="9"/>
      <c r="M37" s="544"/>
      <c r="N37" s="57"/>
      <c r="O37" s="49"/>
      <c r="P37" s="12"/>
      <c r="Q37" s="544"/>
      <c r="R37" s="544"/>
      <c r="S37" s="49"/>
      <c r="T37" s="52"/>
      <c r="U37" s="410"/>
      <c r="V37" s="436"/>
      <c r="W37" s="12"/>
      <c r="X37" s="12"/>
      <c r="Y37" s="12"/>
      <c r="Z37" s="55"/>
      <c r="AA37" s="55"/>
      <c r="AC37" s="77"/>
      <c r="AD37" s="77"/>
      <c r="AE37" s="77"/>
      <c r="AF37" s="77"/>
      <c r="AG37" s="77"/>
      <c r="AH37" s="77"/>
      <c r="AI37" s="77"/>
      <c r="AJ37" s="77"/>
      <c r="AK37" s="77"/>
    </row>
    <row r="38" spans="2:37">
      <c r="B38" s="264" t="s">
        <v>160</v>
      </c>
      <c r="C38" s="520" t="s">
        <v>776</v>
      </c>
      <c r="D38" s="52" t="s">
        <v>1349</v>
      </c>
      <c r="E38" s="52"/>
      <c r="F38" s="340">
        <f ca="1">MATCH("IND"&amp;RIGHT(D38,3),Calibration2!$C$3:$T$3,0)</f>
        <v>1</v>
      </c>
      <c r="G38" s="53">
        <f ca="1">INDEX(IEAData2!$D$66:T$66,$F38)*INDEX(Calibration2!$C$95:$T$95,$F38)</f>
        <v>1.0006202851518982</v>
      </c>
      <c r="H38" s="53">
        <f ca="1">INDEX(AuxData2!$D$66:U$66,$F38)*INDEX(Calibrati22!$C$95:$T$95,$F38)</f>
        <v>0.89985414502160588</v>
      </c>
      <c r="I38" s="55">
        <v>0.85</v>
      </c>
      <c r="J38" s="55">
        <v>1</v>
      </c>
      <c r="K38" s="542">
        <f>1/I38</f>
        <v>1.1764705882352942</v>
      </c>
      <c r="L38" s="542">
        <f>1/J38/I38</f>
        <v>1.1764705882352942</v>
      </c>
      <c r="M38" s="544">
        <f>H38/L38</f>
        <v>0.76487602326836501</v>
      </c>
      <c r="N38" s="57">
        <v>1</v>
      </c>
      <c r="O38" s="49">
        <v>1</v>
      </c>
      <c r="P38" s="12">
        <v>30</v>
      </c>
      <c r="Q38" s="544">
        <f>G38/K38/$O38</f>
        <v>0.85052724237911337</v>
      </c>
      <c r="R38" s="544">
        <f>H38/L38/$O38</f>
        <v>0.76487602326836501</v>
      </c>
      <c r="S38" s="49"/>
      <c r="T38" s="52">
        <v>0</v>
      </c>
      <c r="U38" s="410"/>
      <c r="V38" s="436"/>
      <c r="W38" s="12"/>
      <c r="X38" s="12"/>
      <c r="Y38" s="12"/>
      <c r="Z38" s="55"/>
      <c r="AA38" s="55"/>
      <c r="AB38" s="128">
        <f ca="1">G38/($G$42+Tiny)</f>
        <v>0.99999999900061987</v>
      </c>
      <c r="AC38" s="77"/>
      <c r="AD38" s="77"/>
      <c r="AE38" s="77"/>
      <c r="AF38" s="77"/>
      <c r="AG38" s="77"/>
      <c r="AH38" s="77"/>
      <c r="AI38" s="77"/>
      <c r="AJ38" s="77"/>
      <c r="AK38" s="77"/>
    </row>
    <row r="39" spans="2:37">
      <c r="B39" s="52"/>
      <c r="C39" s="520"/>
      <c r="D39" s="52"/>
      <c r="E39" s="52" t="s">
        <v>60</v>
      </c>
      <c r="F39" s="340"/>
      <c r="G39" s="53"/>
      <c r="H39" s="53"/>
      <c r="I39" s="55"/>
      <c r="J39" s="55"/>
      <c r="K39" s="542"/>
      <c r="L39" s="9"/>
      <c r="M39" s="544"/>
      <c r="N39" s="57"/>
      <c r="O39" s="49"/>
      <c r="P39" s="12"/>
      <c r="Q39" s="544"/>
      <c r="R39" s="544"/>
      <c r="S39" s="49"/>
      <c r="T39" s="52"/>
      <c r="U39" s="410"/>
      <c r="V39" s="436"/>
      <c r="W39" s="12"/>
      <c r="X39" s="12"/>
      <c r="Y39" s="12"/>
      <c r="Z39" s="55"/>
      <c r="AA39" s="55"/>
      <c r="AC39" s="77"/>
      <c r="AD39" s="77"/>
      <c r="AE39" s="77"/>
      <c r="AF39" s="77"/>
      <c r="AG39" s="77"/>
      <c r="AH39" s="77"/>
      <c r="AI39" s="77"/>
      <c r="AJ39" s="77"/>
      <c r="AK39" s="77"/>
    </row>
    <row r="40" spans="2:37">
      <c r="B40" s="264" t="s">
        <v>161</v>
      </c>
      <c r="C40" s="520" t="s">
        <v>777</v>
      </c>
      <c r="D40" s="52" t="str">
        <f ca="1">IEAData2!D$38</f>
        <v>INDLPG</v>
      </c>
      <c r="E40" s="52"/>
      <c r="F40" s="340">
        <f ca="1">MATCH(D40,Calibration2!$C$3:$T$3,0)</f>
        <v>3</v>
      </c>
      <c r="G40" s="53">
        <f ca="1">INDEX(IEAData2!$D$66:T$66,$F40)*INDEX(Calibration2!$C$95:$T$95,$F40)</f>
        <v>0</v>
      </c>
      <c r="H40" s="53">
        <f ca="1">INDEX(AuxData2!$D$66:U$66,$F40)*INDEX(Calibrati22!$C$95:$T$95,$F40)</f>
        <v>0</v>
      </c>
      <c r="I40" s="55">
        <v>0.35</v>
      </c>
      <c r="J40" s="55">
        <v>1</v>
      </c>
      <c r="K40" s="542">
        <f>1/I40</f>
        <v>2.8571428571428572</v>
      </c>
      <c r="L40" s="542">
        <f>1/J40/I40</f>
        <v>2.8571428571428572</v>
      </c>
      <c r="M40" s="544">
        <f>H40/L40</f>
        <v>0</v>
      </c>
      <c r="N40" s="57">
        <v>1</v>
      </c>
      <c r="O40" s="49">
        <v>1</v>
      </c>
      <c r="P40" s="49">
        <v>30</v>
      </c>
      <c r="Q40" s="544">
        <f>G40/K40/$O40</f>
        <v>0</v>
      </c>
      <c r="R40" s="544">
        <f>H40/L40/$O40</f>
        <v>0</v>
      </c>
      <c r="S40" s="49"/>
      <c r="T40" s="52">
        <v>0</v>
      </c>
      <c r="U40" s="410"/>
      <c r="V40" s="436"/>
      <c r="W40" s="49"/>
      <c r="X40" s="49"/>
      <c r="Y40" s="49"/>
      <c r="Z40" s="55"/>
      <c r="AA40" s="55"/>
      <c r="AB40" s="128">
        <f ca="1">G40/($G$42+Tiny)</f>
        <v>0</v>
      </c>
      <c r="AC40" s="77"/>
      <c r="AD40" s="77"/>
      <c r="AE40" s="77"/>
      <c r="AF40" s="77"/>
      <c r="AG40" s="77"/>
      <c r="AH40" s="77"/>
      <c r="AI40" s="77"/>
      <c r="AJ40" s="77"/>
      <c r="AK40" s="77"/>
    </row>
    <row r="41" spans="2:37" ht="13.5" thickBot="1">
      <c r="B41" s="22"/>
      <c r="C41" s="24"/>
      <c r="D41" s="22"/>
      <c r="E41" s="22" t="s">
        <v>60</v>
      </c>
      <c r="F41" s="341"/>
      <c r="G41" s="28"/>
      <c r="H41" s="28"/>
      <c r="I41" s="29"/>
      <c r="J41" s="29"/>
      <c r="K41" s="545"/>
      <c r="L41" s="545"/>
      <c r="M41" s="541"/>
      <c r="N41" s="32"/>
      <c r="O41" s="13"/>
      <c r="P41" s="13"/>
      <c r="Q41" s="541"/>
      <c r="R41" s="541"/>
      <c r="S41" s="13"/>
      <c r="T41" s="22"/>
      <c r="U41" s="13"/>
      <c r="V41" s="437"/>
      <c r="W41" s="13"/>
      <c r="X41" s="13"/>
      <c r="Y41" s="13"/>
      <c r="Z41" s="29"/>
      <c r="AA41" s="29"/>
      <c r="AC41" s="77"/>
      <c r="AD41" s="77"/>
      <c r="AE41" s="77"/>
      <c r="AF41" s="77"/>
      <c r="AG41" s="77"/>
      <c r="AH41" s="77"/>
      <c r="AI41" s="77"/>
      <c r="AJ41" s="77"/>
      <c r="AK41" s="77"/>
    </row>
    <row r="42" spans="2:37">
      <c r="B42" s="192" t="s">
        <v>902</v>
      </c>
      <c r="C42" s="198" t="s">
        <v>60</v>
      </c>
      <c r="D42" s="198"/>
      <c r="E42" s="198"/>
      <c r="F42" s="200"/>
      <c r="G42" s="199">
        <f>SUM(G32:G41)</f>
        <v>1.0006202851518982</v>
      </c>
      <c r="H42" s="199">
        <f>SUM(H32:H41)</f>
        <v>0.89985414502160588</v>
      </c>
      <c r="I42" s="199"/>
      <c r="J42" s="198"/>
      <c r="K42" s="200"/>
      <c r="L42" s="200">
        <f>SUMPRODUCT(G32:G41,I32:I41)</f>
        <v>0.85052724237911337</v>
      </c>
      <c r="M42" s="199">
        <f>SUM(M32:M40)</f>
        <v>0.76487602326836501</v>
      </c>
      <c r="N42" s="200" t="s">
        <v>784</v>
      </c>
      <c r="O42" s="201"/>
      <c r="P42" s="198"/>
      <c r="Q42" s="199">
        <f>SUM(Q32:Q40)</f>
        <v>0.85052724237911337</v>
      </c>
      <c r="R42" s="199">
        <f>SUM(R32:R40)</f>
        <v>0.76487602326836501</v>
      </c>
      <c r="S42" s="198"/>
      <c r="T42" s="198"/>
      <c r="U42" s="198"/>
      <c r="V42" s="198"/>
      <c r="W42" s="198"/>
      <c r="X42" s="198"/>
      <c r="Y42" s="198"/>
      <c r="Z42" s="198"/>
      <c r="AA42" s="198"/>
      <c r="AB42" s="198"/>
      <c r="AC42" s="77"/>
      <c r="AD42" s="77"/>
      <c r="AE42" s="77"/>
      <c r="AF42" s="77"/>
      <c r="AG42" s="77"/>
      <c r="AH42" s="77"/>
      <c r="AI42" s="77"/>
      <c r="AJ42" s="77"/>
      <c r="AK42" s="77"/>
    </row>
    <row r="43" spans="2:37">
      <c r="G43" s="2"/>
      <c r="I43" s="2"/>
      <c r="M43" s="2"/>
      <c r="O43" s="4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</row>
    <row r="44" spans="2:37"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</row>
    <row r="45" spans="2:37"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81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</row>
    <row r="46" spans="2:37"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81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</row>
    <row r="47" spans="2:37"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81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</row>
  </sheetData>
  <phoneticPr fontId="0" type="noConversion"/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501"/>
  <dimension ref="A1:AH73"/>
  <sheetViews>
    <sheetView zoomScale="75" workbookViewId="0">
      <selection activeCell="E6" sqref="E6"/>
    </sheetView>
  </sheetViews>
  <sheetFormatPr defaultColWidth="8.85546875" defaultRowHeight="12.75"/>
  <cols>
    <col min="1" max="1" width="8.85546875" customWidth="1"/>
    <col min="2" max="2" width="15.42578125" customWidth="1"/>
    <col min="3" max="3" width="37" customWidth="1"/>
    <col min="4" max="5" width="10.7109375" customWidth="1"/>
  </cols>
  <sheetData>
    <row r="1" spans="1:27">
      <c r="E1" s="216"/>
    </row>
    <row r="2" spans="1:27">
      <c r="E2" s="216"/>
    </row>
    <row r="3" spans="1:27">
      <c r="E3" s="216"/>
    </row>
    <row r="4" spans="1:27">
      <c r="E4" s="216"/>
      <c r="Q4" s="12">
        <v>1</v>
      </c>
      <c r="R4" t="s">
        <v>146</v>
      </c>
    </row>
    <row r="5" spans="1:27" ht="18">
      <c r="A5" s="8"/>
      <c r="B5" s="10"/>
      <c r="C5" s="11"/>
      <c r="E5" s="216"/>
      <c r="I5" t="s">
        <v>784</v>
      </c>
    </row>
    <row r="6" spans="1:27" ht="18">
      <c r="B6" s="86" t="s">
        <v>11</v>
      </c>
      <c r="C6" s="88"/>
      <c r="D6" s="123"/>
      <c r="E6" s="225" t="str">
        <f>"~FI_T: "&amp;Region&amp;"~EUR10"</f>
        <v>~FI_T: FIM~EUR10</v>
      </c>
      <c r="F6" s="1"/>
      <c r="G6" s="1"/>
      <c r="I6" s="1" t="s">
        <v>784</v>
      </c>
      <c r="J6" s="1" t="s">
        <v>784</v>
      </c>
      <c r="K6" s="1" t="s">
        <v>784</v>
      </c>
      <c r="M6" s="1" t="s">
        <v>784</v>
      </c>
      <c r="P6" s="1"/>
      <c r="Q6" s="1"/>
    </row>
    <row r="7" spans="1:27" ht="39" thickBot="1">
      <c r="B7" s="45" t="s">
        <v>649</v>
      </c>
      <c r="C7" s="45" t="s">
        <v>650</v>
      </c>
      <c r="D7" s="45" t="s">
        <v>648</v>
      </c>
      <c r="E7" s="45" t="s">
        <v>651</v>
      </c>
      <c r="F7" s="335" t="s">
        <v>391</v>
      </c>
      <c r="G7" s="64" t="str">
        <f ca="1">CONCATENATE("\I:",IEAData2!$D$2," final energy")</f>
        <v>\I:2010 final energy</v>
      </c>
      <c r="H7" s="64" t="str">
        <f ca="1">CONCATENATE("\I:",AuxYear," final energy")</f>
        <v>\I:2017 final energy</v>
      </c>
      <c r="I7" s="64" t="str">
        <f ca="1">CONCATENATE("\I:",IEAData2!$D$2," EFF")</f>
        <v>\I:2010 EFF</v>
      </c>
      <c r="J7" s="64" t="s">
        <v>721</v>
      </c>
      <c r="K7" s="45" t="s">
        <v>388</v>
      </c>
      <c r="L7" s="45" t="str">
        <f ca="1">"INPUT~"&amp;AuxYear</f>
        <v>INPUT~2017</v>
      </c>
      <c r="M7" s="64" t="str">
        <f ca="1">CONCATENATE("\I:",IEAData2!$D$2," Service Demand")</f>
        <v>\I:2010 Service Demand</v>
      </c>
      <c r="N7" s="45" t="s">
        <v>848</v>
      </c>
      <c r="O7" s="45" t="s">
        <v>872</v>
      </c>
      <c r="P7" s="45" t="s">
        <v>556</v>
      </c>
      <c r="Q7" s="45" t="str">
        <f ca="1">"RESID~"&amp;BaseYear</f>
        <v>RESID~2010</v>
      </c>
      <c r="R7" s="45" t="str">
        <f ca="1">"RESID~"&amp;AuxYear</f>
        <v>RESID~2017</v>
      </c>
      <c r="S7" s="45" t="str">
        <f ca="1">"RESID~"&amp;CEILING(AuxYear+12,5)</f>
        <v>RESID~2030</v>
      </c>
      <c r="T7" s="45" t="str">
        <f ca="1">"RESID~"&amp;CEILING(AuxYear+27,5)</f>
        <v>RESID~2045</v>
      </c>
      <c r="U7" s="45" t="s">
        <v>1382</v>
      </c>
      <c r="V7" s="45" t="s">
        <v>849</v>
      </c>
      <c r="W7" s="45" t="s">
        <v>52</v>
      </c>
      <c r="X7" s="45" t="s">
        <v>51</v>
      </c>
      <c r="Y7" s="45" t="s">
        <v>552</v>
      </c>
      <c r="Z7" s="45" t="s">
        <v>499</v>
      </c>
      <c r="AA7" s="126" t="s">
        <v>959</v>
      </c>
    </row>
    <row r="8" spans="1:27">
      <c r="A8" s="128"/>
      <c r="B8" s="264" t="s">
        <v>169</v>
      </c>
      <c r="C8" s="520" t="s">
        <v>62</v>
      </c>
      <c r="D8" s="52" t="str">
        <f ca="1">IEAData2!K$38</f>
        <v>INDHFO</v>
      </c>
      <c r="E8" s="52"/>
      <c r="F8" s="340">
        <f ca="1">MATCH(D8,Calibration2!$C$3:$T$3,0)</f>
        <v>10</v>
      </c>
      <c r="G8" s="53">
        <f ca="1">INDEX(IEAData2!$D$69:T$69,$F8)*INDEX(Calibration2!$C$95:$T$95,$F8)</f>
        <v>0.21022799348503188</v>
      </c>
      <c r="H8" s="53">
        <f ca="1">INDEX(AuxData2!$D$69:U$69,$F8)*INDEX(Calibrati22!$C$95:$T$95,$F8)</f>
        <v>6.9390596213616831E-2</v>
      </c>
      <c r="I8" s="55">
        <v>0.81</v>
      </c>
      <c r="J8" s="55">
        <v>1</v>
      </c>
      <c r="K8" s="542">
        <f>1/I8</f>
        <v>1.2345679012345678</v>
      </c>
      <c r="L8" s="542">
        <f>1/J8/I8</f>
        <v>1.2345679012345678</v>
      </c>
      <c r="M8" s="544">
        <f>H8/L8</f>
        <v>5.6206382933029639E-2</v>
      </c>
      <c r="N8" s="57">
        <v>1</v>
      </c>
      <c r="O8" s="49">
        <v>1</v>
      </c>
      <c r="P8" s="12">
        <v>30</v>
      </c>
      <c r="Q8" s="544">
        <f>G8/K8/MAX($O8,$V8)</f>
        <v>0.17028467472287584</v>
      </c>
      <c r="R8" s="544">
        <f>M8/MAX($O8,$V8)</f>
        <v>5.6206382933029639E-2</v>
      </c>
      <c r="S8" s="49"/>
      <c r="T8" s="52">
        <v>0</v>
      </c>
      <c r="U8" s="9"/>
      <c r="V8" s="12"/>
      <c r="W8" s="12"/>
      <c r="X8" s="12"/>
      <c r="Y8" s="12"/>
      <c r="Z8" s="54"/>
      <c r="AA8" s="127">
        <f>G8/$G$30</f>
        <v>5.0363685377412939E-2</v>
      </c>
    </row>
    <row r="9" spans="1:27">
      <c r="B9" s="52"/>
      <c r="C9" s="520"/>
      <c r="D9" s="52"/>
      <c r="E9" s="52" t="s">
        <v>75</v>
      </c>
      <c r="F9" s="57"/>
      <c r="G9" s="53"/>
      <c r="H9" s="53"/>
      <c r="I9" s="55"/>
      <c r="J9" s="55"/>
      <c r="K9" s="542"/>
      <c r="L9" s="9"/>
      <c r="M9" s="544"/>
      <c r="N9" s="57"/>
      <c r="O9" s="49"/>
      <c r="P9" s="12"/>
      <c r="Q9" s="544"/>
      <c r="R9" s="544"/>
      <c r="S9" s="49"/>
      <c r="T9" s="52"/>
      <c r="U9" s="9"/>
      <c r="V9" s="12"/>
      <c r="W9" s="12"/>
      <c r="X9" s="12"/>
      <c r="Y9" s="12"/>
      <c r="Z9" s="55"/>
      <c r="AA9" s="127"/>
    </row>
    <row r="10" spans="1:27">
      <c r="A10" s="128"/>
      <c r="B10" s="264" t="s">
        <v>170</v>
      </c>
      <c r="C10" s="520" t="s">
        <v>71</v>
      </c>
      <c r="D10" s="52" t="s">
        <v>1365</v>
      </c>
      <c r="E10" s="52"/>
      <c r="F10" s="340">
        <f ca="1">MATCH(IF($D10="INDDST","INDOIL",$D10),Calibration2!$C$3:$T$3,0)</f>
        <v>11</v>
      </c>
      <c r="G10" s="53">
        <f ca="1">INDEX(IEAData2!$D$69:T$69,$F10)*INDEX(Calibration2!$C$95:$T$95,$F10)</f>
        <v>0.33871454885525154</v>
      </c>
      <c r="H10" s="53">
        <f ca="1">INDEX(AuxData2!$D$69:U$69,$F10)*INDEX(Calibrati22!$C$95:$T$95,$F10)</f>
        <v>0.41518740811797022</v>
      </c>
      <c r="I10" s="55">
        <v>0.81</v>
      </c>
      <c r="J10" s="55">
        <v>1</v>
      </c>
      <c r="K10" s="542">
        <f>1/I10</f>
        <v>1.2345679012345678</v>
      </c>
      <c r="L10" s="542">
        <f>1/J10/I10</f>
        <v>1.2345679012345678</v>
      </c>
      <c r="M10" s="544">
        <f>H10/L10</f>
        <v>0.33630180057555592</v>
      </c>
      <c r="N10" s="57">
        <v>1</v>
      </c>
      <c r="O10" s="49"/>
      <c r="P10" s="12">
        <v>30</v>
      </c>
      <c r="Q10" s="544">
        <f>G10/K10/MAX($O10,$V10)</f>
        <v>0.27435878457275376</v>
      </c>
      <c r="R10" s="544">
        <f>M10/MAX($O10,$V10)</f>
        <v>0.33630180057555592</v>
      </c>
      <c r="S10" s="49"/>
      <c r="T10" s="52">
        <v>0.12</v>
      </c>
      <c r="U10" s="9"/>
      <c r="V10" s="304">
        <v>1</v>
      </c>
      <c r="W10" s="12"/>
      <c r="X10" s="12"/>
      <c r="Y10" s="12"/>
      <c r="Z10" s="55"/>
      <c r="AA10" s="127">
        <f>G10/$G$30</f>
        <v>8.1144821336616324E-2</v>
      </c>
    </row>
    <row r="11" spans="1:27">
      <c r="B11" s="52"/>
      <c r="C11" s="520"/>
      <c r="D11" s="52"/>
      <c r="E11" s="52" t="s">
        <v>75</v>
      </c>
      <c r="F11" s="57"/>
      <c r="G11" s="53"/>
      <c r="H11" s="53"/>
      <c r="I11" s="55"/>
      <c r="J11" s="55"/>
      <c r="K11" s="542"/>
      <c r="L11" s="9"/>
      <c r="M11" s="544"/>
      <c r="N11" s="57"/>
      <c r="O11" s="49"/>
      <c r="P11" s="12"/>
      <c r="Q11" s="544"/>
      <c r="R11" s="544"/>
      <c r="S11" s="49"/>
      <c r="T11" s="52"/>
      <c r="U11" s="9"/>
      <c r="V11" s="12"/>
      <c r="W11" s="12"/>
      <c r="X11" s="12"/>
      <c r="Y11" s="12"/>
      <c r="Z11" s="55"/>
      <c r="AA11" s="127"/>
    </row>
    <row r="12" spans="1:27">
      <c r="A12" s="128"/>
      <c r="B12" s="264" t="s">
        <v>171</v>
      </c>
      <c r="C12" s="520" t="s">
        <v>72</v>
      </c>
      <c r="D12" s="52" t="str">
        <f ca="1">IEAData2!C$38</f>
        <v>INDNGA</v>
      </c>
      <c r="E12" s="52"/>
      <c r="F12" s="340">
        <f ca="1">MATCH(D12,Calibration2!$C$3:$T$3,0)</f>
        <v>2</v>
      </c>
      <c r="G12" s="53">
        <f ca="1">INDEX(IEAData2!$D$69:T$69,$F12)*INDEX(Calibration2!$C$95:$T$95,$F12)</f>
        <v>8.704638339927577E-2</v>
      </c>
      <c r="H12" s="53">
        <f ca="1">INDEX(AuxData2!$D$69:U$69,$F12)*INDEX(Calibrati22!$C$95:$T$95,$F12)</f>
        <v>4.654667541780301E-2</v>
      </c>
      <c r="I12" s="55">
        <v>0.81</v>
      </c>
      <c r="J12" s="55">
        <v>1</v>
      </c>
      <c r="K12" s="542">
        <f>1/I12</f>
        <v>1.2345679012345678</v>
      </c>
      <c r="L12" s="542">
        <f>1/J12/I12</f>
        <v>1.2345679012345678</v>
      </c>
      <c r="M12" s="544">
        <f>H12/L12</f>
        <v>3.7702807088420442E-2</v>
      </c>
      <c r="N12" s="57">
        <v>1</v>
      </c>
      <c r="O12" s="49">
        <v>1</v>
      </c>
      <c r="P12" s="12">
        <v>30</v>
      </c>
      <c r="Q12" s="544">
        <f>G12/K12/MAX($O12,$V12)</f>
        <v>7.0507570553413376E-2</v>
      </c>
      <c r="R12" s="544">
        <f>M12/MAX($O12,$V12)</f>
        <v>3.7702807088420442E-2</v>
      </c>
      <c r="S12" s="49"/>
      <c r="T12" s="52">
        <v>0</v>
      </c>
      <c r="U12" s="9"/>
      <c r="V12" s="12"/>
      <c r="W12" s="12"/>
      <c r="X12" s="12"/>
      <c r="Y12" s="12"/>
      <c r="Z12" s="55"/>
      <c r="AA12" s="127">
        <f>G12/$G$30</f>
        <v>2.0853439135711117E-2</v>
      </c>
    </row>
    <row r="13" spans="1:27">
      <c r="B13" s="52"/>
      <c r="C13" s="520"/>
      <c r="D13" s="52"/>
      <c r="E13" s="52" t="s">
        <v>75</v>
      </c>
      <c r="F13" s="57"/>
      <c r="G13" s="53"/>
      <c r="H13" s="53"/>
      <c r="I13" s="55"/>
      <c r="J13" s="55"/>
      <c r="K13" s="542"/>
      <c r="L13" s="9"/>
      <c r="M13" s="544"/>
      <c r="N13" s="57"/>
      <c r="O13" s="49"/>
      <c r="P13" s="12"/>
      <c r="Q13" s="544"/>
      <c r="R13" s="544"/>
      <c r="S13" s="49"/>
      <c r="T13" s="52"/>
      <c r="U13" s="9"/>
      <c r="V13" s="12"/>
      <c r="W13" s="12"/>
      <c r="X13" s="12"/>
      <c r="Y13" s="12"/>
      <c r="Z13" s="55"/>
      <c r="AA13" s="127"/>
    </row>
    <row r="14" spans="1:27">
      <c r="A14" s="128"/>
      <c r="B14" s="264" t="s">
        <v>172</v>
      </c>
      <c r="C14" s="520" t="s">
        <v>76</v>
      </c>
      <c r="D14" s="52" t="str">
        <f ca="1">IEAData2!F$38</f>
        <v>INDCOA</v>
      </c>
      <c r="E14" s="52"/>
      <c r="F14" s="340">
        <f ca="1">MATCH(D14,Calibration2!$C$3:$T$3,0)</f>
        <v>5</v>
      </c>
      <c r="G14" s="53">
        <f ca="1">INDEX(IEAData2!$D$69:T$69,$F14)*INDEX(Calibration2!$C$95:$T$95,$F14)</f>
        <v>0</v>
      </c>
      <c r="H14" s="53">
        <f ca="1">INDEX(AuxData2!$D$69:U$69,$F14)*INDEX(Calibrati22!$C$95:$T$95,$F14)</f>
        <v>0</v>
      </c>
      <c r="I14" s="55">
        <v>0.81</v>
      </c>
      <c r="J14" s="55">
        <v>1</v>
      </c>
      <c r="K14" s="542">
        <f>1/I14</f>
        <v>1.2345679012345678</v>
      </c>
      <c r="L14" s="542">
        <f>1/J14/I14</f>
        <v>1.2345679012345678</v>
      </c>
      <c r="M14" s="544">
        <f>H14/L14</f>
        <v>0</v>
      </c>
      <c r="N14" s="57">
        <v>1</v>
      </c>
      <c r="O14" s="49">
        <v>1</v>
      </c>
      <c r="P14" s="12">
        <v>30</v>
      </c>
      <c r="Q14" s="544">
        <f>G14/K14/MAX($O14,$V14)</f>
        <v>0</v>
      </c>
      <c r="R14" s="544">
        <f>M14/MAX($O14,$V14)</f>
        <v>0</v>
      </c>
      <c r="S14" s="49"/>
      <c r="T14" s="52">
        <v>0</v>
      </c>
      <c r="U14" s="9"/>
      <c r="V14" s="12"/>
      <c r="W14" s="12"/>
      <c r="X14" s="12"/>
      <c r="Y14" s="12"/>
      <c r="Z14" s="55"/>
      <c r="AA14" s="127">
        <f>G14/$G$30</f>
        <v>0</v>
      </c>
    </row>
    <row r="15" spans="1:27">
      <c r="B15" s="52"/>
      <c r="C15" s="520"/>
      <c r="D15" s="52"/>
      <c r="E15" s="52" t="s">
        <v>75</v>
      </c>
      <c r="F15" s="57"/>
      <c r="G15" s="53"/>
      <c r="H15" s="53"/>
      <c r="I15" s="55"/>
      <c r="J15" s="55"/>
      <c r="K15" s="543"/>
      <c r="L15" s="9"/>
      <c r="M15" s="544"/>
      <c r="N15" s="57"/>
      <c r="O15" s="49"/>
      <c r="P15" s="12"/>
      <c r="Q15" s="544"/>
      <c r="R15" s="544"/>
      <c r="S15" s="49"/>
      <c r="T15" s="52"/>
      <c r="U15" s="9"/>
      <c r="V15" s="12"/>
      <c r="W15" s="12"/>
      <c r="X15" s="12"/>
      <c r="Y15" s="12"/>
      <c r="Z15" s="55"/>
      <c r="AA15" s="127"/>
    </row>
    <row r="16" spans="1:27">
      <c r="B16" s="264" t="s">
        <v>767</v>
      </c>
      <c r="C16" s="520" t="s">
        <v>768</v>
      </c>
      <c r="D16" s="52" t="str">
        <f ca="1">IEAData2!G$38</f>
        <v>INDCOK</v>
      </c>
      <c r="E16" s="52"/>
      <c r="F16" s="340">
        <f ca="1">MATCH(D16,Calibration2!$C$3:$T$3,0)</f>
        <v>6</v>
      </c>
      <c r="G16" s="53">
        <f ca="1">INDEX(IEAData2!$D$69:T$69,$F16)*INDEX(Calibration2!$C$95:$T$95,$F16)</f>
        <v>0</v>
      </c>
      <c r="H16" s="53">
        <f ca="1">INDEX(AuxData2!$D$69:U$69,$F16)*INDEX(Calibrati22!$C$95:$T$95,$F16)</f>
        <v>0</v>
      </c>
      <c r="I16" s="55">
        <v>0.81</v>
      </c>
      <c r="J16" s="55">
        <v>1</v>
      </c>
      <c r="K16" s="542">
        <f>1/I16</f>
        <v>1.2345679012345678</v>
      </c>
      <c r="L16" s="542">
        <f>1/J16/I16</f>
        <v>1.2345679012345678</v>
      </c>
      <c r="M16" s="544">
        <f>H16/L16</f>
        <v>0</v>
      </c>
      <c r="N16" s="57">
        <v>1</v>
      </c>
      <c r="O16" s="49">
        <v>1</v>
      </c>
      <c r="P16" s="12">
        <v>30</v>
      </c>
      <c r="Q16" s="544">
        <f>G16/K16/MAX($O16,$V16)</f>
        <v>0</v>
      </c>
      <c r="R16" s="544">
        <f>M16/MAX($O16,$V16)</f>
        <v>0</v>
      </c>
      <c r="S16" s="49"/>
      <c r="T16" s="52">
        <v>0</v>
      </c>
      <c r="U16" s="9"/>
      <c r="V16" s="12"/>
      <c r="W16" s="12"/>
      <c r="X16" s="12"/>
      <c r="Y16" s="12"/>
      <c r="Z16" s="55"/>
      <c r="AA16" s="127">
        <f>G16/$G$30</f>
        <v>0</v>
      </c>
    </row>
    <row r="17" spans="1:27">
      <c r="B17" s="52"/>
      <c r="C17" s="520"/>
      <c r="D17" s="52"/>
      <c r="E17" s="52" t="s">
        <v>75</v>
      </c>
      <c r="F17" s="57"/>
      <c r="G17" s="53"/>
      <c r="H17" s="53"/>
      <c r="I17" s="55"/>
      <c r="J17" s="55"/>
      <c r="K17" s="543"/>
      <c r="L17" s="9"/>
      <c r="M17" s="544"/>
      <c r="N17" s="57"/>
      <c r="O17" s="49"/>
      <c r="P17" s="12"/>
      <c r="Q17" s="544"/>
      <c r="R17" s="544"/>
      <c r="S17" s="49"/>
      <c r="T17" s="52"/>
      <c r="U17" s="9"/>
      <c r="V17" s="12"/>
      <c r="W17" s="12"/>
      <c r="X17" s="12"/>
      <c r="Y17" s="12"/>
      <c r="Z17" s="55"/>
      <c r="AA17" s="127"/>
    </row>
    <row r="18" spans="1:27">
      <c r="B18" s="264" t="s">
        <v>542</v>
      </c>
      <c r="C18" s="520" t="s">
        <v>543</v>
      </c>
      <c r="D18" s="52" t="str">
        <f ca="1">IEAData2!O$38</f>
        <v>INDPTC</v>
      </c>
      <c r="E18" s="52"/>
      <c r="F18" s="340">
        <f ca="1">MATCH(D18,Calibration2!$C$3:$T$3,0)</f>
        <v>14</v>
      </c>
      <c r="G18" s="53">
        <f ca="1">INDEX(IEAData2!$D$69:T$69,$F18)*INDEX(Calibration2!$C$95:$T$95,$F18)</f>
        <v>0</v>
      </c>
      <c r="H18" s="53">
        <f ca="1">INDEX(AuxData2!$D$69:U$69,$F18)*INDEX(Calibrati22!$C$95:$T$95,$F18)</f>
        <v>0</v>
      </c>
      <c r="I18" s="55">
        <v>0.81</v>
      </c>
      <c r="J18" s="55">
        <v>1</v>
      </c>
      <c r="K18" s="542">
        <f>1/I18</f>
        <v>1.2345679012345678</v>
      </c>
      <c r="L18" s="542">
        <f>1/J18/I18</f>
        <v>1.2345679012345678</v>
      </c>
      <c r="M18" s="544">
        <f>H18/L18</f>
        <v>0</v>
      </c>
      <c r="N18" s="57">
        <v>1</v>
      </c>
      <c r="O18" s="49">
        <v>1</v>
      </c>
      <c r="P18" s="12">
        <v>30</v>
      </c>
      <c r="Q18" s="544">
        <f>G18/K18/MAX($O18,$V18)</f>
        <v>0</v>
      </c>
      <c r="R18" s="544">
        <f>M18/MAX($O18,$V18)</f>
        <v>0</v>
      </c>
      <c r="S18" s="49"/>
      <c r="T18" s="52">
        <v>0</v>
      </c>
      <c r="U18" s="9"/>
      <c r="V18" s="12"/>
      <c r="W18" s="12"/>
      <c r="X18" s="12"/>
      <c r="Y18" s="12"/>
      <c r="Z18" s="55"/>
      <c r="AA18" s="127">
        <f>G18/$G$30</f>
        <v>0</v>
      </c>
    </row>
    <row r="19" spans="1:27">
      <c r="B19" s="52"/>
      <c r="C19" s="520"/>
      <c r="D19" s="52"/>
      <c r="E19" s="52" t="s">
        <v>75</v>
      </c>
      <c r="F19" s="57"/>
      <c r="G19" s="53"/>
      <c r="H19" s="53"/>
      <c r="I19" s="55"/>
      <c r="J19" s="55"/>
      <c r="K19" s="543"/>
      <c r="L19" s="9"/>
      <c r="M19" s="544"/>
      <c r="N19" s="57"/>
      <c r="O19" s="49"/>
      <c r="P19" s="12"/>
      <c r="Q19" s="544"/>
      <c r="R19" s="544"/>
      <c r="S19" s="49"/>
      <c r="T19" s="52"/>
      <c r="U19" s="9"/>
      <c r="V19" s="12"/>
      <c r="W19" s="12"/>
      <c r="X19" s="12"/>
      <c r="Y19" s="12"/>
      <c r="Z19" s="55"/>
      <c r="AA19" s="127"/>
    </row>
    <row r="20" spans="1:27">
      <c r="A20" s="128"/>
      <c r="B20" s="264" t="s">
        <v>173</v>
      </c>
      <c r="C20" s="520" t="s">
        <v>73</v>
      </c>
      <c r="D20" s="52" t="s">
        <v>1351</v>
      </c>
      <c r="E20" s="52"/>
      <c r="F20" s="340">
        <f ca="1">MATCH("IND"&amp;RIGHT(D20,3),Calibration2!$C$3:$T$3,0)</f>
        <v>1</v>
      </c>
      <c r="G20" s="53">
        <f ca="1">INDEX(IEAData2!$D$69:T$69,$F20)*INDEX(Calibration2!$C$95:$T$95,$F20)</f>
        <v>0.81131374471775541</v>
      </c>
      <c r="H20" s="53">
        <f ca="1">INDEX(AuxData2!$D$69:U$69,$F20)*INDEX(Calibrati22!$C$95:$T$95,$F20)</f>
        <v>0.72961146893643736</v>
      </c>
      <c r="I20" s="55">
        <v>1</v>
      </c>
      <c r="J20" s="55">
        <v>1</v>
      </c>
      <c r="K20" s="542">
        <f>1/I20</f>
        <v>1</v>
      </c>
      <c r="L20" s="542">
        <f>1/J20/I20</f>
        <v>1</v>
      </c>
      <c r="M20" s="544">
        <f>H20/L20</f>
        <v>0.72961146893643736</v>
      </c>
      <c r="N20" s="57">
        <v>1</v>
      </c>
      <c r="O20" s="49"/>
      <c r="P20" s="49">
        <v>30</v>
      </c>
      <c r="Q20" s="544">
        <f>G20/K20/MAX($O20,$V20)</f>
        <v>0.81131374471775541</v>
      </c>
      <c r="R20" s="544">
        <f>M20/MAX($O20,$V20)</f>
        <v>0.72961146893643736</v>
      </c>
      <c r="S20" s="49"/>
      <c r="T20" s="52">
        <v>0</v>
      </c>
      <c r="U20" s="9"/>
      <c r="V20" s="386">
        <v>1</v>
      </c>
      <c r="W20" s="49"/>
      <c r="X20" s="49"/>
      <c r="Y20" s="49"/>
      <c r="Z20" s="55"/>
      <c r="AA20" s="127">
        <f>G20/$G$30</f>
        <v>0.19436398314026157</v>
      </c>
    </row>
    <row r="21" spans="1:27">
      <c r="B21" s="52"/>
      <c r="C21" s="520"/>
      <c r="D21" s="52"/>
      <c r="E21" s="52" t="s">
        <v>75</v>
      </c>
      <c r="F21" s="57"/>
      <c r="G21" s="53"/>
      <c r="H21" s="53"/>
      <c r="I21" s="55"/>
      <c r="J21" s="55"/>
      <c r="K21" s="542"/>
      <c r="L21" s="9"/>
      <c r="M21" s="544"/>
      <c r="N21" s="57"/>
      <c r="O21" s="49"/>
      <c r="P21" s="49"/>
      <c r="Q21" s="544"/>
      <c r="R21" s="544"/>
      <c r="S21" s="49"/>
      <c r="T21" s="52"/>
      <c r="U21" s="9"/>
      <c r="V21" s="49"/>
      <c r="W21" s="49"/>
      <c r="X21" s="49"/>
      <c r="Y21" s="49"/>
      <c r="Z21" s="55"/>
      <c r="AA21" s="127"/>
    </row>
    <row r="22" spans="1:27">
      <c r="A22" s="7"/>
      <c r="B22" s="264" t="s">
        <v>144</v>
      </c>
      <c r="C22" s="520" t="s">
        <v>145</v>
      </c>
      <c r="D22" s="52" t="str">
        <f ca="1">IEAData2!Q$38</f>
        <v>INDGEO</v>
      </c>
      <c r="E22" s="52"/>
      <c r="F22" s="340">
        <f ca="1">MATCH(D22,Calibration2!$C$3:$T$3,0)</f>
        <v>16</v>
      </c>
      <c r="G22" s="53">
        <f ca="1">INDEX(IEAData2!$D$69:T$69,$F22)*INDEX(Calibration2!$C$95:$T$95,$F22)</f>
        <v>0</v>
      </c>
      <c r="H22" s="53">
        <f ca="1">INDEX(AuxData2!$D$69:U$69,$F22)*INDEX(Calibrati22!$C$95:$T$95,$F22)</f>
        <v>0</v>
      </c>
      <c r="I22" s="55">
        <v>0.96</v>
      </c>
      <c r="J22" s="55">
        <v>1</v>
      </c>
      <c r="K22" s="542">
        <f>1/I22</f>
        <v>1.0416666666666667</v>
      </c>
      <c r="L22" s="542">
        <f>1/J22/I22</f>
        <v>1.0416666666666667</v>
      </c>
      <c r="M22" s="544">
        <f>H22/L22</f>
        <v>0</v>
      </c>
      <c r="N22" s="57">
        <v>1</v>
      </c>
      <c r="O22" s="49">
        <v>1</v>
      </c>
      <c r="P22" s="12">
        <v>30</v>
      </c>
      <c r="Q22" s="544">
        <f>G22/K22/MAX($O22,$V22)</f>
        <v>0</v>
      </c>
      <c r="R22" s="544">
        <f>M22/MAX($O22,$V22)</f>
        <v>0</v>
      </c>
      <c r="S22" s="49"/>
      <c r="T22" s="52">
        <v>0</v>
      </c>
      <c r="U22" s="9"/>
      <c r="V22" s="49"/>
      <c r="W22" s="49"/>
      <c r="X22" s="49"/>
      <c r="Y22" s="49"/>
      <c r="Z22" s="55"/>
      <c r="AA22" s="127">
        <f>G22/$G$30</f>
        <v>0</v>
      </c>
    </row>
    <row r="23" spans="1:27">
      <c r="B23" s="52"/>
      <c r="C23" s="520"/>
      <c r="D23" s="52"/>
      <c r="E23" s="52" t="s">
        <v>75</v>
      </c>
      <c r="F23" s="57"/>
      <c r="G23" s="53"/>
      <c r="H23" s="53"/>
      <c r="I23" s="55"/>
      <c r="J23" s="55"/>
      <c r="K23" s="543"/>
      <c r="L23" s="9"/>
      <c r="M23" s="544"/>
      <c r="N23" s="57"/>
      <c r="O23" s="49"/>
      <c r="P23" s="12"/>
      <c r="Q23" s="544"/>
      <c r="R23" s="544"/>
      <c r="S23" s="49"/>
      <c r="T23" s="52"/>
      <c r="U23" s="9"/>
      <c r="V23" s="49"/>
      <c r="W23" s="49"/>
      <c r="X23" s="49"/>
      <c r="Y23" s="49"/>
      <c r="Z23" s="55"/>
      <c r="AA23" s="127"/>
    </row>
    <row r="24" spans="1:27">
      <c r="A24" s="128"/>
      <c r="B24" s="264" t="s">
        <v>174</v>
      </c>
      <c r="C24" s="520" t="s">
        <v>74</v>
      </c>
      <c r="D24" s="52" t="str">
        <f ca="1">IEAData2!D$38</f>
        <v>INDLPG</v>
      </c>
      <c r="E24" s="52"/>
      <c r="F24" s="340">
        <f ca="1">MATCH(D24,Calibration2!$C$3:$T$3,0)</f>
        <v>3</v>
      </c>
      <c r="G24" s="53">
        <f ca="1">INDEX(IEAData2!$D$69:T$69,$F24)*INDEX(Calibration2!$C$95:$T$95,$F24)</f>
        <v>1.3582807407658206E-2</v>
      </c>
      <c r="H24" s="53">
        <f ca="1">INDEX(AuxData2!$D$69:U$69,$F24)*INDEX(Calibrati22!$C$95:$T$95,$F24)</f>
        <v>3.3413585665964002E-2</v>
      </c>
      <c r="I24" s="55">
        <v>0.81</v>
      </c>
      <c r="J24" s="55">
        <v>1</v>
      </c>
      <c r="K24" s="542">
        <f>1/I24</f>
        <v>1.2345679012345678</v>
      </c>
      <c r="L24" s="542">
        <f>1/J24/I24</f>
        <v>1.2345679012345678</v>
      </c>
      <c r="M24" s="544">
        <f>H24/L24</f>
        <v>2.7065004389430842E-2</v>
      </c>
      <c r="N24" s="57">
        <v>1</v>
      </c>
      <c r="O24" s="49">
        <v>1</v>
      </c>
      <c r="P24" s="49">
        <v>30</v>
      </c>
      <c r="Q24" s="544">
        <f>G24/K24/MAX($O24,$V24)</f>
        <v>1.1002074000203147E-2</v>
      </c>
      <c r="R24" s="544">
        <f>M24/MAX($O24,$V24)</f>
        <v>2.7065004389430842E-2</v>
      </c>
      <c r="S24" s="49"/>
      <c r="T24" s="52">
        <v>0</v>
      </c>
      <c r="U24" s="9"/>
      <c r="V24" s="49"/>
      <c r="W24" s="49"/>
      <c r="X24" s="49"/>
      <c r="Y24" s="49"/>
      <c r="Z24" s="55"/>
      <c r="AA24" s="127">
        <f>G24/$G$30</f>
        <v>3.2539921419646616E-3</v>
      </c>
    </row>
    <row r="25" spans="1:27">
      <c r="B25" s="52"/>
      <c r="C25" s="520"/>
      <c r="D25" s="52"/>
      <c r="E25" s="52" t="s">
        <v>75</v>
      </c>
      <c r="F25" s="57"/>
      <c r="G25" s="53"/>
      <c r="H25" s="53"/>
      <c r="I25" s="55"/>
      <c r="J25" s="55"/>
      <c r="K25" s="543"/>
      <c r="L25" s="9"/>
      <c r="M25" s="544"/>
      <c r="N25" s="57"/>
      <c r="O25" s="49"/>
      <c r="P25" s="49"/>
      <c r="Q25" s="544"/>
      <c r="R25" s="544"/>
      <c r="S25" s="49"/>
      <c r="T25" s="52"/>
      <c r="U25" s="9"/>
      <c r="V25" s="49"/>
      <c r="W25" s="49"/>
      <c r="X25" s="49"/>
      <c r="Y25" s="49"/>
      <c r="Z25" s="55"/>
    </row>
    <row r="26" spans="1:27">
      <c r="A26" s="128"/>
      <c r="B26" s="264" t="s">
        <v>865</v>
      </c>
      <c r="C26" s="520" t="s">
        <v>866</v>
      </c>
      <c r="D26" s="52" t="s">
        <v>917</v>
      </c>
      <c r="E26" s="52"/>
      <c r="F26" s="340">
        <f ca="1">MATCH(D26,Calibration2!$C$3:$T$3,0)</f>
        <v>15</v>
      </c>
      <c r="G26" s="53">
        <f ca="1">INDEX(IEAData2!$D$69:T$69,$F26)*INDEX(Calibration2!$C$95:$T$95,$F26)</f>
        <v>0.12591982296353524</v>
      </c>
      <c r="H26" s="53">
        <f ca="1">INDEX(AuxData2!$D$69:U$69,$F26)*INDEX(Calibrati22!$C$95:$T$95,$F26)</f>
        <v>0.22576112699340922</v>
      </c>
      <c r="I26" s="55">
        <v>0.81</v>
      </c>
      <c r="J26" s="55">
        <v>1</v>
      </c>
      <c r="K26" s="542">
        <f>1/I26</f>
        <v>1.2345679012345678</v>
      </c>
      <c r="L26" s="542">
        <f>1/J26/I26</f>
        <v>1.2345679012345678</v>
      </c>
      <c r="M26" s="544">
        <f>H26/L26</f>
        <v>0.18286651286466149</v>
      </c>
      <c r="N26" s="57">
        <v>1</v>
      </c>
      <c r="O26" s="49">
        <v>1</v>
      </c>
      <c r="P26" s="49">
        <v>30</v>
      </c>
      <c r="Q26" s="544">
        <f>G26/K26/MAX($O26,$V26)</f>
        <v>0.10199505660046355</v>
      </c>
      <c r="R26" s="544">
        <f>M26/MAX($O26,$V26)</f>
        <v>0.18286651286466149</v>
      </c>
      <c r="S26" s="49"/>
      <c r="T26" s="52">
        <v>0</v>
      </c>
      <c r="U26" s="9"/>
      <c r="V26" s="49"/>
      <c r="W26" s="49"/>
      <c r="X26" s="49"/>
      <c r="Y26" s="49"/>
      <c r="Z26" s="55"/>
      <c r="AA26" s="127">
        <f>G26/$G$30</f>
        <v>3.0166231629692827E-2</v>
      </c>
    </row>
    <row r="27" spans="1:27">
      <c r="A27" s="128"/>
      <c r="B27" s="264"/>
      <c r="C27" s="520"/>
      <c r="D27" s="52"/>
      <c r="E27" s="52" t="s">
        <v>75</v>
      </c>
      <c r="F27" s="340"/>
      <c r="G27" s="53"/>
      <c r="H27" s="53"/>
      <c r="I27" s="55"/>
      <c r="J27" s="55"/>
      <c r="K27" s="542"/>
      <c r="L27" s="9"/>
      <c r="M27" s="544"/>
      <c r="N27" s="57"/>
      <c r="O27" s="49"/>
      <c r="P27" s="49"/>
      <c r="Q27" s="544"/>
      <c r="R27" s="544"/>
      <c r="S27" s="49"/>
      <c r="T27" s="52"/>
      <c r="U27" s="9"/>
      <c r="V27" s="49"/>
      <c r="W27" s="49"/>
      <c r="X27" s="49"/>
      <c r="Y27" s="49"/>
      <c r="Z27" s="55"/>
      <c r="AA27" s="127"/>
    </row>
    <row r="28" spans="1:27">
      <c r="B28" s="264" t="s">
        <v>742</v>
      </c>
      <c r="C28" s="520" t="s">
        <v>743</v>
      </c>
      <c r="D28" s="52" t="s">
        <v>993</v>
      </c>
      <c r="E28" s="52"/>
      <c r="F28" s="340">
        <v>17</v>
      </c>
      <c r="G28" s="53">
        <f ca="1">INDEX(IEAData2!$D$69:T$69,$F28)</f>
        <v>2.5873926735579085</v>
      </c>
      <c r="H28" s="53">
        <f ca="1">INDEX(AuxData2!$D$69:U$69,$F28)</f>
        <v>1.6870890877481624</v>
      </c>
      <c r="I28" s="55">
        <v>0.96</v>
      </c>
      <c r="J28" s="55">
        <v>1</v>
      </c>
      <c r="K28" s="542">
        <f>1/I28</f>
        <v>1.0416666666666667</v>
      </c>
      <c r="L28" s="542">
        <f>1/J28/I28</f>
        <v>1.0416666666666667</v>
      </c>
      <c r="M28" s="544">
        <f>H28/L28</f>
        <v>1.6196055242382357</v>
      </c>
      <c r="N28" s="57">
        <v>1</v>
      </c>
      <c r="O28" s="49">
        <v>1</v>
      </c>
      <c r="P28" s="12">
        <v>30</v>
      </c>
      <c r="Q28" s="544">
        <f>G28/K28/MAX($O28,$V28)</f>
        <v>2.4838969666155921</v>
      </c>
      <c r="R28" s="544">
        <f>M28/MAX($O28,$V28)</f>
        <v>1.6196055242382357</v>
      </c>
      <c r="S28" s="49"/>
      <c r="T28" s="52">
        <v>0</v>
      </c>
      <c r="U28" s="9"/>
      <c r="V28" s="12"/>
      <c r="W28" s="12"/>
      <c r="X28" s="12"/>
      <c r="Y28" s="12"/>
      <c r="Z28" s="55"/>
      <c r="AA28" s="127">
        <f>G28/$G$30</f>
        <v>0.61985384723834058</v>
      </c>
    </row>
    <row r="29" spans="1:27" ht="13.5" thickBot="1">
      <c r="B29" s="22"/>
      <c r="C29" s="609"/>
      <c r="D29" s="22"/>
      <c r="E29" s="22" t="s">
        <v>75</v>
      </c>
      <c r="F29" s="32"/>
      <c r="G29" s="28"/>
      <c r="H29" s="28"/>
      <c r="I29" s="29"/>
      <c r="J29" s="29"/>
      <c r="K29" s="545"/>
      <c r="L29" s="545"/>
      <c r="M29" s="541"/>
      <c r="N29" s="32"/>
      <c r="O29" s="13"/>
      <c r="P29" s="13"/>
      <c r="Q29" s="541"/>
      <c r="R29" s="541"/>
      <c r="S29" s="13"/>
      <c r="T29" s="22"/>
      <c r="U29" s="22"/>
      <c r="V29" s="13"/>
      <c r="W29" s="13"/>
      <c r="X29" s="13"/>
      <c r="Y29" s="13"/>
      <c r="Z29" s="29"/>
    </row>
    <row r="30" spans="1:27">
      <c r="B30" s="192" t="s">
        <v>1380</v>
      </c>
      <c r="C30" s="537" t="s">
        <v>75</v>
      </c>
      <c r="D30" s="198"/>
      <c r="E30" s="198"/>
      <c r="F30" s="198"/>
      <c r="G30" s="199">
        <f ca="1">SUM(G8:G29)</f>
        <v>4.1741979743864164</v>
      </c>
      <c r="H30" s="199">
        <f ca="1">SUM(H8:H29)</f>
        <v>3.2069999490933627</v>
      </c>
      <c r="I30" s="199"/>
      <c r="J30" s="198"/>
      <c r="K30" s="200"/>
      <c r="L30" s="200"/>
      <c r="M30" s="199">
        <f>SUM(M8:M29)</f>
        <v>2.9893595010257714</v>
      </c>
      <c r="N30" s="200"/>
      <c r="O30" s="201"/>
      <c r="P30" s="198"/>
      <c r="Q30" s="199">
        <f>SUM(Q8:Q29)</f>
        <v>3.9233588717830572</v>
      </c>
      <c r="R30" s="199">
        <f>SUM(R8:R29)</f>
        <v>2.9893595010257714</v>
      </c>
      <c r="S30" s="198"/>
      <c r="T30" s="198"/>
      <c r="U30" s="198"/>
      <c r="V30" s="198"/>
      <c r="W30" s="198"/>
      <c r="X30" s="198"/>
      <c r="Y30" s="198"/>
      <c r="Z30" s="198"/>
      <c r="AA30" s="198"/>
    </row>
    <row r="31" spans="1:27">
      <c r="B31" s="35" t="s">
        <v>168</v>
      </c>
      <c r="C31" s="300" t="s">
        <v>400</v>
      </c>
      <c r="D31" s="9" t="s">
        <v>1349</v>
      </c>
      <c r="E31" s="52"/>
      <c r="F31" s="49"/>
      <c r="G31" s="53">
        <f ca="1">IEAData2!$D$67*Calibration2!$C$95</f>
        <v>0.62200720428361245</v>
      </c>
      <c r="H31" s="53">
        <f ca="1">AuxData2!$D$67*Calibrati22!$C$95</f>
        <v>0.5593687928512685</v>
      </c>
      <c r="I31" s="55">
        <v>1</v>
      </c>
      <c r="J31" s="55">
        <v>1</v>
      </c>
      <c r="K31" s="542">
        <f>1/I31</f>
        <v>1</v>
      </c>
      <c r="L31" s="542">
        <f>1/J31/I31</f>
        <v>1</v>
      </c>
      <c r="M31" s="544">
        <f>H31/L31</f>
        <v>0.5593687928512685</v>
      </c>
      <c r="N31" s="57">
        <v>1</v>
      </c>
      <c r="O31" s="49">
        <v>1</v>
      </c>
      <c r="P31" s="12">
        <v>30</v>
      </c>
      <c r="Q31" s="544">
        <f>G31/K31/MAX($O31,$V31)</f>
        <v>0.62200720428361245</v>
      </c>
      <c r="R31" s="544">
        <f>M31/MAX($O31,$V31)</f>
        <v>0.5593687928512685</v>
      </c>
      <c r="S31" s="49"/>
      <c r="T31" s="52">
        <v>0</v>
      </c>
      <c r="U31" s="9"/>
      <c r="V31" s="12"/>
      <c r="W31" s="529">
        <v>7.4</v>
      </c>
      <c r="X31" s="12"/>
      <c r="Y31" s="12"/>
      <c r="Z31" s="55"/>
    </row>
    <row r="32" spans="1:27" ht="13.5" thickBot="1">
      <c r="B32" s="22"/>
      <c r="C32" s="609"/>
      <c r="D32" s="22"/>
      <c r="E32" s="22" t="s">
        <v>61</v>
      </c>
      <c r="F32" s="32"/>
      <c r="G32" s="28"/>
      <c r="H32" s="28"/>
      <c r="I32" s="29"/>
      <c r="J32" s="29"/>
      <c r="K32" s="545"/>
      <c r="L32" s="545"/>
      <c r="M32" s="541"/>
      <c r="N32" s="32"/>
      <c r="O32" s="13"/>
      <c r="P32" s="13"/>
      <c r="Q32" s="541"/>
      <c r="R32" s="541"/>
      <c r="S32" s="13"/>
      <c r="T32" s="22"/>
      <c r="U32" s="22"/>
      <c r="V32" s="13"/>
      <c r="W32" s="13"/>
      <c r="X32" s="13"/>
      <c r="Y32" s="13"/>
      <c r="Z32" s="29"/>
    </row>
    <row r="33" spans="2:27">
      <c r="B33" s="192" t="s">
        <v>1380</v>
      </c>
      <c r="C33" s="537" t="s">
        <v>61</v>
      </c>
      <c r="D33" s="198"/>
      <c r="E33" s="198"/>
      <c r="F33" s="198"/>
      <c r="G33" s="199">
        <f>SUM(G31:G32)</f>
        <v>0.62200720428361245</v>
      </c>
      <c r="H33" s="199">
        <f>SUM(H31:H32)</f>
        <v>0.5593687928512685</v>
      </c>
      <c r="I33" s="199"/>
      <c r="J33" s="198"/>
      <c r="K33" s="200"/>
      <c r="L33" s="200"/>
      <c r="M33" s="199">
        <f>SUM(M31:M32)</f>
        <v>0.5593687928512685</v>
      </c>
      <c r="N33" s="200"/>
      <c r="O33" s="201"/>
      <c r="P33" s="198"/>
      <c r="Q33" s="199">
        <f>SUM(Q31:Q32)</f>
        <v>0.62200720428361245</v>
      </c>
      <c r="R33" s="199">
        <f>SUM(R31:R32)</f>
        <v>0.5593687928512685</v>
      </c>
      <c r="S33" s="198"/>
      <c r="T33" s="198"/>
      <c r="U33" s="198"/>
      <c r="V33" s="198"/>
      <c r="W33" s="198"/>
      <c r="X33" s="198"/>
      <c r="Y33" s="198"/>
      <c r="Z33" s="198"/>
      <c r="AA33" s="198"/>
    </row>
    <row r="34" spans="2:27" ht="22.5" customHeight="1">
      <c r="B34" s="35" t="s">
        <v>175</v>
      </c>
      <c r="C34" s="300" t="s">
        <v>1383</v>
      </c>
      <c r="D34" s="9" t="s">
        <v>906</v>
      </c>
      <c r="E34" s="52" t="s">
        <v>177</v>
      </c>
      <c r="F34" s="49"/>
      <c r="G34" s="53"/>
      <c r="H34" s="53"/>
      <c r="I34" s="49"/>
      <c r="J34" s="49"/>
      <c r="K34" s="52">
        <v>0</v>
      </c>
      <c r="L34" s="52">
        <v>0</v>
      </c>
      <c r="M34" s="52"/>
      <c r="N34" s="49"/>
      <c r="O34" s="49"/>
      <c r="P34" s="49"/>
      <c r="Q34" s="52"/>
      <c r="R34" s="52"/>
      <c r="S34" s="49"/>
      <c r="T34" s="52"/>
      <c r="U34" s="52"/>
      <c r="V34" s="49"/>
      <c r="W34" s="49"/>
      <c r="X34" s="386">
        <v>1</v>
      </c>
      <c r="Y34" s="49"/>
      <c r="Z34" s="49"/>
    </row>
    <row r="35" spans="2:27">
      <c r="B35" s="9"/>
      <c r="C35" s="300"/>
      <c r="D35" s="52" t="s">
        <v>905</v>
      </c>
      <c r="E35" s="52"/>
      <c r="F35" s="49"/>
      <c r="G35" s="53"/>
      <c r="H35" s="53"/>
      <c r="I35" s="49"/>
      <c r="J35" s="49"/>
      <c r="K35" s="52">
        <v>1E-3</v>
      </c>
      <c r="L35" s="52">
        <v>1E-3</v>
      </c>
      <c r="M35" s="52"/>
      <c r="N35" s="49"/>
      <c r="O35" s="49"/>
      <c r="P35" s="49"/>
      <c r="Q35" s="52"/>
      <c r="R35" s="52"/>
      <c r="S35" s="49"/>
      <c r="T35" s="52"/>
      <c r="U35" s="52"/>
      <c r="V35" s="49"/>
      <c r="W35" s="49"/>
      <c r="X35" s="52"/>
      <c r="Y35" s="49"/>
      <c r="Z35" s="49"/>
    </row>
    <row r="36" spans="2:27" ht="13.5" thickBot="1">
      <c r="B36" s="22"/>
      <c r="C36" s="609"/>
      <c r="D36" s="22" t="s">
        <v>826</v>
      </c>
      <c r="E36" s="22"/>
      <c r="F36" s="13"/>
      <c r="G36" s="13"/>
      <c r="H36" s="13"/>
      <c r="I36" s="13"/>
      <c r="J36" s="13"/>
      <c r="K36" s="22">
        <v>0</v>
      </c>
      <c r="L36" s="22">
        <v>0</v>
      </c>
      <c r="M36" s="22"/>
      <c r="N36" s="13"/>
      <c r="O36" s="13"/>
      <c r="P36" s="13"/>
      <c r="Q36" s="22"/>
      <c r="R36" s="22"/>
      <c r="S36" s="13"/>
      <c r="T36" s="22"/>
      <c r="U36" s="22"/>
      <c r="V36" s="13"/>
      <c r="W36" s="13"/>
      <c r="X36" s="22"/>
      <c r="Y36" s="13"/>
      <c r="Z36" s="13"/>
    </row>
    <row r="57" spans="2:34"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81"/>
      <c r="Y57" s="77"/>
      <c r="Z57" s="77"/>
      <c r="AA57" s="77"/>
      <c r="AB57" s="77"/>
      <c r="AC57" s="77"/>
      <c r="AD57" s="77"/>
      <c r="AE57" s="77"/>
      <c r="AF57" s="77"/>
      <c r="AG57" s="77"/>
      <c r="AH57" s="80"/>
    </row>
    <row r="58" spans="2:34"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81"/>
      <c r="Y58" s="77"/>
      <c r="Z58" s="77"/>
      <c r="AA58" s="77"/>
      <c r="AB58" s="77"/>
      <c r="AC58" s="77"/>
      <c r="AD58" s="77"/>
      <c r="AE58" s="77"/>
      <c r="AF58" s="77"/>
      <c r="AG58" s="77"/>
    </row>
    <row r="59" spans="2:34"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81"/>
      <c r="Y59" s="77"/>
      <c r="Z59" s="77"/>
      <c r="AA59" s="77"/>
      <c r="AB59" s="77"/>
      <c r="AC59" s="77"/>
      <c r="AD59" s="77"/>
      <c r="AE59" s="77"/>
      <c r="AF59" s="77"/>
      <c r="AG59" s="77"/>
    </row>
    <row r="60" spans="2:34"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81"/>
      <c r="Y60" s="77"/>
      <c r="Z60" s="77"/>
      <c r="AA60" s="77"/>
      <c r="AB60" s="77"/>
      <c r="AC60" s="77"/>
      <c r="AD60" s="77"/>
      <c r="AE60" s="77"/>
      <c r="AF60" s="77"/>
      <c r="AG60" s="77"/>
    </row>
    <row r="61" spans="2:34"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81"/>
      <c r="Y61" s="77"/>
      <c r="Z61" s="77"/>
      <c r="AA61" s="77"/>
      <c r="AB61" s="77"/>
      <c r="AC61" s="77"/>
      <c r="AD61" s="77"/>
      <c r="AE61" s="77"/>
      <c r="AF61" s="77"/>
      <c r="AG61" s="77"/>
    </row>
    <row r="62" spans="2:34"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81"/>
      <c r="Y62" s="77"/>
      <c r="Z62" s="77"/>
      <c r="AA62" s="77"/>
      <c r="AB62" s="77"/>
      <c r="AC62" s="77"/>
      <c r="AD62" s="77"/>
      <c r="AE62" s="77"/>
      <c r="AF62" s="77"/>
      <c r="AG62" s="77"/>
    </row>
    <row r="63" spans="2:34"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81"/>
      <c r="Y63" s="77"/>
      <c r="Z63" s="77"/>
      <c r="AA63" s="77"/>
      <c r="AB63" s="77"/>
      <c r="AC63" s="77"/>
      <c r="AD63" s="77"/>
      <c r="AE63" s="77"/>
      <c r="AF63" s="77"/>
      <c r="AG63" s="77"/>
    </row>
    <row r="64" spans="2:34"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81"/>
      <c r="Y64" s="77"/>
      <c r="Z64" s="77"/>
      <c r="AA64" s="77"/>
      <c r="AB64" s="77"/>
      <c r="AC64" s="77"/>
      <c r="AD64" s="77"/>
      <c r="AE64" s="77"/>
      <c r="AF64" s="77"/>
      <c r="AG64" s="77"/>
    </row>
    <row r="65" spans="2:33"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81"/>
      <c r="Y65" s="77"/>
      <c r="Z65" s="77"/>
      <c r="AA65" s="77"/>
      <c r="AB65" s="77"/>
      <c r="AC65" s="77"/>
      <c r="AD65" s="77"/>
      <c r="AE65" s="77"/>
      <c r="AF65" s="77"/>
      <c r="AG65" s="77"/>
    </row>
    <row r="66" spans="2:33"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81"/>
      <c r="Y66" s="77"/>
      <c r="Z66" s="77"/>
      <c r="AA66" s="77"/>
      <c r="AB66" s="77"/>
      <c r="AC66" s="77"/>
      <c r="AD66" s="77"/>
      <c r="AE66" s="77"/>
      <c r="AF66" s="77"/>
      <c r="AG66" s="77"/>
    </row>
    <row r="67" spans="2:33"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81"/>
      <c r="Y67" s="77"/>
      <c r="Z67" s="77"/>
      <c r="AA67" s="77"/>
      <c r="AB67" s="77"/>
      <c r="AC67" s="77"/>
      <c r="AD67" s="77"/>
      <c r="AE67" s="77"/>
      <c r="AF67" s="77"/>
      <c r="AG67" s="77"/>
    </row>
    <row r="68" spans="2:33"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81"/>
      <c r="Y68" s="77"/>
      <c r="Z68" s="77"/>
      <c r="AA68" s="77"/>
      <c r="AB68" s="77"/>
      <c r="AC68" s="77"/>
      <c r="AD68" s="77"/>
      <c r="AE68" s="77"/>
      <c r="AF68" s="77"/>
      <c r="AG68" s="77"/>
    </row>
    <row r="69" spans="2:33"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81"/>
      <c r="Y69" s="77"/>
      <c r="Z69" s="77"/>
      <c r="AA69" s="77"/>
      <c r="AB69" s="77"/>
      <c r="AC69" s="77"/>
      <c r="AD69" s="77"/>
      <c r="AE69" s="77"/>
      <c r="AF69" s="77"/>
      <c r="AG69" s="77"/>
    </row>
    <row r="70" spans="2:33"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81"/>
      <c r="Y70" s="77"/>
      <c r="Z70" s="77"/>
      <c r="AA70" s="77"/>
      <c r="AB70" s="77"/>
      <c r="AC70" s="77"/>
      <c r="AD70" s="77"/>
      <c r="AE70" s="77"/>
      <c r="AF70" s="77"/>
      <c r="AG70" s="77"/>
    </row>
    <row r="71" spans="2:33"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81"/>
      <c r="Y71" s="77"/>
      <c r="Z71" s="77"/>
      <c r="AA71" s="77"/>
      <c r="AB71" s="77"/>
      <c r="AC71" s="77"/>
      <c r="AD71" s="77"/>
      <c r="AE71" s="77"/>
      <c r="AF71" s="77"/>
      <c r="AG71" s="77"/>
    </row>
    <row r="72" spans="2:33"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81"/>
      <c r="Y72" s="77"/>
      <c r="Z72" s="77"/>
      <c r="AA72" s="77"/>
      <c r="AB72" s="77"/>
      <c r="AC72" s="77"/>
      <c r="AD72" s="77"/>
      <c r="AE72" s="77"/>
      <c r="AF72" s="77"/>
      <c r="AG72" s="77"/>
    </row>
    <row r="73" spans="2:33"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81"/>
      <c r="Y73" s="77"/>
      <c r="Z73" s="77"/>
      <c r="AA73" s="77"/>
      <c r="AB73" s="77"/>
      <c r="AC73" s="77"/>
      <c r="AD73" s="77"/>
      <c r="AE73" s="77"/>
      <c r="AF73" s="77"/>
      <c r="AG73" s="77"/>
    </row>
  </sheetData>
  <phoneticPr fontId="0" type="noConversion"/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16"/>
  <dimension ref="A1:V40"/>
  <sheetViews>
    <sheetView zoomScale="75" workbookViewId="0">
      <selection activeCell="Y18" sqref="Y18"/>
    </sheetView>
  </sheetViews>
  <sheetFormatPr defaultColWidth="8.85546875" defaultRowHeight="12.75"/>
  <cols>
    <col min="1" max="1" width="8.85546875" customWidth="1"/>
    <col min="2" max="2" width="10.85546875" customWidth="1"/>
    <col min="3" max="3" width="31.85546875" customWidth="1"/>
    <col min="4" max="4" width="9.85546875" customWidth="1"/>
    <col min="6" max="6" width="9.7109375" customWidth="1"/>
  </cols>
  <sheetData>
    <row r="1" spans="1:22" ht="18">
      <c r="A1" s="5" t="s">
        <v>148</v>
      </c>
      <c r="B1" s="5"/>
      <c r="C1" s="5"/>
      <c r="N1" s="12" t="s">
        <v>1008</v>
      </c>
      <c r="O1" s="12"/>
      <c r="P1" s="12"/>
      <c r="Q1" s="12"/>
    </row>
    <row r="2" spans="1:22">
      <c r="D2" s="216"/>
      <c r="L2" s="7"/>
      <c r="N2">
        <v>0.85</v>
      </c>
      <c r="P2">
        <v>0.65</v>
      </c>
      <c r="Q2">
        <v>0.5</v>
      </c>
    </row>
    <row r="3" spans="1:22">
      <c r="B3" s="10"/>
      <c r="C3" s="11"/>
      <c r="D3" s="216"/>
    </row>
    <row r="4" spans="1:22" ht="18">
      <c r="B4" s="86" t="s">
        <v>91</v>
      </c>
      <c r="C4" s="88"/>
      <c r="D4" s="425"/>
      <c r="E4" s="225" t="str">
        <f>"~FI_T: "&amp;Region</f>
        <v>~FI_T: FIM</v>
      </c>
      <c r="F4" s="147"/>
    </row>
    <row r="5" spans="1:22" ht="39" thickBot="1">
      <c r="B5" s="45" t="s">
        <v>649</v>
      </c>
      <c r="C5" s="45" t="s">
        <v>650</v>
      </c>
      <c r="D5" s="45" t="s">
        <v>648</v>
      </c>
      <c r="E5" s="45" t="s">
        <v>651</v>
      </c>
      <c r="F5" s="64" t="str">
        <f>"\I:Link"</f>
        <v>\I:Link</v>
      </c>
      <c r="G5" s="64" t="str">
        <f ca="1">CONCATENATE("\I:",IEAData2!$D$2," final energy")</f>
        <v>\I:2010 final energy</v>
      </c>
      <c r="H5" s="64" t="str">
        <f ca="1">CONCATENATE("\I:",AuxYear," final energy")</f>
        <v>\I:2017 final energy</v>
      </c>
      <c r="I5" s="45" t="s">
        <v>388</v>
      </c>
      <c r="J5" s="45" t="str">
        <f ca="1">"INPUT~"&amp;AuxYear</f>
        <v>INPUT~2017</v>
      </c>
      <c r="K5" s="45" t="s">
        <v>1073</v>
      </c>
      <c r="L5" s="45" t="s">
        <v>1009</v>
      </c>
      <c r="M5" s="45" t="str">
        <f ca="1">"ACTFLO~ONO~"&amp;AuxYear</f>
        <v>ACTFLO~ONO~2017</v>
      </c>
      <c r="N5" s="45" t="str">
        <f ca="1">"ACTFLO~ONO~"&amp;CEILING(AuxYear+7,5)</f>
        <v>ACTFLO~ONO~2025</v>
      </c>
      <c r="O5" s="45" t="str">
        <f ca="1">"ACTFLO~ONO~"&amp;CEILING(AuxYear+17,5)</f>
        <v>ACTFLO~ONO~2035</v>
      </c>
      <c r="P5" s="45" t="str">
        <f ca="1">"ACTFLO~ONO~"&amp;CEILING(AuxYear+27,5)</f>
        <v>ACTFLO~ONO~2045</v>
      </c>
      <c r="Q5" s="45" t="str">
        <f ca="1">"ACTFLO~ONO~"&amp;BaseYear+50</f>
        <v>ACTFLO~ONO~2060</v>
      </c>
      <c r="R5" s="45" t="s">
        <v>108</v>
      </c>
    </row>
    <row r="6" spans="1:22">
      <c r="B6" s="35" t="s">
        <v>1007</v>
      </c>
      <c r="C6" s="300" t="s">
        <v>150</v>
      </c>
      <c r="D6" s="51" t="s">
        <v>1349</v>
      </c>
      <c r="E6" s="532" t="s">
        <v>151</v>
      </c>
      <c r="F6" s="336">
        <f ca="1">MATCH("IND"&amp;RIGHT($D6,3),Calibration2!$C$3:$T$3,0)</f>
        <v>1</v>
      </c>
      <c r="G6" s="53">
        <f ca="1">INDEX(IEAData2!$B$36:$S$36,$F6)*INDEX(Calibration2!$C$94:$T$94,$F6)</f>
        <v>0</v>
      </c>
      <c r="H6" s="53">
        <f ca="1">INDEX(AuxData2!$B$36:$S$36,$F6)*INDEX(Calibrati22!$C$94:$T$94,$F6)</f>
        <v>0</v>
      </c>
      <c r="I6" s="523">
        <v>1</v>
      </c>
      <c r="J6" s="523">
        <v>1</v>
      </c>
      <c r="K6" s="62">
        <f ca="1">ROUND(G6*L6/(E39+Tiny),3)</f>
        <v>0</v>
      </c>
      <c r="L6" s="62">
        <v>0.9</v>
      </c>
      <c r="M6" s="62">
        <v>0.91</v>
      </c>
      <c r="N6" s="544">
        <f>$M6^(N$2^$L6)</f>
        <v>0.92175341241373965</v>
      </c>
      <c r="O6" s="62"/>
      <c r="P6" s="544">
        <f>$M6^(P$2^$L6)</f>
        <v>0.93800459579143303</v>
      </c>
      <c r="Q6" s="544">
        <f>$M6^(Q$2^$L6)</f>
        <v>0.9507160497308339</v>
      </c>
      <c r="R6" s="55"/>
    </row>
    <row r="7" spans="1:22">
      <c r="B7" s="35" t="s">
        <v>149</v>
      </c>
      <c r="C7" s="300" t="s">
        <v>150</v>
      </c>
      <c r="D7" s="52" t="str">
        <f ca="1">IEAData2!C$38</f>
        <v>INDNGA</v>
      </c>
      <c r="E7" s="386" t="s">
        <v>151</v>
      </c>
      <c r="F7" s="336">
        <f ca="1">MATCH($D7,Calibration2!$C$3:$T$3,0)</f>
        <v>2</v>
      </c>
      <c r="G7" s="53">
        <f ca="1">INDEX(IEAData2!$B$36:$S$36,$F7)*INDEX(Calibration2!$C$94:$T$94,$F7)</f>
        <v>0</v>
      </c>
      <c r="H7" s="53">
        <f ca="1">INDEX(AuxData2!$B$36:$S$36,$F7)*INDEX(Calibrati22!$C$94:$T$94,$F7)</f>
        <v>0</v>
      </c>
      <c r="I7" s="445">
        <f t="shared" ref="I7:I15" si="0">IF($G$16=0,0,G7/G$16)</f>
        <v>0</v>
      </c>
      <c r="J7" s="445">
        <f t="shared" ref="J7:J15" si="1">IF($G$16=0,0,H7/H$16)</f>
        <v>0</v>
      </c>
      <c r="K7" s="544"/>
      <c r="L7" s="544">
        <v>0.8</v>
      </c>
      <c r="M7" s="544">
        <v>0.81</v>
      </c>
      <c r="N7" s="544">
        <f>$M7^(N$2^$L7)</f>
        <v>0.83107904131258092</v>
      </c>
      <c r="O7" s="52"/>
      <c r="P7" s="544">
        <f>$M7^(P$2^$L7)</f>
        <v>0.86131697169893073</v>
      </c>
      <c r="Q7" s="544">
        <f>$M7^(Q$2^$L7)</f>
        <v>0.88600963739272931</v>
      </c>
      <c r="R7" s="55"/>
      <c r="V7" s="3"/>
    </row>
    <row r="8" spans="1:22">
      <c r="B8" s="52"/>
      <c r="C8" s="520"/>
      <c r="D8" s="52" t="str">
        <f ca="1">IEAData2!D$38</f>
        <v>INDLPG</v>
      </c>
      <c r="E8" s="386"/>
      <c r="F8" s="336">
        <f ca="1">MATCH($D8,Calibration2!$C$3:$T$3,0)</f>
        <v>3</v>
      </c>
      <c r="G8" s="53">
        <f ca="1">INDEX(IEAData2!$B$36:$S$36,$F8)*INDEX(Calibration2!$C$94:$T$94,$F8)</f>
        <v>0</v>
      </c>
      <c r="H8" s="53">
        <f ca="1">INDEX(AuxData2!$B$36:$S$36,$F8)*INDEX(Calibrati22!$C$94:$T$94,$F8)</f>
        <v>0</v>
      </c>
      <c r="I8" s="445">
        <f t="shared" si="0"/>
        <v>0</v>
      </c>
      <c r="J8" s="445">
        <f t="shared" si="1"/>
        <v>0</v>
      </c>
      <c r="K8" s="544"/>
      <c r="L8" s="544"/>
      <c r="M8" s="544"/>
      <c r="N8" s="544"/>
      <c r="O8" s="544"/>
      <c r="P8" s="544"/>
      <c r="Q8" s="544"/>
      <c r="R8" s="340">
        <v>3</v>
      </c>
      <c r="V8" s="3"/>
    </row>
    <row r="9" spans="1:22">
      <c r="B9" s="52"/>
      <c r="C9" s="520"/>
      <c r="D9" s="52" t="str">
        <f ca="1">IEAData2!F$38</f>
        <v>INDCOA</v>
      </c>
      <c r="E9" s="386"/>
      <c r="F9" s="336">
        <f ca="1">MATCH($D9,Calibration2!$C$3:$T$3,0)</f>
        <v>5</v>
      </c>
      <c r="G9" s="53">
        <f ca="1">INDEX(IEAData2!$B$36:$S$36,$F9)*INDEX(Calibration2!$C$94:$T$94,$F9)</f>
        <v>0</v>
      </c>
      <c r="H9" s="53">
        <f ca="1">INDEX(AuxData2!$B$36:$S$36,$F9)*INDEX(Calibrati22!$C$94:$T$94,$F9)</f>
        <v>0</v>
      </c>
      <c r="I9" s="445">
        <f t="shared" si="0"/>
        <v>0</v>
      </c>
      <c r="J9" s="445">
        <f t="shared" si="1"/>
        <v>0</v>
      </c>
      <c r="K9" s="544"/>
      <c r="L9" s="544"/>
      <c r="M9" s="544"/>
      <c r="N9" s="544"/>
      <c r="O9" s="544"/>
      <c r="P9" s="544"/>
      <c r="Q9" s="544"/>
      <c r="R9" s="340">
        <v>3</v>
      </c>
      <c r="V9" s="3"/>
    </row>
    <row r="10" spans="1:22">
      <c r="B10" s="52"/>
      <c r="C10" s="520"/>
      <c r="D10" s="52" t="str">
        <f ca="1">IEAData2!K$38</f>
        <v>INDHFO</v>
      </c>
      <c r="E10" s="386"/>
      <c r="F10" s="336">
        <f ca="1">MATCH($D10,Calibration2!$C$3:$T$3,0)</f>
        <v>10</v>
      </c>
      <c r="G10" s="53">
        <f ca="1">INDEX(IEAData2!$B$36:$S$36,$F10)*INDEX(Calibration2!$C$94:$T$94,$F10)</f>
        <v>0</v>
      </c>
      <c r="H10" s="53">
        <f ca="1">INDEX(AuxData2!$B$36:$S$36,$F10)*INDEX(Calibrati22!$C$94:$T$94,$F10)</f>
        <v>0</v>
      </c>
      <c r="I10" s="445">
        <f t="shared" si="0"/>
        <v>0</v>
      </c>
      <c r="J10" s="445">
        <f t="shared" si="1"/>
        <v>0</v>
      </c>
      <c r="K10" s="544"/>
      <c r="L10" s="544"/>
      <c r="M10" s="544"/>
      <c r="N10" s="544"/>
      <c r="O10" s="544"/>
      <c r="P10" s="544"/>
      <c r="Q10" s="544"/>
      <c r="R10" s="340">
        <v>3</v>
      </c>
      <c r="V10" s="3"/>
    </row>
    <row r="11" spans="1:22">
      <c r="B11" s="52"/>
      <c r="C11" s="520"/>
      <c r="D11" s="52" t="s">
        <v>1365</v>
      </c>
      <c r="E11" s="386"/>
      <c r="F11" s="340">
        <f ca="1">MATCH(IF($D11="INDDST","INDOIL",$D11),Calibration2!$C$3:$T$3,0)</f>
        <v>11</v>
      </c>
      <c r="G11" s="53">
        <f ca="1">INDEX(IEAData2!$B$36:$S$36,$F11)*INDEX(Calibration2!$C$94:$T$94,$F11)</f>
        <v>0</v>
      </c>
      <c r="H11" s="53">
        <f ca="1">INDEX(AuxData2!$B$36:$S$36,$F11)*INDEX(Calibrati22!$C$94:$T$94,$F11)</f>
        <v>0</v>
      </c>
      <c r="I11" s="445">
        <f t="shared" si="0"/>
        <v>0</v>
      </c>
      <c r="J11" s="445">
        <f t="shared" si="1"/>
        <v>0</v>
      </c>
      <c r="K11" s="544"/>
      <c r="L11" s="544"/>
      <c r="M11" s="544"/>
      <c r="N11" s="544"/>
      <c r="O11" s="544"/>
      <c r="P11" s="544"/>
      <c r="Q11" s="544"/>
      <c r="R11" s="340">
        <v>3</v>
      </c>
      <c r="V11" s="3"/>
    </row>
    <row r="12" spans="1:22">
      <c r="B12" s="52"/>
      <c r="C12" s="520"/>
      <c r="D12" s="52" t="str">
        <f ca="1">IEAData2!M$38</f>
        <v>INDETH</v>
      </c>
      <c r="E12" s="386"/>
      <c r="F12" s="336">
        <f ca="1">MATCH($D12,Calibration2!$C$3:$T$3,0)</f>
        <v>12</v>
      </c>
      <c r="G12" s="53">
        <f ca="1">INDEX(IEAData2!$B$36:$S$36,$F12)*INDEX(Calibration2!$C$94:$T$94,$F12)</f>
        <v>0</v>
      </c>
      <c r="H12" s="53">
        <f ca="1">INDEX(AuxData2!$B$36:$S$36,$F12)*INDEX(Calibrati22!$C$94:$T$94,$F12)</f>
        <v>0</v>
      </c>
      <c r="I12" s="445">
        <f t="shared" si="0"/>
        <v>0</v>
      </c>
      <c r="J12" s="445">
        <f t="shared" si="1"/>
        <v>0</v>
      </c>
      <c r="K12" s="544"/>
      <c r="L12" s="544"/>
      <c r="M12" s="544"/>
      <c r="N12" s="544"/>
      <c r="O12" s="544"/>
      <c r="P12" s="544"/>
      <c r="Q12" s="544"/>
      <c r="R12" s="340">
        <v>3</v>
      </c>
      <c r="V12" s="3"/>
    </row>
    <row r="13" spans="1:22">
      <c r="B13" s="52"/>
      <c r="C13" s="520"/>
      <c r="D13" s="52" t="str">
        <f ca="1">IEAData2!N$38</f>
        <v>INDNAP</v>
      </c>
      <c r="E13" s="386"/>
      <c r="F13" s="336">
        <f ca="1">MATCH($D13,Calibration2!$C$3:$T$3,0)</f>
        <v>13</v>
      </c>
      <c r="G13" s="53">
        <f ca="1">INDEX(IEAData2!$B$36:$S$36,$F13)*INDEX(Calibration2!$C$94:$T$94,$F13)</f>
        <v>0</v>
      </c>
      <c r="H13" s="53">
        <f ca="1">INDEX(AuxData2!$B$36:$S$36,$F13)*INDEX(Calibrati22!$C$94:$T$94,$F13)</f>
        <v>0</v>
      </c>
      <c r="I13" s="445">
        <f t="shared" si="0"/>
        <v>0</v>
      </c>
      <c r="J13" s="445">
        <f t="shared" si="1"/>
        <v>0</v>
      </c>
      <c r="K13" s="544"/>
      <c r="L13" s="544"/>
      <c r="M13" s="544"/>
      <c r="N13" s="544"/>
      <c r="O13" s="544"/>
      <c r="P13" s="544"/>
      <c r="Q13" s="544"/>
      <c r="R13" s="340">
        <v>3</v>
      </c>
      <c r="V13" s="3"/>
    </row>
    <row r="14" spans="1:22">
      <c r="B14" s="52"/>
      <c r="C14" s="520"/>
      <c r="D14" s="52" t="str">
        <f ca="1">IEAData2!O$38</f>
        <v>INDPTC</v>
      </c>
      <c r="E14" s="386"/>
      <c r="F14" s="336">
        <f ca="1">MATCH($D14,Calibration2!$C$3:$T$3,0)</f>
        <v>14</v>
      </c>
      <c r="G14" s="53">
        <f ca="1">INDEX(IEAData2!$B$36:$S$36,$F14)*INDEX(Calibration2!$C$94:$T$94,$F14)</f>
        <v>0</v>
      </c>
      <c r="H14" s="53">
        <f ca="1">INDEX(AuxData2!$B$36:$S$36,$F14)*INDEX(Calibrati22!$C$94:$T$94,$F14)</f>
        <v>0</v>
      </c>
      <c r="I14" s="445">
        <f t="shared" si="0"/>
        <v>0</v>
      </c>
      <c r="J14" s="445">
        <f t="shared" si="1"/>
        <v>0</v>
      </c>
      <c r="K14" s="544"/>
      <c r="L14" s="544"/>
      <c r="M14" s="544"/>
      <c r="N14" s="544"/>
      <c r="O14" s="544"/>
      <c r="P14" s="544"/>
      <c r="Q14" s="544"/>
      <c r="R14" s="340">
        <v>3</v>
      </c>
      <c r="V14" s="3"/>
    </row>
    <row r="15" spans="1:22">
      <c r="B15" s="52"/>
      <c r="C15" s="520"/>
      <c r="D15" s="52" t="str">
        <f ca="1">IEAData2!P$38</f>
        <v>INDBIO</v>
      </c>
      <c r="E15" s="386"/>
      <c r="F15" s="336">
        <f ca="1">MATCH($D15,Calibration2!$C$3:$T$3,0)</f>
        <v>15</v>
      </c>
      <c r="G15" s="53">
        <f ca="1">INDEX(IEAData2!$B$36:$S$36,$F15)*INDEX(Calibration2!$C$94:$T$94,$F15)</f>
        <v>0</v>
      </c>
      <c r="H15" s="53">
        <f ca="1">INDEX(AuxData2!$B$36:$S$36,$F15)*INDEX(Calibrati22!$C$94:$T$94,$F15)</f>
        <v>0</v>
      </c>
      <c r="I15" s="445">
        <f t="shared" si="0"/>
        <v>0</v>
      </c>
      <c r="J15" s="445">
        <f t="shared" si="1"/>
        <v>0</v>
      </c>
      <c r="K15" s="544"/>
      <c r="L15" s="544"/>
      <c r="M15" s="544"/>
      <c r="N15" s="544"/>
      <c r="O15" s="544"/>
      <c r="P15" s="544"/>
      <c r="Q15" s="544"/>
      <c r="R15" s="340">
        <v>3</v>
      </c>
      <c r="V15" s="3"/>
    </row>
    <row r="16" spans="1:22" ht="13.5" thickBot="1">
      <c r="B16" s="369" t="s">
        <v>902</v>
      </c>
      <c r="C16" s="534"/>
      <c r="D16" s="370"/>
      <c r="E16" s="533"/>
      <c r="F16" s="371"/>
      <c r="G16" s="372">
        <f>SUM(G7:G15)</f>
        <v>0</v>
      </c>
      <c r="H16" s="372">
        <f>SUM(H7:H15)</f>
        <v>0</v>
      </c>
      <c r="I16" s="371">
        <f>SUM(I7:I15)</f>
        <v>0</v>
      </c>
      <c r="J16" s="371">
        <f>SUM(J7:J15)</f>
        <v>0</v>
      </c>
      <c r="K16" s="370"/>
      <c r="L16" s="371">
        <f>G6*L6+SUM(G7:G15)*L7</f>
        <v>0</v>
      </c>
      <c r="M16" s="371">
        <f>H6*M6+SUM(H7:H15)*M7</f>
        <v>0</v>
      </c>
      <c r="N16" s="370"/>
      <c r="O16" s="370"/>
      <c r="P16" s="370"/>
      <c r="Q16" s="370"/>
      <c r="R16" s="370"/>
    </row>
    <row r="17" spans="1:22" ht="15">
      <c r="C17" s="33"/>
      <c r="L17" s="67"/>
    </row>
    <row r="18" spans="1:22">
      <c r="C18" s="33"/>
    </row>
    <row r="19" spans="1:22">
      <c r="C19" s="33"/>
    </row>
    <row r="20" spans="1:22" ht="18">
      <c r="A20" s="175" t="s">
        <v>23</v>
      </c>
      <c r="B20" s="5"/>
      <c r="C20" s="535"/>
      <c r="P20" s="310" t="s">
        <v>855</v>
      </c>
    </row>
    <row r="21" spans="1:22" ht="14.25" customHeight="1">
      <c r="A21" s="5"/>
      <c r="C21" s="33"/>
      <c r="F21" s="231"/>
      <c r="G21" s="7"/>
      <c r="P21" s="311">
        <v>0.99</v>
      </c>
      <c r="T21">
        <v>0.2</v>
      </c>
      <c r="U21">
        <v>0.2</v>
      </c>
      <c r="V21">
        <v>0.2</v>
      </c>
    </row>
    <row r="22" spans="1:22" ht="14.25" customHeight="1">
      <c r="A22" s="5"/>
      <c r="B22" s="10"/>
      <c r="C22" s="11"/>
      <c r="F22" s="231"/>
    </row>
    <row r="23" spans="1:22" ht="18">
      <c r="A23" s="5"/>
      <c r="B23" s="86" t="s">
        <v>91</v>
      </c>
      <c r="C23" s="536"/>
      <c r="F23" s="225" t="str">
        <f>"~FI_T: "&amp;Region</f>
        <v>~FI_T: FIM</v>
      </c>
    </row>
    <row r="24" spans="1:22" ht="39" thickBot="1">
      <c r="A24" s="6"/>
      <c r="B24" s="45" t="s">
        <v>649</v>
      </c>
      <c r="C24" s="481" t="s">
        <v>650</v>
      </c>
      <c r="D24" s="45" t="s">
        <v>648</v>
      </c>
      <c r="E24" s="45" t="s">
        <v>651</v>
      </c>
      <c r="F24" s="45" t="s">
        <v>139</v>
      </c>
      <c r="G24" s="64" t="str">
        <f ca="1">CONCATENATE("\I:",IEAData2!$D$2," final energy")</f>
        <v>\I:2010 final energy</v>
      </c>
      <c r="H24" s="64" t="str">
        <f ca="1">CONCATENATE("\I:",AuxYear," final energy")</f>
        <v>\I:2017 final energy</v>
      </c>
      <c r="I24" s="45" t="str">
        <f ca="1">"EFF~"&amp;AuxYear</f>
        <v>EFF~2017</v>
      </c>
      <c r="J24" s="45" t="s">
        <v>849</v>
      </c>
      <c r="K24" s="45" t="s">
        <v>827</v>
      </c>
      <c r="L24" s="45" t="str">
        <f ca="1">"Share~LO~"&amp;AuxYear</f>
        <v>Share~LO~2017</v>
      </c>
      <c r="M24" s="45" t="str">
        <f ca="1">"Share~LO~"&amp;CEILING(AuxYear+7,5)</f>
        <v>Share~LO~2025</v>
      </c>
      <c r="N24" s="45" t="str">
        <f ca="1">"Share~LO~"&amp;CEILING(AuxYear+17,5)</f>
        <v>Share~LO~2035</v>
      </c>
      <c r="O24" s="45" t="s">
        <v>828</v>
      </c>
      <c r="P24" s="45" t="s">
        <v>854</v>
      </c>
      <c r="Q24" s="45" t="str">
        <f ca="1">"EFF~"&amp;CEILING(AuxYear+12,5)</f>
        <v>EFF~2030</v>
      </c>
      <c r="R24" s="45" t="s">
        <v>551</v>
      </c>
      <c r="S24" s="45" t="s">
        <v>499</v>
      </c>
      <c r="T24" s="45" t="s">
        <v>851</v>
      </c>
      <c r="U24" s="45" t="s">
        <v>852</v>
      </c>
      <c r="V24" s="45" t="s">
        <v>853</v>
      </c>
    </row>
    <row r="25" spans="1:22">
      <c r="B25" s="267" t="s">
        <v>22</v>
      </c>
      <c r="C25" s="459" t="s">
        <v>24</v>
      </c>
      <c r="D25" s="52" t="str">
        <f ca="1">IEAData2!$F$24</f>
        <v>COAHCO</v>
      </c>
      <c r="E25" s="386" t="s">
        <v>21</v>
      </c>
      <c r="F25" s="52" t="s">
        <v>952</v>
      </c>
      <c r="G25" s="53">
        <f ca="1">IEAData2!$F$22+IEAData2!$F$23</f>
        <v>0</v>
      </c>
      <c r="H25" s="53">
        <f ca="1">AuxData2!$F$22+AuxData2!$F$23</f>
        <v>0</v>
      </c>
      <c r="I25" s="62">
        <v>1</v>
      </c>
      <c r="J25" s="62">
        <v>1</v>
      </c>
      <c r="K25" s="542">
        <f t="shared" ref="K25:L32" si="2">IF(G$33=0,0,FLOOR(G25/G$33,0.002))</f>
        <v>0</v>
      </c>
      <c r="L25" s="542">
        <f t="shared" si="2"/>
        <v>0</v>
      </c>
      <c r="M25" s="542">
        <f>FLOOR($L25*$P$21^(RIGHT(M$24,4)-RIGHT(L$24,4)),0.002)</f>
        <v>0</v>
      </c>
      <c r="N25" s="542">
        <f>FLOOR($L25*$P$21^(RIGHT(N$24,4)-RIGHT(M$24,4)),0.002)</f>
        <v>0</v>
      </c>
      <c r="O25" s="56"/>
      <c r="P25" s="56">
        <f t="shared" ref="P25:P32" si="3">FLOOR($L25*$P$21^(RIGHT(P$24,4)-RIGHT(O$24,4)),0.002)</f>
        <v>0</v>
      </c>
      <c r="Q25" s="55"/>
      <c r="R25" s="55"/>
      <c r="S25" s="55"/>
      <c r="T25" s="345">
        <f ca="1">VLOOKUP($D25,IND_Emi2!$A$4:$F$47,2,0)*T$21</f>
        <v>18.919999999999998</v>
      </c>
      <c r="U25" s="345">
        <f ca="1">VLOOKUP($D25,IND_Emi2!$A$4:$F$47,3,0)*U$21</f>
        <v>0.2</v>
      </c>
      <c r="V25" s="345">
        <f ca="1">VLOOKUP($D25,IND_Emi2!$A$4:$F$47,4,0)*V$21</f>
        <v>0.60000000000000009</v>
      </c>
    </row>
    <row r="26" spans="1:22">
      <c r="A26" s="15"/>
      <c r="B26" s="52"/>
      <c r="C26" s="520"/>
      <c r="D26" s="52" t="str">
        <f ca="1">IEAData2!$H$24</f>
        <v>COAOVC</v>
      </c>
      <c r="E26" s="52"/>
      <c r="F26" s="52" t="s">
        <v>954</v>
      </c>
      <c r="G26" s="53">
        <f ca="1">IEAData2!$H$22+IEAData2!$H$23</f>
        <v>0</v>
      </c>
      <c r="H26" s="53">
        <f ca="1">AuxData2!$H$22+AuxData2!$H$23</f>
        <v>0</v>
      </c>
      <c r="I26" s="544"/>
      <c r="J26" s="544"/>
      <c r="K26" s="542">
        <f t="shared" si="2"/>
        <v>0</v>
      </c>
      <c r="L26" s="542">
        <f t="shared" si="2"/>
        <v>0</v>
      </c>
      <c r="M26" s="542">
        <f>FLOOR($L26*$P$21^(RIGHT(M$24,4)-RIGHT(L$24,4)),0.002)</f>
        <v>0</v>
      </c>
      <c r="N26" s="542">
        <f>FLOOR($L26*$P$21^(RIGHT(N$24,4)-RIGHT(M$24,4)),0.002)</f>
        <v>0</v>
      </c>
      <c r="O26" s="57"/>
      <c r="P26" s="57">
        <f t="shared" si="3"/>
        <v>0</v>
      </c>
      <c r="Q26" s="55"/>
      <c r="R26" s="55"/>
      <c r="S26" s="55"/>
      <c r="T26" s="345">
        <f ca="1">VLOOKUP($D26,IND_Emi2!$A$4:$F$47,2,0)*T$21</f>
        <v>20.972000000000001</v>
      </c>
      <c r="U26" s="345">
        <f ca="1">VLOOKUP($D26,IND_Emi2!$A$4:$F$47,3,0)*U$21</f>
        <v>0.2</v>
      </c>
      <c r="V26" s="345">
        <f ca="1">VLOOKUP($D26,IND_Emi2!$A$4:$F$47,4,0)*V$21</f>
        <v>0.60000000000000009</v>
      </c>
    </row>
    <row r="27" spans="1:22">
      <c r="B27" s="52"/>
      <c r="C27" s="520"/>
      <c r="D27" s="52" t="str">
        <f ca="1">IEAData2!$T$24</f>
        <v>OILNSP</v>
      </c>
      <c r="E27" s="52"/>
      <c r="F27" s="52" t="s">
        <v>839</v>
      </c>
      <c r="G27" s="53">
        <f ca="1">IEAData2!$T$22+IEAData2!$T$23</f>
        <v>0</v>
      </c>
      <c r="H27" s="53">
        <f ca="1">AuxData2!$T$22+AuxData2!$T$23</f>
        <v>0</v>
      </c>
      <c r="I27" s="544"/>
      <c r="J27" s="544"/>
      <c r="K27" s="542">
        <f t="shared" si="2"/>
        <v>0</v>
      </c>
      <c r="L27" s="542">
        <f t="shared" si="2"/>
        <v>0</v>
      </c>
      <c r="M27" s="542">
        <f t="shared" ref="M27:M32" si="4">FLOOR($L27*$P$21^(RIGHT(M$24,4)-RIGHT(L$24,4)),0.002)</f>
        <v>0</v>
      </c>
      <c r="N27" s="542">
        <f>M27*$P$21^2</f>
        <v>0</v>
      </c>
      <c r="O27" s="57"/>
      <c r="P27" s="57">
        <f t="shared" si="3"/>
        <v>0</v>
      </c>
      <c r="Q27" s="55"/>
      <c r="R27" s="55"/>
      <c r="S27" s="55"/>
      <c r="T27" s="345">
        <f ca="1">VLOOKUP($D27,IND_Emi2!$A$4:$F$47,2,0)*T$21</f>
        <v>14.66</v>
      </c>
      <c r="U27" s="345">
        <f ca="1">VLOOKUP($D27,IND_Emi2!$A$4:$F$47,3,0)*U$21</f>
        <v>3.1160737470786799E-2</v>
      </c>
      <c r="V27" s="345">
        <f ca="1">VLOOKUP($D27,IND_Emi2!$A$4:$F$47,4,0)*V$21</f>
        <v>6.7514931186704805E-2</v>
      </c>
    </row>
    <row r="28" spans="1:22">
      <c r="B28" s="52"/>
      <c r="C28" s="520"/>
      <c r="D28" s="52" t="str">
        <f ca="1">IEAData2!$W$24</f>
        <v>OILPTC</v>
      </c>
      <c r="E28" s="52"/>
      <c r="F28" s="52" t="s">
        <v>842</v>
      </c>
      <c r="G28" s="53">
        <f ca="1">IEAData2!$W$22+IEAData2!$W$23</f>
        <v>0</v>
      </c>
      <c r="H28" s="53">
        <f ca="1">AuxData2!$W$22+AuxData2!$W$23</f>
        <v>0</v>
      </c>
      <c r="I28" s="544"/>
      <c r="J28" s="544"/>
      <c r="K28" s="542">
        <f t="shared" si="2"/>
        <v>0</v>
      </c>
      <c r="L28" s="542">
        <f t="shared" si="2"/>
        <v>0</v>
      </c>
      <c r="M28" s="542">
        <f t="shared" si="4"/>
        <v>0</v>
      </c>
      <c r="N28" s="542">
        <f>FLOOR($L28*$P$21^(RIGHT(N$24,4)-RIGHT(M$24,4)),0.002)</f>
        <v>0</v>
      </c>
      <c r="O28" s="57"/>
      <c r="P28" s="57">
        <f t="shared" si="3"/>
        <v>0</v>
      </c>
      <c r="Q28" s="55"/>
      <c r="R28" s="55"/>
      <c r="S28" s="55"/>
      <c r="T28" s="345">
        <f ca="1">VLOOKUP($D28,IND_Emi2!$A$4:$F$47,2,0)*T$21</f>
        <v>19.5</v>
      </c>
      <c r="U28" s="345">
        <f ca="1">VLOOKUP($D28,IND_Emi2!$A$4:$F$47,3,0)*U$21</f>
        <v>0.2</v>
      </c>
      <c r="V28" s="345">
        <f ca="1">VLOOKUP($D28,IND_Emi2!$A$4:$F$47,4,0)*V$21</f>
        <v>0.36101083032490999</v>
      </c>
    </row>
    <row r="29" spans="1:22">
      <c r="B29" s="52"/>
      <c r="C29" s="520"/>
      <c r="D29" s="52" t="str">
        <f ca="1">IEAData2!$AG$24</f>
        <v>OILWSP</v>
      </c>
      <c r="E29" s="52"/>
      <c r="F29" s="52" t="s">
        <v>310</v>
      </c>
      <c r="G29" s="53">
        <f ca="1">IEAData2!$AG$22+IEAData2!$AG$23</f>
        <v>0</v>
      </c>
      <c r="H29" s="53">
        <f ca="1">AuxData2!$AG$22+AuxData2!$AG$23</f>
        <v>0</v>
      </c>
      <c r="I29" s="544"/>
      <c r="J29" s="544"/>
      <c r="K29" s="542">
        <f t="shared" si="2"/>
        <v>0</v>
      </c>
      <c r="L29" s="542">
        <f t="shared" si="2"/>
        <v>0</v>
      </c>
      <c r="M29" s="542">
        <f t="shared" si="4"/>
        <v>0</v>
      </c>
      <c r="N29" s="542">
        <f>FLOOR($L29*$P$21^(RIGHT(N$24,4)-RIGHT(M$24,4)),0.002)</f>
        <v>0</v>
      </c>
      <c r="O29" s="57"/>
      <c r="P29" s="57">
        <f t="shared" si="3"/>
        <v>0</v>
      </c>
      <c r="Q29" s="55"/>
      <c r="R29" s="55"/>
      <c r="S29" s="55"/>
      <c r="T29" s="345">
        <f ca="1">VLOOKUP($D29,IND_Emi2!$A$4:$F$47,2,0)*T$21</f>
        <v>14.66</v>
      </c>
      <c r="U29" s="345">
        <f ca="1">VLOOKUP($D29,IND_Emi2!$A$4:$F$47,3,0)*U$21</f>
        <v>0.60000000000000009</v>
      </c>
      <c r="V29" s="345">
        <f ca="1">VLOOKUP($D29,IND_Emi2!$A$4:$F$47,4,0)*V$21</f>
        <v>0.67200000000000004</v>
      </c>
    </row>
    <row r="30" spans="1:22">
      <c r="B30" s="52"/>
      <c r="C30" s="520"/>
      <c r="D30" s="52" t="str">
        <f ca="1">IEAData2!$AH$24</f>
        <v>OILLUB</v>
      </c>
      <c r="E30" s="52"/>
      <c r="F30" s="52" t="s">
        <v>311</v>
      </c>
      <c r="G30" s="53">
        <f ca="1">IEAData2!$AH$22+IEAData2!$AH$23</f>
        <v>0</v>
      </c>
      <c r="H30" s="53">
        <f ca="1">AuxData2!$AH$22+AuxData2!$AH$23</f>
        <v>0</v>
      </c>
      <c r="I30" s="544"/>
      <c r="J30" s="544"/>
      <c r="K30" s="542">
        <f t="shared" si="2"/>
        <v>0</v>
      </c>
      <c r="L30" s="542">
        <f t="shared" si="2"/>
        <v>0</v>
      </c>
      <c r="M30" s="542">
        <f t="shared" si="4"/>
        <v>0</v>
      </c>
      <c r="N30" s="542">
        <f>FLOOR($L30*$P$21^(RIGHT(N$24,4)-RIGHT(M$24,4)),0.002)</f>
        <v>0</v>
      </c>
      <c r="O30" s="57"/>
      <c r="P30" s="57">
        <f t="shared" si="3"/>
        <v>0</v>
      </c>
      <c r="Q30" s="55"/>
      <c r="R30" s="55"/>
      <c r="S30" s="55"/>
      <c r="T30" s="345">
        <f ca="1">VLOOKUP($D30,IND_Emi2!$A$4:$F$47,2,0)*T$21</f>
        <v>7.41</v>
      </c>
      <c r="U30" s="345">
        <f ca="1">VLOOKUP($D30,IND_Emi2!$A$4:$F$47,3,0)*U$21</f>
        <v>0.60000000000000009</v>
      </c>
      <c r="V30" s="345">
        <f ca="1">VLOOKUP($D30,IND_Emi2!$A$4:$F$47,4,0)*V$21</f>
        <v>0.67200000000000004</v>
      </c>
    </row>
    <row r="31" spans="1:22">
      <c r="B31" s="52"/>
      <c r="C31" s="520"/>
      <c r="D31" s="52" t="str">
        <f ca="1">IEAData2!$AI$24</f>
        <v>OILASP</v>
      </c>
      <c r="E31" s="52"/>
      <c r="F31" s="52" t="s">
        <v>312</v>
      </c>
      <c r="G31" s="53">
        <f ca="1">IEAData2!$AI$22+IEAData2!$AI$23</f>
        <v>0</v>
      </c>
      <c r="H31" s="53">
        <f ca="1">AuxData2!$AI$22+AuxData2!$AI$23</f>
        <v>0</v>
      </c>
      <c r="I31" s="544"/>
      <c r="J31" s="544"/>
      <c r="K31" s="542">
        <f t="shared" si="2"/>
        <v>0</v>
      </c>
      <c r="L31" s="542">
        <f t="shared" si="2"/>
        <v>0</v>
      </c>
      <c r="M31" s="542">
        <f t="shared" si="4"/>
        <v>0</v>
      </c>
      <c r="N31" s="542">
        <f>FLOOR($L31*$P$21^(RIGHT(N$24,4)-RIGHT(M$24,4)),0.002)</f>
        <v>0</v>
      </c>
      <c r="O31" s="57"/>
      <c r="P31" s="57">
        <f t="shared" si="3"/>
        <v>0</v>
      </c>
      <c r="Q31" s="55"/>
      <c r="R31" s="55"/>
      <c r="S31" s="55"/>
      <c r="T31" s="345">
        <f ca="1">VLOOKUP($D31,IND_Emi2!$A$4:$F$47,2,0)*T$21</f>
        <v>0</v>
      </c>
      <c r="U31" s="345">
        <f ca="1">VLOOKUP($D31,IND_Emi2!$A$4:$F$47,3,0)*U$21</f>
        <v>0.60000000000000009</v>
      </c>
      <c r="V31" s="345">
        <f ca="1">VLOOKUP($D31,IND_Emi2!$A$4:$F$47,4,0)*V$21</f>
        <v>0.67200000000000004</v>
      </c>
    </row>
    <row r="32" spans="1:22">
      <c r="B32" s="52"/>
      <c r="C32" s="520"/>
      <c r="D32" s="52" t="str">
        <f ca="1">IEAData2!$AJ$24</f>
        <v>OILWAX</v>
      </c>
      <c r="E32" s="52"/>
      <c r="F32" s="52" t="s">
        <v>313</v>
      </c>
      <c r="G32" s="53">
        <f ca="1">IEAData2!$AJ$22+IEAData2!$AJ$23</f>
        <v>0</v>
      </c>
      <c r="H32" s="53">
        <f ca="1">AuxData2!$AJ$22+AuxData2!$AJ$23</f>
        <v>0</v>
      </c>
      <c r="I32" s="544"/>
      <c r="J32" s="544"/>
      <c r="K32" s="542">
        <f t="shared" si="2"/>
        <v>0</v>
      </c>
      <c r="L32" s="542">
        <f t="shared" si="2"/>
        <v>0</v>
      </c>
      <c r="M32" s="542">
        <f t="shared" si="4"/>
        <v>0</v>
      </c>
      <c r="N32" s="542">
        <f>FLOOR($L32*$P$21^(RIGHT(N$24,4)-RIGHT(M$24,4)),0.002)</f>
        <v>0</v>
      </c>
      <c r="O32" s="57"/>
      <c r="P32" s="57">
        <f t="shared" si="3"/>
        <v>0</v>
      </c>
      <c r="Q32" s="55"/>
      <c r="R32" s="55"/>
      <c r="S32" s="55"/>
      <c r="T32" s="345">
        <f ca="1">VLOOKUP($D32,IND_Emi2!$A$4:$F$47,2,0)*T$21</f>
        <v>16.14</v>
      </c>
      <c r="U32" s="345">
        <f ca="1">VLOOKUP($D32,IND_Emi2!$A$4:$F$47,3,0)*U$21</f>
        <v>0.60000000000000009</v>
      </c>
      <c r="V32" s="345">
        <f ca="1">VLOOKUP($D32,IND_Emi2!$A$4:$F$47,4,0)*V$21</f>
        <v>0.67200000000000004</v>
      </c>
    </row>
    <row r="33" spans="2:22">
      <c r="B33" s="192" t="s">
        <v>902</v>
      </c>
      <c r="C33" s="537"/>
      <c r="D33" s="198"/>
      <c r="E33" s="198"/>
      <c r="F33" s="198"/>
      <c r="G33" s="199">
        <f>SUM(G25:G32)</f>
        <v>0</v>
      </c>
      <c r="H33" s="199">
        <f>SUM(H25:H32)</f>
        <v>0</v>
      </c>
      <c r="I33" s="199"/>
      <c r="J33" s="200"/>
      <c r="K33" s="199">
        <f>SUM(K25:K32)</f>
        <v>0</v>
      </c>
      <c r="L33" s="199">
        <f>SUM(L25:L32)</f>
        <v>0</v>
      </c>
      <c r="M33" s="199">
        <f>SUM(M25:M32)</f>
        <v>0</v>
      </c>
      <c r="N33" s="199">
        <f>SUM(N25:N32)</f>
        <v>0</v>
      </c>
      <c r="O33" s="198"/>
      <c r="P33" s="199">
        <f>SUM(P25:P32)</f>
        <v>0</v>
      </c>
      <c r="Q33" s="198"/>
      <c r="R33" s="198"/>
      <c r="S33" s="198"/>
      <c r="T33" s="309">
        <f>SUMPRODUCT(T25:T32,$H$25:$H$32)</f>
        <v>0</v>
      </c>
      <c r="U33" s="309">
        <f>SUMPRODUCT(U25:U32,$H$25:$H$32)</f>
        <v>0</v>
      </c>
      <c r="V33" s="309">
        <f>SUMPRODUCT(V25:V32,$H$25:$H$32)</f>
        <v>0</v>
      </c>
    </row>
    <row r="34" spans="2:22" ht="15">
      <c r="C34" s="33"/>
      <c r="G34" s="67"/>
    </row>
    <row r="35" spans="2:22">
      <c r="C35" s="33"/>
      <c r="D35" s="216"/>
    </row>
    <row r="37" spans="2:22" ht="18">
      <c r="B37" s="124" t="s">
        <v>89</v>
      </c>
      <c r="C37" s="538"/>
      <c r="D37" s="225"/>
    </row>
    <row r="38" spans="2:22" ht="26.25" thickBot="1">
      <c r="B38" s="26" t="s">
        <v>772</v>
      </c>
      <c r="C38" s="510" t="s">
        <v>773</v>
      </c>
      <c r="D38" s="25" t="s">
        <v>778</v>
      </c>
      <c r="E38" s="25" t="s">
        <v>1083</v>
      </c>
      <c r="F38" s="25" t="str">
        <f ca="1">"DEMAND~"&amp;AuxYear</f>
        <v>DEMAND~2017</v>
      </c>
      <c r="G38" s="25"/>
      <c r="H38" s="25"/>
    </row>
    <row r="39" spans="2:22">
      <c r="B39" s="148" t="s">
        <v>151</v>
      </c>
      <c r="C39" s="300" t="s">
        <v>150</v>
      </c>
      <c r="D39" s="27" t="s">
        <v>783</v>
      </c>
      <c r="E39" s="174">
        <f>F39</f>
        <v>0</v>
      </c>
      <c r="F39" s="174">
        <f>M16</f>
        <v>0</v>
      </c>
      <c r="G39" s="12"/>
      <c r="H39" s="12"/>
    </row>
    <row r="40" spans="2:22">
      <c r="B40" s="176" t="s">
        <v>21</v>
      </c>
      <c r="C40" s="459" t="s">
        <v>24</v>
      </c>
      <c r="D40" s="27" t="s">
        <v>783</v>
      </c>
      <c r="E40" s="174">
        <f>F40</f>
        <v>0</v>
      </c>
      <c r="F40" s="174">
        <f>H33</f>
        <v>0</v>
      </c>
      <c r="G40" s="12"/>
      <c r="H40" s="12"/>
    </row>
  </sheetData>
  <phoneticPr fontId="25" type="noConversion"/>
  <pageMargins left="0.75" right="0.75" top="1" bottom="1" header="0.5" footer="0.5"/>
  <headerFooter alignWithMargins="0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17"/>
  <dimension ref="A1:V59"/>
  <sheetViews>
    <sheetView zoomScale="75" workbookViewId="0">
      <selection activeCell="D1" sqref="D1"/>
    </sheetView>
  </sheetViews>
  <sheetFormatPr defaultColWidth="8.85546875" defaultRowHeight="12.75"/>
  <cols>
    <col min="1" max="2" width="8.85546875" customWidth="1"/>
    <col min="3" max="3" width="14.7109375" customWidth="1"/>
    <col min="4" max="4" width="17.5703125" customWidth="1"/>
    <col min="5" max="5" width="15.85546875" customWidth="1"/>
    <col min="6" max="6" width="8.85546875" customWidth="1"/>
    <col min="7" max="7" width="9.140625" customWidth="1"/>
    <col min="8" max="8" width="8.7109375" customWidth="1"/>
    <col min="9" max="10" width="8.85546875" customWidth="1"/>
    <col min="11" max="14" width="9.5703125" bestFit="1" customWidth="1"/>
    <col min="15" max="15" width="9.7109375" customWidth="1"/>
    <col min="16" max="17" width="8.85546875" customWidth="1"/>
    <col min="18" max="18" width="9.5703125" bestFit="1" customWidth="1"/>
    <col min="19" max="19" width="31" customWidth="1"/>
  </cols>
  <sheetData>
    <row r="1" spans="3:19">
      <c r="C1" s="781" t="s">
        <v>1510</v>
      </c>
      <c r="D1" s="459">
        <f ca="1">IF(RIGHT(CELL("FILENAME",$A$1),1)="2",2,T(0))</f>
        <v>2</v>
      </c>
      <c r="K1" s="35"/>
      <c r="L1" s="35"/>
      <c r="M1" s="314" t="s">
        <v>856</v>
      </c>
      <c r="N1" s="315">
        <v>0.5</v>
      </c>
    </row>
    <row r="2" spans="3:19">
      <c r="K2" s="35"/>
      <c r="L2" s="35"/>
      <c r="M2" s="314" t="s">
        <v>858</v>
      </c>
      <c r="N2" s="315">
        <v>0.99</v>
      </c>
    </row>
    <row r="4" spans="3:19" ht="18">
      <c r="C4" s="122" t="s">
        <v>27</v>
      </c>
      <c r="D4" s="86"/>
      <c r="E4" s="86"/>
      <c r="F4" s="216" t="str">
        <f>"~FI_T: PRC_MARK~"&amp;Region</f>
        <v>~FI_T: PRC_MARK~FIM</v>
      </c>
    </row>
    <row r="5" spans="3:19" ht="23.25" thickBot="1">
      <c r="C5" s="312" t="s">
        <v>649</v>
      </c>
      <c r="D5" s="312" t="s">
        <v>772</v>
      </c>
      <c r="E5" s="312" t="s">
        <v>139</v>
      </c>
      <c r="F5" s="312" t="s">
        <v>724</v>
      </c>
      <c r="G5" s="312" t="str">
        <f ca="1">"\I: "&amp;AuxYear</f>
        <v>\I: 2017</v>
      </c>
      <c r="H5" s="312">
        <v>0</v>
      </c>
      <c r="I5" s="312">
        <f ca="1">BaseYear</f>
        <v>2010</v>
      </c>
      <c r="J5" s="312">
        <f ca="1">AuxYear</f>
        <v>2017</v>
      </c>
      <c r="K5" s="312">
        <f ca="1">CEILING(AuxYear+2,5)</f>
        <v>2020</v>
      </c>
      <c r="L5" s="312">
        <f ca="1">CEILING(AuxYear+12,5)</f>
        <v>2030</v>
      </c>
      <c r="M5" s="312">
        <f ca="1">CEILING(AuxYear+22,5)</f>
        <v>2040</v>
      </c>
      <c r="N5" s="312">
        <f ca="1">CEILING(AuxYear+32,5)</f>
        <v>2050</v>
      </c>
      <c r="O5" s="312">
        <v>2070</v>
      </c>
      <c r="P5" s="312">
        <v>2100</v>
      </c>
      <c r="Q5" s="313" t="s">
        <v>26</v>
      </c>
      <c r="R5" s="589" t="s">
        <v>25</v>
      </c>
      <c r="S5" s="594" t="s">
        <v>575</v>
      </c>
    </row>
    <row r="6" spans="3:19">
      <c r="C6" s="192" t="s">
        <v>857</v>
      </c>
      <c r="D6" s="192"/>
      <c r="E6" s="192"/>
      <c r="F6" s="192"/>
      <c r="G6" s="476">
        <f>RIGHT(G5,4)*1</f>
        <v>2017</v>
      </c>
      <c r="H6" s="561">
        <f>RIGHT(H5,4)*1</f>
        <v>0</v>
      </c>
      <c r="I6" s="476"/>
      <c r="J6" s="476">
        <f>RIGHT(J5,4)*1</f>
        <v>2017</v>
      </c>
      <c r="K6" s="476">
        <f t="shared" ref="K6:P6" si="0">RIGHT(K5,4)*1</f>
        <v>2020</v>
      </c>
      <c r="L6" s="476">
        <f t="shared" si="0"/>
        <v>2030</v>
      </c>
      <c r="M6" s="476">
        <f t="shared" si="0"/>
        <v>2040</v>
      </c>
      <c r="N6" s="476">
        <f t="shared" si="0"/>
        <v>2050</v>
      </c>
      <c r="O6" s="476">
        <f t="shared" si="0"/>
        <v>2070</v>
      </c>
      <c r="P6" s="476">
        <f t="shared" si="0"/>
        <v>2100</v>
      </c>
      <c r="Q6" s="192"/>
      <c r="R6" s="192"/>
      <c r="S6" s="590"/>
    </row>
    <row r="7" spans="3:19">
      <c r="C7" s="9" t="str">
        <f ca="1">'CHP2'!B42</f>
        <v>ESTMCOA000</v>
      </c>
      <c r="D7" s="9" t="s">
        <v>946</v>
      </c>
      <c r="E7" s="9" t="str">
        <f>C7</f>
        <v>ESTMCOA000</v>
      </c>
      <c r="F7" s="304" t="s">
        <v>147</v>
      </c>
      <c r="G7" s="582">
        <f ca="1">MAX(0.01,(MAX(AuxData2!BB28,'CHP2'!J42*1.5)+INDSTM2!L12)/MAX(Tiny,INDSTM2!$L$42+ISOI2!$M$22))</f>
        <v>4.1622205402285728E-2</v>
      </c>
      <c r="H7" s="583"/>
      <c r="I7" s="583"/>
      <c r="J7" s="583"/>
      <c r="K7" s="583">
        <f>$R7/(1+($R7/G7-1)*(1+$Q7)^(G$6-K$6))</f>
        <v>4.9933045529116031E-2</v>
      </c>
      <c r="L7" s="583">
        <f>$R7/(1+($R7/K7-1)*(1+$Q7)^(K$6-L$6))</f>
        <v>8.8569172888515471E-2</v>
      </c>
      <c r="M7" s="583">
        <f>$R7/(1+($R7/L7-1)*(1+$Q7)^(L$6-M$6))</f>
        <v>0.14599466870155636</v>
      </c>
      <c r="N7" s="583">
        <f>$R7/(1+($R7/M7-1)*(1+$Q7)^(M$6-N$6))</f>
        <v>0.21777178312959555</v>
      </c>
      <c r="O7" s="583">
        <f>$R7/(1+($R7/N7-1)*(1+$Q7)^(N$6-O$6))</f>
        <v>0.34953968730296747</v>
      </c>
      <c r="P7" s="584">
        <f>$R7/(1+($R7/O7-1)*(1+$Q7)^(O$6-P$6))</f>
        <v>0.42791243164560677</v>
      </c>
      <c r="Q7" s="9">
        <v>7.0000000000000007E-2</v>
      </c>
      <c r="R7" s="9">
        <f>MIN(0.9,MAX((G7/0.8)^0.2,N$1))*0.8</f>
        <v>0.44293194882165876</v>
      </c>
      <c r="S7" s="591" t="s">
        <v>393</v>
      </c>
    </row>
    <row r="8" spans="3:19">
      <c r="C8" s="9" t="str">
        <f ca="1">INDSTM2!B12</f>
        <v>ISTMCOA000</v>
      </c>
      <c r="D8" s="9" t="str">
        <f>D7</f>
        <v>INDHET</v>
      </c>
      <c r="E8" s="9" t="str">
        <f>E$7</f>
        <v>ESTMCOA000</v>
      </c>
      <c r="F8" s="304" t="s">
        <v>147</v>
      </c>
      <c r="G8" s="585"/>
      <c r="H8" s="543"/>
      <c r="I8" s="543"/>
      <c r="J8" s="543"/>
      <c r="K8" s="543">
        <v>1</v>
      </c>
      <c r="L8" s="543"/>
      <c r="M8" s="543"/>
      <c r="N8" s="543"/>
      <c r="O8" s="543"/>
      <c r="P8" s="586">
        <v>1</v>
      </c>
      <c r="Q8" s="9"/>
      <c r="R8" s="9"/>
      <c r="S8" s="591" t="s">
        <v>394</v>
      </c>
    </row>
    <row r="9" spans="3:19">
      <c r="C9" s="9" t="str">
        <f>C7</f>
        <v>ESTMCOA000</v>
      </c>
      <c r="D9" s="9" t="s">
        <v>17</v>
      </c>
      <c r="E9" s="9" t="str">
        <f>C9</f>
        <v>ESTMCOA000</v>
      </c>
      <c r="F9" s="304" t="s">
        <v>147</v>
      </c>
      <c r="G9" s="585">
        <f ca="1">MAX(SUM('CHP2'!J42,'CHP2'!J45,'CHP2'!H11)/AuxData2!$B$34,0.01)</f>
        <v>1.3553880669783875E-2</v>
      </c>
      <c r="H9" s="543"/>
      <c r="I9" s="543"/>
      <c r="J9" s="543"/>
      <c r="K9" s="543">
        <f>$R9/(1+($R9/G9-1)*(1+$Q9)^(G$6-K$6))</f>
        <v>1.5988914579409038E-2</v>
      </c>
      <c r="L9" s="543">
        <f>$R9/(1+($R9/K9-1)*(1+$Q9)^(K$6-L$6))</f>
        <v>2.631892119020671E-2</v>
      </c>
      <c r="M9" s="543">
        <f>$R9/(1+($R9/L9-1)*(1+$Q9)^(L$6-M$6))</f>
        <v>3.9190183330864964E-2</v>
      </c>
      <c r="N9" s="543">
        <f>$R9/(1+($R9/M9-1)*(1+$Q9)^(M$6-N$6))</f>
        <v>5.2156781760107004E-2</v>
      </c>
      <c r="O9" s="543">
        <f>$R9/(1+($R9/N9-1)*(1+$Q9)^(N$6-O$6))</f>
        <v>6.9886739055687444E-2</v>
      </c>
      <c r="P9" s="586">
        <f>$R9/(1+($R9/O9-1)*(1+$Q9)^(O$6-P$6))</f>
        <v>7.7902616476880834E-2</v>
      </c>
      <c r="Q9" s="9">
        <v>7.0000000000000007E-2</v>
      </c>
      <c r="R9" s="9">
        <f>MIN(5*G9/(1-G21),MAX(N$1,(G9/(1-G21))^0.2))*(1-P21)</f>
        <v>7.9277792343166661E-2</v>
      </c>
      <c r="S9" s="591" t="s">
        <v>574</v>
      </c>
    </row>
    <row r="10" spans="3:19">
      <c r="C10" s="9" t="str">
        <f ca="1">IOCH2!B10</f>
        <v>IOCHCOA000</v>
      </c>
      <c r="D10" s="9" t="s">
        <v>576</v>
      </c>
      <c r="E10" s="9" t="str">
        <f>C10</f>
        <v>IOCHCOA000</v>
      </c>
      <c r="F10" s="304" t="s">
        <v>147</v>
      </c>
      <c r="G10" s="585">
        <f ca="1">MAX(0.02,IF(IOCH2!L$16&gt;0,IOCH2!L10/IOCH2!L$16/$N$2))</f>
        <v>0.02</v>
      </c>
      <c r="H10" s="543"/>
      <c r="I10" s="543"/>
      <c r="J10" s="543"/>
      <c r="K10" s="543">
        <f>($R10+(1-$R10)*$G10)/(1+(($R10+(1-$R10)*$G10)/G10-1)*(1+$Q10)^(G$6-K$6))</f>
        <v>2.3643212864761759E-2</v>
      </c>
      <c r="L10" s="543">
        <f t="shared" ref="L10:P12" si="1">($R10+(1-$R10)*$G10)/(1+(($R10+(1-$R10)*$G10)/K10-1)*(1+$Q10)^(K$6-L$6))</f>
        <v>4.0843928314938854E-2</v>
      </c>
      <c r="M10" s="543">
        <f t="shared" si="1"/>
        <v>6.8788472733062003E-2</v>
      </c>
      <c r="N10" s="543">
        <f t="shared" si="1"/>
        <v>0.11131573634298494</v>
      </c>
      <c r="O10" s="543">
        <f t="shared" si="1"/>
        <v>0.24093561160653931</v>
      </c>
      <c r="P10" s="586">
        <f t="shared" si="1"/>
        <v>0.42697934842699198</v>
      </c>
      <c r="Q10" s="9">
        <v>0.06</v>
      </c>
      <c r="R10" s="345">
        <f>MIN(0.9,MAX(G10^0.2,N$1))</f>
        <v>0.5</v>
      </c>
      <c r="S10" s="591" t="s">
        <v>118</v>
      </c>
    </row>
    <row r="11" spans="3:19">
      <c r="C11" s="9" t="str">
        <f ca="1">IOLP2!B22</f>
        <v>IOLPCOA000</v>
      </c>
      <c r="D11" s="9" t="s">
        <v>983</v>
      </c>
      <c r="E11" s="9" t="str">
        <f>C11</f>
        <v>IOLPCOA000</v>
      </c>
      <c r="F11" s="304" t="s">
        <v>147</v>
      </c>
      <c r="G11" s="585">
        <f ca="1">MAX(0.02,IF(IOLP2!J$24&gt;0,IOLP2!J22/IOLP2!J$24/$N$2))</f>
        <v>2.8363670936951971E-2</v>
      </c>
      <c r="H11" s="543"/>
      <c r="I11" s="543"/>
      <c r="J11" s="543"/>
      <c r="K11" s="543">
        <f>($R11+(1-$R11)*$G11)/(1+(($R11+(1-$R11)*$G11)/G11-1)*(1+$Q11)^(G$6-K$6))</f>
        <v>3.3429342163666213E-2</v>
      </c>
      <c r="L11" s="543">
        <f t="shared" si="1"/>
        <v>5.6939234524570503E-2</v>
      </c>
      <c r="M11" s="543">
        <f t="shared" si="1"/>
        <v>9.3758456439606355E-2</v>
      </c>
      <c r="N11" s="543">
        <f t="shared" si="1"/>
        <v>0.14674539179825585</v>
      </c>
      <c r="O11" s="543">
        <f t="shared" si="1"/>
        <v>0.28874790196420597</v>
      </c>
      <c r="P11" s="586">
        <f t="shared" si="1"/>
        <v>0.45265160294532514</v>
      </c>
      <c r="Q11" s="9">
        <v>0.06</v>
      </c>
      <c r="R11" s="9">
        <f>MIN(0.9,MAX(G11^0.2,N$1))</f>
        <v>0.5</v>
      </c>
      <c r="S11" s="591" t="str">
        <f>SUBSTITUTE(S$10,$D$10,D11)</f>
        <v>Max share of COA in IOLP</v>
      </c>
    </row>
    <row r="12" spans="3:19">
      <c r="C12" s="9" t="str">
        <f ca="1">ISOI2!B14</f>
        <v>ISOICOA000</v>
      </c>
      <c r="D12" s="9" t="s">
        <v>48</v>
      </c>
      <c r="E12" s="9" t="str">
        <f>C12</f>
        <v>ISOICOA000</v>
      </c>
      <c r="F12" s="304" t="s">
        <v>147</v>
      </c>
      <c r="G12" s="585">
        <f ca="1">MAX(0.02,ISOI2!M14/ISOI2!M$24/$N$2)</f>
        <v>0.02</v>
      </c>
      <c r="H12" s="543"/>
      <c r="I12" s="543"/>
      <c r="J12" s="543"/>
      <c r="K12" s="543">
        <f>($R12+(1-$R12)*$G12)/(1+(($R12+(1-$R12)*$G12)/G12-1)*(1+$Q12)^(G$6-K$6))</f>
        <v>2.3643212864761759E-2</v>
      </c>
      <c r="L12" s="543">
        <f t="shared" si="1"/>
        <v>4.0843928314938854E-2</v>
      </c>
      <c r="M12" s="543">
        <f t="shared" si="1"/>
        <v>6.8788472733062003E-2</v>
      </c>
      <c r="N12" s="543">
        <f t="shared" si="1"/>
        <v>0.11131573634298494</v>
      </c>
      <c r="O12" s="543">
        <f t="shared" si="1"/>
        <v>0.24093561160653931</v>
      </c>
      <c r="P12" s="586">
        <f t="shared" si="1"/>
        <v>0.42697934842699198</v>
      </c>
      <c r="Q12" s="9">
        <v>0.06</v>
      </c>
      <c r="R12" s="9">
        <f>MIN(0.9,MAX(G12^0.2,N$1))</f>
        <v>0.5</v>
      </c>
      <c r="S12" s="591" t="str">
        <f>SUBSTITUTE(S$10,$D$10,D12)</f>
        <v>Max share of COA in ISOI</v>
      </c>
    </row>
    <row r="13" spans="3:19">
      <c r="C13" s="9" t="str">
        <f ca="1">IPOI2!B14</f>
        <v>IPOICOA000</v>
      </c>
      <c r="D13" s="9" t="s">
        <v>57</v>
      </c>
      <c r="E13" s="9" t="str">
        <f>C13</f>
        <v>IPOICOA000</v>
      </c>
      <c r="F13" s="304" t="s">
        <v>147</v>
      </c>
      <c r="G13" s="585">
        <f ca="1">MAX(0.02,SUM(IPOI2!M14:M16)/IPOI2!M$22/$N$2)</f>
        <v>5.866061342374513E-2</v>
      </c>
      <c r="H13" s="543"/>
      <c r="I13" s="543"/>
      <c r="J13" s="543"/>
      <c r="K13" s="543">
        <f>($R13)/(1+(($R13)/G13-1)*(1+$Q13)^(G$6-K$6))</f>
        <v>6.8512055358340485E-2</v>
      </c>
      <c r="L13" s="543">
        <f>($R13)/(1+(($R13)/K13-1)*(1+$Q13)^(K$6-L$6))</f>
        <v>0.11199456533080414</v>
      </c>
      <c r="M13" s="543">
        <f>($R13)/(1+(($R13)/L13-1)*(1+$Q13)^(L$6-M$6))</f>
        <v>0.17347257111488149</v>
      </c>
      <c r="N13" s="543">
        <f>($R13)/(1+(($R13)/M13-1)*(1+$Q13)^(M$6-N$6))</f>
        <v>0.25014927074727383</v>
      </c>
      <c r="O13" s="543">
        <f>($R13)/(1+(($R13)/N13-1)*(1+$Q13)^(N$6-O$6))</f>
        <v>0.40650705919651176</v>
      </c>
      <c r="P13" s="586">
        <f>($R13)/(1+(($R13)/O13-1)*(1+$Q13)^(O$6-P$6))</f>
        <v>0.53061253035777189</v>
      </c>
      <c r="Q13" s="9">
        <v>0.06</v>
      </c>
      <c r="R13" s="9">
        <f>MIN(0.9,MAX(G13^0.2,N$1))</f>
        <v>0.56711263077312057</v>
      </c>
      <c r="S13" s="591" t="str">
        <f>SUBSTITUTE(S$10,$D$10,D13)</f>
        <v>Max share of COA in IPOI</v>
      </c>
    </row>
    <row r="14" spans="3:19">
      <c r="C14" s="192" t="s">
        <v>1500</v>
      </c>
      <c r="D14" s="192"/>
      <c r="E14" s="192"/>
      <c r="F14" s="548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590"/>
    </row>
    <row r="15" spans="3:19">
      <c r="C15" s="9" t="str">
        <f ca="1">IOCH2!B9</f>
        <v>IOCHNGA000</v>
      </c>
      <c r="D15" s="9" t="s">
        <v>576</v>
      </c>
      <c r="E15" s="9" t="str">
        <f>C15</f>
        <v>IOCHNGA000</v>
      </c>
      <c r="F15" s="304" t="s">
        <v>725</v>
      </c>
      <c r="G15" s="585">
        <f ca="1">INDIRECT(D15&amp;$D$1&amp;"!L9")/MAX(Tiny,VLOOKUP($D15,OFFSET(INDIRECT(D15&amp;$D$1&amp;"!C5"),0,0,28,10),10,0))*N$2</f>
        <v>5.2100286367179364E-3</v>
      </c>
      <c r="H15" s="543"/>
      <c r="I15" s="543"/>
      <c r="J15" s="543">
        <f ca="1">G15*0.99</f>
        <v>5.1579283503507571E-3</v>
      </c>
      <c r="K15" s="543">
        <f ca="1">G15*(1-$Q15)^(K$6-G$6)</f>
        <v>4.9036372726498278E-3</v>
      </c>
      <c r="L15" s="543">
        <f t="shared" ref="L15:P17" ca="1" si="2">K15*(1-$Q15)^(L$6-K$6)</f>
        <v>4.0066286703223887E-3</v>
      </c>
      <c r="M15" s="543">
        <f t="shared" ca="1" si="2"/>
        <v>3.2737073338164327E-3</v>
      </c>
      <c r="N15" s="543">
        <f t="shared" ca="1" si="2"/>
        <v>2.6748572401697392E-3</v>
      </c>
      <c r="O15" s="543">
        <f t="shared" ca="1" si="2"/>
        <v>1.7857560168441484E-3</v>
      </c>
      <c r="P15" s="586">
        <f t="shared" ca="1" si="2"/>
        <v>9.7410190543132139E-4</v>
      </c>
      <c r="Q15" s="9">
        <v>0.02</v>
      </c>
      <c r="R15" s="9"/>
      <c r="S15" s="591" t="str">
        <f>"Min share of NGA in "&amp;D15</f>
        <v>Min share of NGA in IOCH</v>
      </c>
    </row>
    <row r="16" spans="3:19">
      <c r="C16" s="9" t="str">
        <f ca="1">IPOI2!B12</f>
        <v>IPOINGA000</v>
      </c>
      <c r="D16" s="9" t="s">
        <v>57</v>
      </c>
      <c r="E16" s="9" t="str">
        <f>C16</f>
        <v>IPOINGA000</v>
      </c>
      <c r="F16" s="304" t="s">
        <v>725</v>
      </c>
      <c r="G16" s="585">
        <f ca="1">INDIRECT(D16&amp;$D$1&amp;"!M12")/MAX(Tiny,VLOOKUP($D16,OFFSET(INDIRECT(D16&amp;$D$1&amp;"!C5"),0,0,28,11),11,0))*N$2</f>
        <v>0.14981748962099867</v>
      </c>
      <c r="H16" s="543"/>
      <c r="I16" s="543"/>
      <c r="J16" s="543">
        <f ca="1">G16*0.99</f>
        <v>0.14831931472478868</v>
      </c>
      <c r="K16" s="543">
        <f ca="1">G16*(1-$Q16)^(K$6-G$6)</f>
        <v>0.14100702269136697</v>
      </c>
      <c r="L16" s="543">
        <f t="shared" ca="1" si="2"/>
        <v>0.11521300382129118</v>
      </c>
      <c r="M16" s="543">
        <f t="shared" ca="1" si="2"/>
        <v>9.4137412422208022E-2</v>
      </c>
      <c r="N16" s="543">
        <f t="shared" ca="1" si="2"/>
        <v>7.6917119800944109E-2</v>
      </c>
      <c r="O16" s="543">
        <f t="shared" ca="1" si="2"/>
        <v>5.1350482343551884E-2</v>
      </c>
      <c r="P16" s="586">
        <f t="shared" ca="1" si="2"/>
        <v>2.8010882911132233E-2</v>
      </c>
      <c r="Q16" s="9">
        <v>0.02</v>
      </c>
      <c r="R16" s="9"/>
      <c r="S16" s="591" t="str">
        <f>"Min share of NGA in "&amp;D16</f>
        <v>Min share of NGA in IPOI</v>
      </c>
    </row>
    <row r="17" spans="1:22">
      <c r="C17" s="9" t="str">
        <f ca="1">IOOI2!B12</f>
        <v>IOOINGA000</v>
      </c>
      <c r="D17" s="9" t="s">
        <v>75</v>
      </c>
      <c r="E17" s="9" t="str">
        <f>C17</f>
        <v>IOOINGA000</v>
      </c>
      <c r="F17" s="304" t="s">
        <v>725</v>
      </c>
      <c r="G17" s="585">
        <f ca="1">INDIRECT(D17&amp;$D$1&amp;"!M12")/MAX(Tiny,VLOOKUP($D17,OFFSET(INDIRECT(D17&amp;$D$1&amp;"!C5"),0,0,28,11),11,0))*N$2</f>
        <v>1.2486212850855924E-2</v>
      </c>
      <c r="H17" s="543"/>
      <c r="I17" s="543"/>
      <c r="J17" s="543">
        <f ca="1">G17*0.99</f>
        <v>1.2361350722347364E-2</v>
      </c>
      <c r="K17" s="543">
        <f ca="1">G17*(1-$Q17)^(K$6-G$6)</f>
        <v>1.1751923645522787E-2</v>
      </c>
      <c r="L17" s="543">
        <f t="shared" ca="1" si="2"/>
        <v>9.6021772393754326E-3</v>
      </c>
      <c r="M17" s="543">
        <f t="shared" ca="1" si="2"/>
        <v>7.8456779092081971E-3</v>
      </c>
      <c r="N17" s="543">
        <f t="shared" ca="1" si="2"/>
        <v>6.4104900712123594E-3</v>
      </c>
      <c r="O17" s="543">
        <f t="shared" ca="1" si="2"/>
        <v>4.2796942743982521E-3</v>
      </c>
      <c r="P17" s="586">
        <f t="shared" ca="1" si="2"/>
        <v>2.3345061184350418E-3</v>
      </c>
      <c r="Q17" s="9">
        <v>0.02</v>
      </c>
      <c r="R17" s="9"/>
      <c r="S17" s="591" t="str">
        <f>"Min share of NGA in "&amp;D17</f>
        <v>Min share of NGA in IOOI</v>
      </c>
    </row>
    <row r="18" spans="1:22">
      <c r="C18" s="9" t="str">
        <f ca="1">IOOI2!B28</f>
        <v>IOOIHET000</v>
      </c>
      <c r="D18" s="9" t="s">
        <v>75</v>
      </c>
      <c r="E18" s="9" t="str">
        <f>C18</f>
        <v>IOOIHET000</v>
      </c>
      <c r="F18" s="304" t="s">
        <v>147</v>
      </c>
      <c r="G18" s="585">
        <f ca="1">INDIRECT(D18&amp;$D$1&amp;"!M28")/MAX(Tiny,VLOOKUP($D18,OFFSET(INDIRECT(D18&amp;$D$1&amp;"!C5"),0,0,28,11),11,0))*N$2</f>
        <v>0.53637224577561116</v>
      </c>
      <c r="H18" s="543"/>
      <c r="I18" s="543"/>
      <c r="J18" s="543"/>
      <c r="K18" s="543">
        <f ca="1">($R18)/(1+(($R18)/G18-1)*(1+$Q18)^(G$6-K$6))</f>
        <v>0.55784006114893137</v>
      </c>
      <c r="L18" s="543">
        <f ca="1">($R18)/(1+(($R18)/K18-1)*(1+$Q18)^(K$6-L$6))</f>
        <v>0.62479321508257024</v>
      </c>
      <c r="M18" s="543">
        <f ca="1">($R18)/(1+(($R18)/L18-1)*(1+$Q18)^(L$6-M$6))</f>
        <v>0.68289826104214379</v>
      </c>
      <c r="N18" s="543">
        <f ca="1">($R18)/(1+(($R18)/M18-1)*(1+$Q18)^(M$6-N$6))</f>
        <v>0.73109858887319379</v>
      </c>
      <c r="O18" s="543">
        <f ca="1">($R18)/(1+(($R18)/N18-1)*(1+$Q18)^(N$6-O$6))</f>
        <v>0.79945959355139951</v>
      </c>
      <c r="P18" s="586">
        <f ca="1">($R18)/(1+(($R18)/O18-1)*(1+$Q18)^(O$6-P$6))</f>
        <v>0.85122407923079835</v>
      </c>
      <c r="Q18" s="62">
        <v>3.5000000000000003E-2</v>
      </c>
      <c r="R18" s="9">
        <f ca="1">MIN(0.9,MAX(G18^0.2,N$1))</f>
        <v>0.88286288451236361</v>
      </c>
      <c r="S18" s="591" t="str">
        <f>SUBSTITUTE(S$17,"NGA","HET")</f>
        <v>Min share of HET in IOOI</v>
      </c>
    </row>
    <row r="19" spans="1:22">
      <c r="C19" s="192" t="s">
        <v>85</v>
      </c>
      <c r="D19" s="192"/>
      <c r="E19" s="192"/>
      <c r="F19" s="548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590"/>
    </row>
    <row r="20" spans="1:22">
      <c r="C20" s="9" t="str">
        <f ca="1">IPOI2!B18</f>
        <v>IPOIELC000</v>
      </c>
      <c r="D20" s="9" t="s">
        <v>57</v>
      </c>
      <c r="E20" s="9" t="str">
        <f>C20</f>
        <v>IPOIELC000</v>
      </c>
      <c r="F20" s="304" t="s">
        <v>147</v>
      </c>
      <c r="G20" s="582">
        <f ca="1">MAX(0.02,SUM(IPOI2!M18)/IPOI2!M$22/$N$2)</f>
        <v>0.47196970351946432</v>
      </c>
      <c r="H20" s="543"/>
      <c r="I20" s="543"/>
      <c r="J20" s="543"/>
      <c r="K20" s="543">
        <f>($R20)/(1+(($R20)/G20-1)*(1+$Q20)^(G$6-K$6))</f>
        <v>0.50881891699739668</v>
      </c>
      <c r="L20" s="543">
        <f>($R20)/(1+(($R20)/K20-1)*(1+$Q20)^(K$6-L$6))</f>
        <v>0.62088989056307897</v>
      </c>
      <c r="M20" s="543">
        <f>($R20)/(1+(($R20)/L20-1)*(1+$Q20)^(L$6-M$6))</f>
        <v>0.70796248563596043</v>
      </c>
      <c r="N20" s="543">
        <f>($R20)/(1+(($R20)/M20-1)*(1+$Q20)^(M$6-N$6))</f>
        <v>0.76811210092313786</v>
      </c>
      <c r="O20" s="543">
        <f>($R20)/(1+(($R20)/N20-1)*(1+$Q20)^(N$6-O$6))</f>
        <v>0.82943517065119876</v>
      </c>
      <c r="P20" s="586">
        <f>($R20)/(1+(($R20)/O20-1)*(1+$Q20)^(O$6-P$6))</f>
        <v>0.85497668844084485</v>
      </c>
      <c r="Q20" s="9">
        <v>0.06</v>
      </c>
      <c r="R20" s="9">
        <f>MIN(0.9,MAX(G20^0.2,N$1))</f>
        <v>0.86056330651478241</v>
      </c>
      <c r="S20" s="591" t="str">
        <f>SUBSTITUTE(S$13,"COA","ELC")</f>
        <v>Max share of ELC in IPOI</v>
      </c>
    </row>
    <row r="21" spans="1:22">
      <c r="C21" s="9" t="str">
        <f ca="1">IND_Fuels2!B55</f>
        <v>FT-INDELC0</v>
      </c>
      <c r="D21" s="9" t="s">
        <v>17</v>
      </c>
      <c r="E21" s="9" t="str">
        <f>C21</f>
        <v>FT-INDELC0</v>
      </c>
      <c r="F21" s="304" t="s">
        <v>725</v>
      </c>
      <c r="G21" s="610">
        <f ca="1">1-IEAData2!AW43</f>
        <v>0.67238916349042099</v>
      </c>
      <c r="H21" s="118"/>
      <c r="I21" s="118"/>
      <c r="J21" s="118"/>
      <c r="K21" s="118">
        <f t="shared" ref="K21:P21" si="3">$G21*(1-$Q21)^(K$6-$G$6)</f>
        <v>0.6702934903123422</v>
      </c>
      <c r="L21" s="118">
        <f t="shared" si="3"/>
        <v>0.66335497222363782</v>
      </c>
      <c r="M21" s="118">
        <f t="shared" si="3"/>
        <v>0.65648827794638798</v>
      </c>
      <c r="N21" s="118">
        <f t="shared" si="3"/>
        <v>0.64969266399908443</v>
      </c>
      <c r="O21" s="118">
        <f t="shared" si="3"/>
        <v>0.63631174156922399</v>
      </c>
      <c r="P21" s="118">
        <f t="shared" si="3"/>
        <v>0.6167553116491814</v>
      </c>
      <c r="Q21" s="611">
        <v>1.0399999999999999E-3</v>
      </c>
      <c r="R21" s="9"/>
      <c r="S21" s="592" t="s">
        <v>107</v>
      </c>
    </row>
    <row r="22" spans="1:22">
      <c r="C22" s="192" t="s">
        <v>113</v>
      </c>
      <c r="D22" s="192"/>
      <c r="E22" s="192"/>
      <c r="F22" s="548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590"/>
    </row>
    <row r="23" spans="1:22">
      <c r="C23" s="9" t="str">
        <f ca="1">"\I: "&amp;'ILP0002'!$B$7</f>
        <v>\I: ILPPUC000</v>
      </c>
      <c r="D23" s="9" t="s">
        <v>458</v>
      </c>
      <c r="E23" s="9" t="str">
        <f>C23</f>
        <v>\I: ILPPUC000</v>
      </c>
      <c r="F23" s="304" t="s">
        <v>147</v>
      </c>
      <c r="G23" s="585">
        <f ca="1">1-'ILP0002'!O21/MAX(Tiny,'ILP0002'!H55)</f>
        <v>1</v>
      </c>
      <c r="H23" s="543"/>
      <c r="I23" s="543"/>
      <c r="J23" s="543"/>
      <c r="K23" s="543">
        <f>G23+0.01</f>
        <v>1.01</v>
      </c>
      <c r="L23" s="543"/>
      <c r="M23" s="543"/>
      <c r="N23" s="543">
        <f>$G23+(1-$G23)*(N26-$G26)</f>
        <v>1</v>
      </c>
      <c r="O23" s="543"/>
      <c r="P23" s="586">
        <f>$G23+(1-$G23)*(P26-$G26)</f>
        <v>1</v>
      </c>
      <c r="Q23" s="9"/>
      <c r="R23" s="9"/>
      <c r="S23" s="591" t="s">
        <v>115</v>
      </c>
    </row>
    <row r="24" spans="1:22">
      <c r="C24" s="9" t="str">
        <f ca="1">"\I: "&amp;'ILP0002'!$B$29</f>
        <v>\I: ILPPUR000</v>
      </c>
      <c r="D24" s="9" t="s">
        <v>458</v>
      </c>
      <c r="E24" s="9" t="str">
        <f>E23</f>
        <v>\I: ILPPUC000</v>
      </c>
      <c r="F24" s="304" t="s">
        <v>147</v>
      </c>
      <c r="G24" s="585"/>
      <c r="H24" s="543"/>
      <c r="I24" s="543"/>
      <c r="J24" s="543"/>
      <c r="K24" s="543">
        <v>1</v>
      </c>
      <c r="L24" s="543"/>
      <c r="M24" s="543"/>
      <c r="N24" s="543"/>
      <c r="O24" s="543"/>
      <c r="P24" s="586">
        <v>1</v>
      </c>
      <c r="Q24" s="9"/>
      <c r="R24" s="9"/>
      <c r="S24" s="591" t="s">
        <v>114</v>
      </c>
    </row>
    <row r="25" spans="1:22">
      <c r="C25" s="9" t="str">
        <f ca="1">"\I: "&amp;'ILP0002'!$B$21</f>
        <v>\I: ILPPUM000</v>
      </c>
      <c r="D25" s="9" t="s">
        <v>458</v>
      </c>
      <c r="E25" s="9" t="str">
        <f>C25</f>
        <v>\I: ILPPUM000</v>
      </c>
      <c r="F25" s="304" t="s">
        <v>147</v>
      </c>
      <c r="G25" s="585">
        <f ca="1">1-G23</f>
        <v>0</v>
      </c>
      <c r="H25" s="543"/>
      <c r="I25" s="543"/>
      <c r="J25" s="543"/>
      <c r="K25" s="543">
        <f>G25+0.01</f>
        <v>0.01</v>
      </c>
      <c r="L25" s="543"/>
      <c r="M25" s="543"/>
      <c r="N25" s="543">
        <f>$G25+(1-$G25)/4</f>
        <v>0.25</v>
      </c>
      <c r="O25" s="543"/>
      <c r="P25" s="586">
        <f>$G25+(1-$G25)/3</f>
        <v>0.33333333333333331</v>
      </c>
      <c r="Q25" s="9"/>
      <c r="R25" s="9"/>
      <c r="S25" s="591" t="s">
        <v>116</v>
      </c>
    </row>
    <row r="26" spans="1:22">
      <c r="C26" s="9" t="str">
        <f ca="1">"\I: "&amp;'ILP0002'!$B$29</f>
        <v>\I: ILPPUR000</v>
      </c>
      <c r="D26" s="9" t="s">
        <v>458</v>
      </c>
      <c r="E26" s="9" t="str">
        <f>C26</f>
        <v>\I: ILPPUR000</v>
      </c>
      <c r="F26" s="304" t="s">
        <v>147</v>
      </c>
      <c r="G26" s="585">
        <f ca="1">'ILP0002'!O29/MAX(Tiny,'ILP0002'!H55)</f>
        <v>0</v>
      </c>
      <c r="H26" s="543"/>
      <c r="I26" s="543"/>
      <c r="J26" s="543"/>
      <c r="K26" s="543">
        <f>G26+0.01</f>
        <v>0.01</v>
      </c>
      <c r="L26" s="543">
        <f>MAX(0.2,$G26+(1-$G26)*0.1)</f>
        <v>0.2</v>
      </c>
      <c r="M26" s="543">
        <f>MAX(0.4,$G26+(1-$G26)*0.2)</f>
        <v>0.4</v>
      </c>
      <c r="N26" s="543">
        <f>MAX(0.45,$G26+(1-$G26)*0.3)</f>
        <v>0.45</v>
      </c>
      <c r="O26" s="543"/>
      <c r="P26" s="586">
        <f>MAX(0.5,$G26+(1-$G26)*0.5)</f>
        <v>0.5</v>
      </c>
      <c r="Q26" s="9"/>
      <c r="R26" s="9"/>
      <c r="S26" s="591" t="s">
        <v>117</v>
      </c>
    </row>
    <row r="27" spans="1:22">
      <c r="C27" s="320" t="str">
        <f ca="1">'ILP0002'!$B$38</f>
        <v>ILPMIX100</v>
      </c>
      <c r="D27" s="320" t="s">
        <v>1224</v>
      </c>
      <c r="E27" s="320" t="str">
        <f>C27</f>
        <v>ILPMIX100</v>
      </c>
      <c r="F27" s="492" t="s">
        <v>440</v>
      </c>
      <c r="G27" s="587">
        <f ca="1">'ILP0002'!H53/MAX(Tiny,'ILP0002'!O50)</f>
        <v>0</v>
      </c>
      <c r="H27" s="588">
        <v>3</v>
      </c>
      <c r="I27" s="587">
        <f ca="1">'ILP0002'!G53/MAX(Tiny,'ILP0002'!N50)</f>
        <v>0</v>
      </c>
      <c r="J27" s="587">
        <f>G27</f>
        <v>0</v>
      </c>
      <c r="K27" s="587"/>
      <c r="L27" s="587"/>
      <c r="M27" s="587"/>
      <c r="N27" s="587"/>
      <c r="O27" s="587"/>
      <c r="P27" s="587"/>
      <c r="Q27" s="320"/>
      <c r="R27" s="320"/>
      <c r="S27" s="593" t="s">
        <v>1225</v>
      </c>
    </row>
    <row r="28" spans="1:22">
      <c r="C28" s="192" t="s">
        <v>902</v>
      </c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590"/>
    </row>
    <row r="30" spans="1:22">
      <c r="A30" s="6"/>
      <c r="B30" s="6"/>
      <c r="S30" s="6"/>
      <c r="T30" s="6"/>
      <c r="U30" s="6"/>
      <c r="V30" s="6"/>
    </row>
    <row r="31" spans="1:22">
      <c r="A31" s="6"/>
      <c r="B31" s="6"/>
      <c r="E31" s="563" t="s">
        <v>1451</v>
      </c>
      <c r="F31" s="564">
        <v>0</v>
      </c>
      <c r="G31" s="564">
        <v>1E-3</v>
      </c>
      <c r="S31" s="6"/>
      <c r="T31" s="6"/>
      <c r="U31" s="6"/>
      <c r="V31" s="6"/>
    </row>
    <row r="32" spans="1:22">
      <c r="C32" s="6"/>
      <c r="D32" s="130"/>
      <c r="E32" s="130"/>
      <c r="F32" s="130"/>
      <c r="G32" s="130"/>
    </row>
    <row r="33" spans="3:13" ht="18">
      <c r="C33" s="124" t="s">
        <v>89</v>
      </c>
      <c r="D33" s="125"/>
      <c r="E33" s="567" t="str">
        <f>"~FI_T: "&amp;Region</f>
        <v>~FI_T: FIM</v>
      </c>
      <c r="L33" s="569" t="s">
        <v>1452</v>
      </c>
      <c r="M33" s="569"/>
    </row>
    <row r="34" spans="3:13" ht="26.25" thickBot="1">
      <c r="C34" s="25" t="s">
        <v>772</v>
      </c>
      <c r="D34" s="25" t="s">
        <v>773</v>
      </c>
      <c r="E34" s="566" t="s">
        <v>778</v>
      </c>
      <c r="F34" s="25" t="s">
        <v>1083</v>
      </c>
      <c r="G34" s="25" t="str">
        <f ca="1">"DEMAND~"&amp;AuxYear</f>
        <v>DEMAND~2017</v>
      </c>
      <c r="H34" s="25" t="s">
        <v>1085</v>
      </c>
      <c r="I34" s="25" t="str">
        <f ca="1">"COM_IE~"&amp;AuxYear</f>
        <v>COM_IE~2017</v>
      </c>
      <c r="L34" s="568">
        <f ca="1">BaseYear</f>
        <v>2010</v>
      </c>
      <c r="M34" s="568">
        <f ca="1">AuxYear</f>
        <v>2017</v>
      </c>
    </row>
    <row r="35" spans="3:13">
      <c r="C35" s="9" t="str">
        <f ca="1">'IIS0002'!B75</f>
        <v>IIS</v>
      </c>
      <c r="D35" s="9" t="str">
        <f ca="1">'IIS0002'!C75</f>
        <v>Iron and Steel</v>
      </c>
      <c r="E35" s="565" t="str">
        <f ca="1">'IIS0002'!D75</f>
        <v>Mt</v>
      </c>
      <c r="F35" s="304">
        <f t="shared" ref="F35:F50" si="4">MAX(F$31,H35*L35)</f>
        <v>1</v>
      </c>
      <c r="G35" s="304">
        <f t="shared" ref="G35:G50" si="5">MAX(G$31,I35*M35)</f>
        <v>1</v>
      </c>
      <c r="H35" s="523">
        <f t="shared" ref="H35:H50" si="6">IF(L35,1/L35,1)</f>
        <v>10</v>
      </c>
      <c r="I35" s="523">
        <f t="shared" ref="I35:I50" si="7">IF(M35,1/M35,1)</f>
        <v>10</v>
      </c>
      <c r="L35" s="523">
        <f ca="1">'IIS0002'!E75</f>
        <v>0.1</v>
      </c>
      <c r="M35" s="523">
        <f ca="1">'IIS0002'!F75</f>
        <v>0.1</v>
      </c>
    </row>
    <row r="36" spans="3:13">
      <c r="C36" s="9" t="str">
        <f ca="1">'INF0002'!B62</f>
        <v>INF</v>
      </c>
      <c r="D36" s="9" t="str">
        <f ca="1">'INF0002'!C62</f>
        <v>Non-ferrous metals</v>
      </c>
      <c r="E36" s="565" t="str">
        <f ca="1">'INF0002'!D62</f>
        <v>Mt</v>
      </c>
      <c r="F36" s="304">
        <f t="shared" si="4"/>
        <v>1</v>
      </c>
      <c r="G36" s="304">
        <f t="shared" si="5"/>
        <v>1</v>
      </c>
      <c r="H36" s="523">
        <f t="shared" si="6"/>
        <v>10</v>
      </c>
      <c r="I36" s="523">
        <f t="shared" si="7"/>
        <v>10</v>
      </c>
      <c r="L36" s="523">
        <f ca="1">'INF0002'!E62</f>
        <v>0.1</v>
      </c>
      <c r="M36" s="523">
        <f ca="1">'INF0002'!F62</f>
        <v>0.1</v>
      </c>
    </row>
    <row r="37" spans="3:13">
      <c r="C37" s="9" t="str">
        <f ca="1">'ICH0002'!B81</f>
        <v>ICH</v>
      </c>
      <c r="D37" s="9" t="str">
        <f ca="1">'ICH0002'!C81</f>
        <v>Chemicals</v>
      </c>
      <c r="E37" s="565" t="str">
        <f ca="1">'ICH0002'!D81</f>
        <v>PJ</v>
      </c>
      <c r="F37" s="304">
        <f t="shared" si="4"/>
        <v>1</v>
      </c>
      <c r="G37" s="304">
        <f t="shared" si="5"/>
        <v>1</v>
      </c>
      <c r="H37" s="523">
        <f t="shared" si="6"/>
        <v>10</v>
      </c>
      <c r="I37" s="523">
        <f t="shared" si="7"/>
        <v>10</v>
      </c>
      <c r="L37" s="523">
        <f ca="1">'ICH0002'!E81</f>
        <v>0.1</v>
      </c>
      <c r="M37" s="523">
        <f ca="1">'ICH0002'!F81</f>
        <v>0.1</v>
      </c>
    </row>
    <row r="38" spans="3:13">
      <c r="C38" s="9" t="str">
        <f ca="1">'INM0002'!B78</f>
        <v>INM</v>
      </c>
      <c r="D38" s="9" t="str">
        <f ca="1">'INM0002'!C78</f>
        <v>Non Metals</v>
      </c>
      <c r="E38" s="565" t="str">
        <f ca="1">'INM0002'!D78</f>
        <v>Mt</v>
      </c>
      <c r="F38" s="304">
        <f t="shared" si="4"/>
        <v>1</v>
      </c>
      <c r="G38" s="304">
        <f t="shared" si="5"/>
        <v>1</v>
      </c>
      <c r="H38" s="523">
        <f t="shared" si="6"/>
        <v>10</v>
      </c>
      <c r="I38" s="523">
        <f t="shared" si="7"/>
        <v>10</v>
      </c>
      <c r="L38" s="523">
        <f ca="1">'INM0002'!E78</f>
        <v>0.1</v>
      </c>
      <c r="M38" s="523">
        <f ca="1">'INM0002'!F78</f>
        <v>0.1</v>
      </c>
    </row>
    <row r="39" spans="3:13">
      <c r="C39" s="9" t="str">
        <f ca="1">'ILP0002'!B80</f>
        <v>ILP</v>
      </c>
      <c r="D39" s="9" t="str">
        <f ca="1">'ILP0002'!C80</f>
        <v>Pulp and Paper</v>
      </c>
      <c r="E39" s="565" t="str">
        <f ca="1">'ILP0002'!D80</f>
        <v>Mt</v>
      </c>
      <c r="F39" s="304">
        <f t="shared" si="4"/>
        <v>1</v>
      </c>
      <c r="G39" s="304">
        <f t="shared" si="5"/>
        <v>1</v>
      </c>
      <c r="H39" s="523">
        <f t="shared" si="6"/>
        <v>4.4780717781169175</v>
      </c>
      <c r="I39" s="523">
        <f t="shared" si="7"/>
        <v>4.4780717781169175</v>
      </c>
      <c r="L39" s="523">
        <f ca="1">'ILP0002'!E80</f>
        <v>0.22331039999999999</v>
      </c>
      <c r="M39" s="523">
        <f ca="1">'ILP0002'!F80</f>
        <v>0.22331039999999999</v>
      </c>
    </row>
    <row r="40" spans="3:13">
      <c r="C40" s="9" t="str">
        <f ca="1">'ILP0002'!B81</f>
        <v>ILPNFR</v>
      </c>
      <c r="D40" s="9" t="str">
        <f ca="1">'ILP0002'!C81</f>
        <v>New fibres</v>
      </c>
      <c r="E40" s="565" t="str">
        <f ca="1">'ILP0002'!D81</f>
        <v>Mt</v>
      </c>
      <c r="F40" s="304">
        <f t="shared" si="4"/>
        <v>0</v>
      </c>
      <c r="G40" s="304">
        <f t="shared" si="5"/>
        <v>1</v>
      </c>
      <c r="H40" s="523">
        <f t="shared" si="6"/>
        <v>1</v>
      </c>
      <c r="I40" s="523">
        <f t="shared" si="7"/>
        <v>1000</v>
      </c>
      <c r="L40" s="523">
        <f ca="1">'ILP0002'!E81</f>
        <v>0</v>
      </c>
      <c r="M40" s="523">
        <f ca="1">'ILP0002'!F81</f>
        <v>1E-3</v>
      </c>
    </row>
    <row r="41" spans="3:13">
      <c r="C41" s="9" t="str">
        <f ca="1">'IOI0002'!B86</f>
        <v>IOT</v>
      </c>
      <c r="D41" s="9" t="str">
        <f ca="1">'IOI0002'!C86</f>
        <v>Transport equipment</v>
      </c>
      <c r="E41" s="565" t="str">
        <f ca="1">'IOI0002'!D86</f>
        <v>PJ</v>
      </c>
      <c r="F41" s="304">
        <f t="shared" si="4"/>
        <v>1</v>
      </c>
      <c r="G41" s="304">
        <f t="shared" si="5"/>
        <v>0.99999999999999989</v>
      </c>
      <c r="H41" s="523">
        <f t="shared" si="6"/>
        <v>4.223379994481899</v>
      </c>
      <c r="I41" s="523">
        <f t="shared" si="7"/>
        <v>8.147336981154103</v>
      </c>
      <c r="L41" s="523">
        <f ca="1">'IOI0002'!E86</f>
        <v>0.23677717877779419</v>
      </c>
      <c r="M41" s="523">
        <f ca="1">'IOI0002'!F86</f>
        <v>0.12273949172755905</v>
      </c>
    </row>
    <row r="42" spans="3:13">
      <c r="C42" s="9" t="str">
        <f ca="1">'IOI0002'!B87</f>
        <v>IOM</v>
      </c>
      <c r="D42" s="9" t="str">
        <f ca="1">'IOI0002'!C87</f>
        <v>Machinery and equipment</v>
      </c>
      <c r="E42" s="565" t="str">
        <f ca="1">'IOI0002'!D87</f>
        <v>PJ</v>
      </c>
      <c r="F42" s="304">
        <f t="shared" si="4"/>
        <v>1</v>
      </c>
      <c r="G42" s="304">
        <f t="shared" si="5"/>
        <v>1</v>
      </c>
      <c r="H42" s="523">
        <f t="shared" si="6"/>
        <v>0.90652427742370845</v>
      </c>
      <c r="I42" s="523">
        <f t="shared" si="7"/>
        <v>0.98869208968592326</v>
      </c>
      <c r="L42" s="523">
        <f ca="1">'IOI0002'!E87</f>
        <v>1.1031144172354042</v>
      </c>
      <c r="M42" s="523">
        <f ca="1">'IOI0002'!F87</f>
        <v>1.0114372416165167</v>
      </c>
    </row>
    <row r="43" spans="3:13">
      <c r="C43" s="9" t="str">
        <f ca="1">'IOI0002'!B88</f>
        <v>IOQ</v>
      </c>
      <c r="D43" s="9" t="str">
        <f ca="1">'IOI0002'!C88</f>
        <v>Mining and quarrying</v>
      </c>
      <c r="E43" s="565" t="str">
        <f ca="1">'IOI0002'!D88</f>
        <v>PJ</v>
      </c>
      <c r="F43" s="304">
        <f t="shared" si="4"/>
        <v>1</v>
      </c>
      <c r="G43" s="304">
        <f t="shared" si="5"/>
        <v>1</v>
      </c>
      <c r="H43" s="523">
        <f t="shared" si="6"/>
        <v>31.386825100183824</v>
      </c>
      <c r="I43" s="523">
        <f t="shared" si="7"/>
        <v>95.67114076976452</v>
      </c>
      <c r="L43" s="523">
        <f ca="1">'IOI0002'!E88</f>
        <v>3.1860501876443161E-2</v>
      </c>
      <c r="M43" s="523">
        <f ca="1">'IOI0002'!F88</f>
        <v>1.0452472835110539E-2</v>
      </c>
    </row>
    <row r="44" spans="3:13">
      <c r="C44" s="9" t="str">
        <f ca="1">'IOI0002'!B89</f>
        <v>IOF</v>
      </c>
      <c r="D44" s="9" t="str">
        <f ca="1">'IOI0002'!C89</f>
        <v>Foodstuff</v>
      </c>
      <c r="E44" s="565" t="str">
        <f ca="1">'IOI0002'!D89</f>
        <v>PJ</v>
      </c>
      <c r="F44" s="304">
        <f t="shared" si="4"/>
        <v>1</v>
      </c>
      <c r="G44" s="304">
        <f t="shared" si="5"/>
        <v>1</v>
      </c>
      <c r="H44" s="523">
        <f t="shared" si="6"/>
        <v>0.87995227248456542</v>
      </c>
      <c r="I44" s="523">
        <f t="shared" si="7"/>
        <v>0.5450618306153141</v>
      </c>
      <c r="L44" s="523">
        <f ca="1">'IOI0002'!E89</f>
        <v>1.1364252713121328</v>
      </c>
      <c r="M44" s="523">
        <f ca="1">'IOI0002'!F89</f>
        <v>1.834654242567511</v>
      </c>
    </row>
    <row r="45" spans="3:13">
      <c r="C45" s="9" t="str">
        <f ca="1">'IOI0002'!B90</f>
        <v>IOW</v>
      </c>
      <c r="D45" s="9" t="str">
        <f ca="1">'IOI0002'!C90</f>
        <v>Wood processing</v>
      </c>
      <c r="E45" s="565" t="str">
        <f ca="1">'IOI0002'!D90</f>
        <v>PJ</v>
      </c>
      <c r="F45" s="304">
        <f t="shared" si="4"/>
        <v>1</v>
      </c>
      <c r="G45" s="304">
        <f t="shared" si="5"/>
        <v>1</v>
      </c>
      <c r="H45" s="523">
        <f t="shared" si="6"/>
        <v>10</v>
      </c>
      <c r="I45" s="523">
        <f t="shared" si="7"/>
        <v>10</v>
      </c>
      <c r="L45" s="523">
        <f ca="1">'IOI0002'!E90</f>
        <v>0.1</v>
      </c>
      <c r="M45" s="523">
        <f ca="1">'IOI0002'!F90</f>
        <v>0.1</v>
      </c>
    </row>
    <row r="46" spans="3:13">
      <c r="C46" s="9" t="str">
        <f ca="1">'IOI0002'!B91</f>
        <v>IOC</v>
      </c>
      <c r="D46" s="9" t="str">
        <f ca="1">'IOI0002'!C91</f>
        <v>Construction</v>
      </c>
      <c r="E46" s="565" t="str">
        <f ca="1">'IOI0002'!D91</f>
        <v>PJ</v>
      </c>
      <c r="F46" s="304">
        <f t="shared" si="4"/>
        <v>1</v>
      </c>
      <c r="G46" s="304">
        <f t="shared" si="5"/>
        <v>1</v>
      </c>
      <c r="H46" s="523">
        <f t="shared" si="6"/>
        <v>0.30785116035515758</v>
      </c>
      <c r="I46" s="523">
        <f t="shared" si="7"/>
        <v>0.27470820105386223</v>
      </c>
      <c r="L46" s="523">
        <f ca="1">'IOI0002'!E91</f>
        <v>3.2483229845433534</v>
      </c>
      <c r="M46" s="523">
        <f ca="1">'IOI0002'!F91</f>
        <v>3.6402262333767359</v>
      </c>
    </row>
    <row r="47" spans="3:13">
      <c r="C47" s="9" t="str">
        <f ca="1">'IOI0002'!B92</f>
        <v>IOI</v>
      </c>
      <c r="D47" s="9" t="str">
        <f ca="1">'IOI0002'!C92</f>
        <v>Other Industries</v>
      </c>
      <c r="E47" s="565" t="str">
        <f ca="1">'IOI0002'!D92</f>
        <v>PJ</v>
      </c>
      <c r="F47" s="304">
        <f t="shared" si="4"/>
        <v>1</v>
      </c>
      <c r="G47" s="304">
        <f t="shared" si="5"/>
        <v>1</v>
      </c>
      <c r="H47" s="523">
        <f t="shared" si="6"/>
        <v>0.4093214926007307</v>
      </c>
      <c r="I47" s="523">
        <f t="shared" si="7"/>
        <v>1.4286097607966868</v>
      </c>
      <c r="L47" s="523">
        <f ca="1">'IOI0002'!E92</f>
        <v>2.4430674129673466</v>
      </c>
      <c r="M47" s="523">
        <f ca="1">'IOI0002'!F92</f>
        <v>0.69998121771360022</v>
      </c>
    </row>
    <row r="48" spans="3:13">
      <c r="C48" s="9" t="str">
        <f ca="1">'IOI0002'!B93</f>
        <v>ONO</v>
      </c>
      <c r="D48" s="9" t="str">
        <f ca="1">'IOI0002'!C93</f>
        <v>Other non-specified consumption</v>
      </c>
      <c r="E48" s="565" t="str">
        <f ca="1">'IOI0002'!D93</f>
        <v>PJ</v>
      </c>
      <c r="F48" s="304">
        <f t="shared" si="4"/>
        <v>0</v>
      </c>
      <c r="G48" s="304">
        <f t="shared" si="5"/>
        <v>1E-3</v>
      </c>
      <c r="H48" s="523">
        <f t="shared" si="6"/>
        <v>1</v>
      </c>
      <c r="I48" s="523">
        <f t="shared" si="7"/>
        <v>1</v>
      </c>
      <c r="L48" s="523">
        <f ca="1">'IOI0002'!E93</f>
        <v>0</v>
      </c>
      <c r="M48" s="523">
        <f ca="1">'IOI0002'!F93</f>
        <v>0</v>
      </c>
    </row>
    <row r="49" spans="3:13">
      <c r="C49" s="9" t="str">
        <f ca="1">'IOI0002'!B94</f>
        <v>NEO</v>
      </c>
      <c r="D49" s="9" t="str">
        <f ca="1">'IOI0002'!C94</f>
        <v>Industrial and Other Non Energy Uses</v>
      </c>
      <c r="E49" s="565" t="str">
        <f ca="1">'IOI0002'!D94</f>
        <v>PJ</v>
      </c>
      <c r="F49" s="304">
        <f t="shared" si="4"/>
        <v>0</v>
      </c>
      <c r="G49" s="304">
        <f t="shared" si="5"/>
        <v>1E-3</v>
      </c>
      <c r="H49" s="523">
        <f t="shared" si="6"/>
        <v>1</v>
      </c>
      <c r="I49" s="523">
        <f t="shared" si="7"/>
        <v>1</v>
      </c>
      <c r="L49" s="523">
        <f ca="1">'IOI0002'!E94</f>
        <v>0</v>
      </c>
      <c r="M49" s="523">
        <f ca="1">'IOI0002'!F94</f>
        <v>0</v>
      </c>
    </row>
    <row r="50" spans="3:13">
      <c r="C50" s="9" t="str">
        <f ca="1">'IOI0002'!B95</f>
        <v>I00</v>
      </c>
      <c r="D50" s="9" t="str">
        <f ca="1">'IOI0002'!C95</f>
        <v>Other Industrial consumption</v>
      </c>
      <c r="E50" s="565" t="str">
        <f ca="1">'IOI0002'!D95</f>
        <v>PJ</v>
      </c>
      <c r="F50" s="304">
        <f t="shared" si="4"/>
        <v>1</v>
      </c>
      <c r="G50" s="304">
        <f t="shared" si="5"/>
        <v>1</v>
      </c>
      <c r="H50" s="523">
        <f t="shared" si="6"/>
        <v>1</v>
      </c>
      <c r="I50" s="523">
        <f t="shared" si="7"/>
        <v>1</v>
      </c>
      <c r="L50" s="523">
        <f ca="1">'IOI0002'!E95</f>
        <v>1</v>
      </c>
      <c r="M50" s="523">
        <f ca="1">'IOI0002'!F95</f>
        <v>1</v>
      </c>
    </row>
    <row r="54" spans="3:13">
      <c r="F54" s="570" t="str">
        <f>"~FI_T: "&amp;Region</f>
        <v>~FI_T: FIM</v>
      </c>
    </row>
    <row r="55" spans="3:13" ht="13.5" thickBot="1">
      <c r="C55" s="364" t="s">
        <v>772</v>
      </c>
      <c r="D55" s="25" t="s">
        <v>773</v>
      </c>
      <c r="E55" s="510" t="s">
        <v>1443</v>
      </c>
      <c r="F55" s="571" t="s">
        <v>1447</v>
      </c>
      <c r="G55" s="25">
        <f ca="1">BaseYear</f>
        <v>2010</v>
      </c>
      <c r="H55" s="515">
        <f ca="1">AuxYear</f>
        <v>2017</v>
      </c>
    </row>
    <row r="56" spans="3:13">
      <c r="C56" s="9" t="s">
        <v>1182</v>
      </c>
      <c r="D56" s="9" t="str">
        <f ca="1">COMM2!D138</f>
        <v xml:space="preserve">Pulp for printing &amp; writing paper </v>
      </c>
      <c r="E56" s="9" t="s">
        <v>1085</v>
      </c>
      <c r="F56" s="572"/>
      <c r="G56" s="445">
        <f ca="1">1/Drivers2!$L121</f>
        <v>1.431656714907398</v>
      </c>
      <c r="H56" s="445">
        <f ca="1">1/Driver22!$L121</f>
        <v>1.431656714907398</v>
      </c>
    </row>
    <row r="57" spans="3:13">
      <c r="C57" s="9" t="s">
        <v>1183</v>
      </c>
      <c r="D57" s="9" t="str">
        <f ca="1">COMM2!D139</f>
        <v>Pulp for other paper and board</v>
      </c>
      <c r="E57" s="9" t="s">
        <v>1085</v>
      </c>
      <c r="F57" s="572"/>
      <c r="G57" s="445">
        <f ca="1">1/Drivers2!$L122</f>
        <v>1.0021597004351785</v>
      </c>
      <c r="H57" s="445">
        <f ca="1">1/Driver22!$L122</f>
        <v>1.0021597004351785</v>
      </c>
    </row>
    <row r="58" spans="3:13">
      <c r="C58" s="9" t="s">
        <v>728</v>
      </c>
      <c r="D58" s="9" t="s">
        <v>1087</v>
      </c>
      <c r="E58" s="9" t="s">
        <v>1086</v>
      </c>
      <c r="F58" s="573" t="s">
        <v>1448</v>
      </c>
      <c r="G58" s="445">
        <v>0.5</v>
      </c>
      <c r="H58" s="445"/>
    </row>
    <row r="59" spans="3:13" ht="15">
      <c r="C59" s="423" t="s">
        <v>909</v>
      </c>
      <c r="D59" s="423"/>
      <c r="E59" s="423" t="s">
        <v>1314</v>
      </c>
      <c r="F59" s="574"/>
      <c r="G59" s="424">
        <f ca="1">MAX(SUM(IEAData2!BL62:BL63)*1.2,SUM(IEAData2!BL62:BL63)+11,SUM(AuxData2!BL62:BL63)*1.2,SUM(AuxData2!BL62:BL63)+11)</f>
        <v>12.140497277244169</v>
      </c>
      <c r="H59" s="42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5</vt:i4>
      </vt:variant>
    </vt:vector>
  </HeadingPairs>
  <TitlesOfParts>
    <vt:vector size="49" baseType="lpstr">
      <vt:lpstr>IEAData</vt:lpstr>
      <vt:lpstr>AuxData</vt:lpstr>
      <vt:lpstr>COMM</vt:lpstr>
      <vt:lpstr>Processes</vt:lpstr>
      <vt:lpstr>IND_Fuels</vt:lpstr>
      <vt:lpstr>IND_Emi</vt:lpstr>
      <vt:lpstr>CHP</vt:lpstr>
      <vt:lpstr>IIS000</vt:lpstr>
      <vt:lpstr>INF000</vt:lpstr>
      <vt:lpstr>ICH000</vt:lpstr>
      <vt:lpstr>IOCH</vt:lpstr>
      <vt:lpstr>INM000</vt:lpstr>
      <vt:lpstr>ILP000</vt:lpstr>
      <vt:lpstr>IOLP</vt:lpstr>
      <vt:lpstr>INDSTM</vt:lpstr>
      <vt:lpstr>INDMAC</vt:lpstr>
      <vt:lpstr>IOI000</vt:lpstr>
      <vt:lpstr>ISOI</vt:lpstr>
      <vt:lpstr>IPOI</vt:lpstr>
      <vt:lpstr>IOOI</vt:lpstr>
      <vt:lpstr>ONO</vt:lpstr>
      <vt:lpstr>Market</vt:lpstr>
      <vt:lpstr>ElastPar</vt:lpstr>
      <vt:lpstr>IEAData2</vt:lpstr>
      <vt:lpstr>AuxData2</vt:lpstr>
      <vt:lpstr>COMM2</vt:lpstr>
      <vt:lpstr>IND_Fuels2</vt:lpstr>
      <vt:lpstr>IND_Emi2</vt:lpstr>
      <vt:lpstr>CHP2</vt:lpstr>
      <vt:lpstr>IIS0002</vt:lpstr>
      <vt:lpstr>INF0002</vt:lpstr>
      <vt:lpstr>ICH0002</vt:lpstr>
      <vt:lpstr>IOCH2</vt:lpstr>
      <vt:lpstr>INM0002</vt:lpstr>
      <vt:lpstr>ILP0002</vt:lpstr>
      <vt:lpstr>IOLP2</vt:lpstr>
      <vt:lpstr>INDSTM2</vt:lpstr>
      <vt:lpstr>INDMAC2</vt:lpstr>
      <vt:lpstr>IOI0002</vt:lpstr>
      <vt:lpstr>ISOI2</vt:lpstr>
      <vt:lpstr>IPOI2</vt:lpstr>
      <vt:lpstr>IOOI2</vt:lpstr>
      <vt:lpstr>ONO2</vt:lpstr>
      <vt:lpstr>Market2</vt:lpstr>
      <vt:lpstr>AuxYear</vt:lpstr>
      <vt:lpstr>BaseYear</vt:lpstr>
      <vt:lpstr>IEA_Year</vt:lpstr>
      <vt:lpstr>Non_ETS</vt:lpstr>
      <vt:lpstr>Tiny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Barry Kapilow-Cohen</dc:creator>
  <cp:lastModifiedBy>Antti-L</cp:lastModifiedBy>
  <cp:lastPrinted>2004-04-15T20:26:46Z</cp:lastPrinted>
  <dcterms:created xsi:type="dcterms:W3CDTF">1996-10-14T23:33:28Z</dcterms:created>
  <dcterms:modified xsi:type="dcterms:W3CDTF">2021-01-22T18:15:12Z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ject">
    <vt:lpwstr>EFDA</vt:lpwstr>
  </property>
  <property fmtid="{D5CDD505-2E9C-101B-9397-08002B2CF9AE}" pid="3" name="TmplVersion">
    <vt:lpwstr>Vrsn000002</vt:lpwstr>
  </property>
  <property fmtid="{D5CDD505-2E9C-101B-9397-08002B2CF9AE}" pid="4" name="SaveCode">
    <vt:r8>456517457962036</vt:r8>
  </property>
</Properties>
</file>